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19440" windowHeight="15600" tabRatio="735" firstSheet="19" activeTab="26"/>
  </bookViews>
  <sheets>
    <sheet name="Index" sheetId="1" r:id="rId1"/>
    <sheet name="Inputs" sheetId="2" r:id="rId2"/>
    <sheet name="Allowed revenue -DPCR4" sheetId="3" r:id="rId3"/>
    <sheet name="FBPQ T4" sheetId="4" r:id="rId4"/>
    <sheet name="FBPQ LR1" sheetId="5" r:id="rId5"/>
    <sheet name="FBPQ LR1 - V5 opt3" sheetId="6" r:id="rId6"/>
    <sheet name="FBPQ LR4" sheetId="7" r:id="rId7"/>
    <sheet name="FBPQ LR6" sheetId="8" r:id="rId8"/>
    <sheet name="FBPQ NL1" sheetId="9" r:id="rId9"/>
    <sheet name="NL9 - Legal &amp; Safety" sheetId="10" r:id="rId10"/>
    <sheet name="FBPQ C2" sheetId="11" r:id="rId11"/>
    <sheet name="Reductions to net capex" sheetId="12" r:id="rId12"/>
    <sheet name="RRP 1.3" sheetId="13" r:id="rId13"/>
    <sheet name="RRP 2.3" sheetId="14" r:id="rId14"/>
    <sheet name="RRP 2.4" sheetId="15" r:id="rId15"/>
    <sheet name="RRP 2.6" sheetId="16" r:id="rId16"/>
    <sheet name="RRP 5.1" sheetId="28" r:id="rId17"/>
    <sheet name="Summary of revenue" sheetId="18" r:id="rId18"/>
    <sheet name="Data-MEAV" sheetId="19" r:id="rId19"/>
    <sheet name="Calc-MEAV" sheetId="20" r:id="rId20"/>
    <sheet name="Calc-Units" sheetId="21" r:id="rId21"/>
    <sheet name="Calc-Net capex" sheetId="22" r:id="rId22"/>
    <sheet name="Calc-Opex" sheetId="23" r:id="rId23"/>
    <sheet name="Calc-Drivers" sheetId="24" r:id="rId24"/>
    <sheet name="Calc-Allocation" sheetId="25" r:id="rId25"/>
    <sheet name="Calc-Summary" sheetId="26" r:id="rId26"/>
    <sheet name="EDCM discounts" sheetId="29" r:id="rId27"/>
  </sheets>
  <definedNames>
    <definedName name="_xlnm._FilterDatabase" localSheetId="0" hidden="1">Index!$A$7:$B$37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4" i="19" l="1"/>
  <c r="E96" i="19"/>
  <c r="E110" i="19"/>
  <c r="E112" i="19"/>
  <c r="E117" i="19"/>
  <c r="E119" i="19"/>
  <c r="E134" i="19"/>
  <c r="E141" i="19"/>
  <c r="E145" i="19"/>
  <c r="E75" i="15"/>
  <c r="K34" i="14"/>
  <c r="I34" i="14"/>
  <c r="G11" i="14"/>
  <c r="G13" i="14"/>
  <c r="G14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30" i="14"/>
  <c r="G31" i="14"/>
  <c r="G33" i="14"/>
  <c r="G34" i="14"/>
  <c r="F34" i="14"/>
  <c r="E34" i="14"/>
  <c r="V137" i="10"/>
  <c r="U137" i="10"/>
  <c r="T137" i="10"/>
  <c r="S137" i="10"/>
  <c r="N137" i="10"/>
  <c r="M137" i="10"/>
  <c r="L137" i="10"/>
  <c r="K137" i="10"/>
  <c r="F137" i="10"/>
  <c r="E137" i="10"/>
  <c r="D137" i="10"/>
  <c r="C137" i="10"/>
  <c r="V136" i="10"/>
  <c r="U136" i="10"/>
  <c r="T136" i="10"/>
  <c r="S136" i="10"/>
  <c r="N136" i="10"/>
  <c r="M136" i="10"/>
  <c r="L136" i="10"/>
  <c r="K136" i="10"/>
  <c r="F136" i="10"/>
  <c r="E136" i="10"/>
  <c r="D136" i="10"/>
  <c r="C136" i="10"/>
  <c r="V135" i="10"/>
  <c r="U135" i="10"/>
  <c r="T135" i="10"/>
  <c r="S135" i="10"/>
  <c r="N135" i="10"/>
  <c r="M135" i="10"/>
  <c r="L135" i="10"/>
  <c r="K135" i="10"/>
  <c r="F135" i="10"/>
  <c r="E135" i="10"/>
  <c r="D135" i="10"/>
  <c r="C135" i="10"/>
  <c r="V134" i="10"/>
  <c r="U134" i="10"/>
  <c r="T134" i="10"/>
  <c r="S134" i="10"/>
  <c r="N134" i="10"/>
  <c r="M134" i="10"/>
  <c r="L134" i="10"/>
  <c r="K134" i="10"/>
  <c r="F134" i="10"/>
  <c r="E134" i="10"/>
  <c r="D134" i="10"/>
  <c r="C134" i="10"/>
  <c r="X129" i="10"/>
  <c r="V129" i="10"/>
  <c r="U129" i="10"/>
  <c r="T129" i="10"/>
  <c r="S125" i="10"/>
  <c r="S126" i="10"/>
  <c r="S127" i="10"/>
  <c r="S128" i="10"/>
  <c r="S129" i="10"/>
  <c r="P129" i="10"/>
  <c r="N129" i="10"/>
  <c r="M129" i="10"/>
  <c r="L129" i="10"/>
  <c r="K125" i="10"/>
  <c r="K126" i="10"/>
  <c r="K127" i="10"/>
  <c r="K128" i="10"/>
  <c r="K129" i="10"/>
  <c r="H129" i="10"/>
  <c r="F129" i="10"/>
  <c r="E129" i="10"/>
  <c r="D129" i="10"/>
  <c r="C125" i="10"/>
  <c r="C126" i="10"/>
  <c r="C127" i="10"/>
  <c r="C128" i="10"/>
  <c r="C129" i="10"/>
  <c r="X120" i="10"/>
  <c r="W120" i="10"/>
  <c r="V120" i="10"/>
  <c r="U120" i="10"/>
  <c r="T120" i="10"/>
  <c r="S120" i="10"/>
  <c r="P120" i="10"/>
  <c r="O120" i="10"/>
  <c r="N120" i="10"/>
  <c r="M120" i="10"/>
  <c r="L120" i="10"/>
  <c r="K120" i="10"/>
  <c r="H120" i="10"/>
  <c r="F120" i="10"/>
  <c r="E120" i="10"/>
  <c r="D120" i="10"/>
  <c r="C120" i="10"/>
  <c r="X111" i="10"/>
  <c r="W111" i="10"/>
  <c r="V111" i="10"/>
  <c r="U111" i="10"/>
  <c r="T111" i="10"/>
  <c r="S107" i="10"/>
  <c r="S108" i="10"/>
  <c r="S109" i="10"/>
  <c r="S110" i="10"/>
  <c r="S111" i="10"/>
  <c r="P111" i="10"/>
  <c r="O111" i="10"/>
  <c r="N111" i="10"/>
  <c r="M111" i="10"/>
  <c r="L111" i="10"/>
  <c r="K107" i="10"/>
  <c r="K108" i="10"/>
  <c r="K109" i="10"/>
  <c r="K110" i="10"/>
  <c r="K111" i="10"/>
  <c r="H111" i="10"/>
  <c r="G111" i="10"/>
  <c r="F111" i="10"/>
  <c r="E111" i="10"/>
  <c r="D111" i="10"/>
  <c r="C107" i="10"/>
  <c r="C108" i="10"/>
  <c r="C109" i="10"/>
  <c r="C110" i="10"/>
  <c r="C111" i="10"/>
  <c r="F97" i="10"/>
  <c r="G97" i="10"/>
  <c r="H97" i="10"/>
  <c r="F98" i="10"/>
  <c r="G98" i="10"/>
  <c r="H98" i="10"/>
  <c r="F99" i="10"/>
  <c r="G99" i="10"/>
  <c r="H99" i="10"/>
  <c r="F100" i="10"/>
  <c r="G100" i="10"/>
  <c r="H100" i="10"/>
  <c r="H101" i="10"/>
  <c r="G101" i="10"/>
  <c r="F101" i="10"/>
  <c r="E101" i="10"/>
  <c r="D97" i="10"/>
  <c r="D98" i="10"/>
  <c r="D99" i="10"/>
  <c r="D100" i="10"/>
  <c r="D101" i="10"/>
  <c r="C97" i="10"/>
  <c r="C98" i="10"/>
  <c r="C99" i="10"/>
  <c r="C100" i="10"/>
  <c r="C101" i="10"/>
  <c r="W91" i="10"/>
  <c r="V91" i="10"/>
  <c r="U91" i="10"/>
  <c r="T91" i="10"/>
  <c r="S91" i="10"/>
  <c r="O91" i="10"/>
  <c r="N91" i="10"/>
  <c r="M91" i="10"/>
  <c r="L91" i="10"/>
  <c r="K91" i="10"/>
  <c r="G91" i="10"/>
  <c r="F91" i="10"/>
  <c r="E91" i="10"/>
  <c r="D91" i="10"/>
  <c r="C91" i="10"/>
  <c r="W90" i="10"/>
  <c r="V90" i="10"/>
  <c r="U90" i="10"/>
  <c r="T90" i="10"/>
  <c r="S90" i="10"/>
  <c r="O90" i="10"/>
  <c r="N90" i="10"/>
  <c r="M90" i="10"/>
  <c r="L90" i="10"/>
  <c r="K90" i="10"/>
  <c r="G90" i="10"/>
  <c r="F90" i="10"/>
  <c r="E90" i="10"/>
  <c r="D90" i="10"/>
  <c r="C90" i="10"/>
  <c r="W89" i="10"/>
  <c r="V89" i="10"/>
  <c r="U89" i="10"/>
  <c r="T89" i="10"/>
  <c r="S89" i="10"/>
  <c r="O89" i="10"/>
  <c r="N89" i="10"/>
  <c r="M89" i="10"/>
  <c r="L89" i="10"/>
  <c r="K89" i="10"/>
  <c r="G89" i="10"/>
  <c r="F89" i="10"/>
  <c r="E89" i="10"/>
  <c r="D89" i="10"/>
  <c r="C89" i="10"/>
  <c r="W88" i="10"/>
  <c r="V88" i="10"/>
  <c r="U88" i="10"/>
  <c r="T88" i="10"/>
  <c r="S88" i="10"/>
  <c r="O88" i="10"/>
  <c r="N88" i="10"/>
  <c r="M88" i="10"/>
  <c r="L88" i="10"/>
  <c r="K88" i="10"/>
  <c r="G88" i="10"/>
  <c r="F88" i="10"/>
  <c r="E88" i="10"/>
  <c r="D88" i="10"/>
  <c r="C88" i="10"/>
  <c r="X83" i="10"/>
  <c r="W83" i="10"/>
  <c r="V83" i="10"/>
  <c r="U83" i="10"/>
  <c r="T83" i="10"/>
  <c r="S79" i="10"/>
  <c r="S80" i="10"/>
  <c r="S81" i="10"/>
  <c r="S82" i="10"/>
  <c r="S83" i="10"/>
  <c r="P83" i="10"/>
  <c r="O83" i="10"/>
  <c r="N83" i="10"/>
  <c r="M83" i="10"/>
  <c r="L83" i="10"/>
  <c r="K79" i="10"/>
  <c r="K80" i="10"/>
  <c r="K81" i="10"/>
  <c r="K82" i="10"/>
  <c r="K83" i="10"/>
  <c r="H83" i="10"/>
  <c r="G83" i="10"/>
  <c r="F83" i="10"/>
  <c r="E83" i="10"/>
  <c r="D83" i="10"/>
  <c r="C83" i="10"/>
  <c r="X74" i="10"/>
  <c r="W74" i="10"/>
  <c r="V74" i="10"/>
  <c r="U74" i="10"/>
  <c r="T74" i="10"/>
  <c r="S74" i="10"/>
  <c r="P74" i="10"/>
  <c r="O74" i="10"/>
  <c r="N74" i="10"/>
  <c r="M74" i="10"/>
  <c r="L74" i="10"/>
  <c r="K74" i="10"/>
  <c r="H74" i="10"/>
  <c r="G74" i="10"/>
  <c r="F74" i="10"/>
  <c r="E74" i="10"/>
  <c r="D74" i="10"/>
  <c r="C74" i="10"/>
  <c r="X65" i="10"/>
  <c r="W65" i="10"/>
  <c r="V65" i="10"/>
  <c r="U65" i="10"/>
  <c r="T65" i="10"/>
  <c r="S61" i="10"/>
  <c r="S62" i="10"/>
  <c r="S63" i="10"/>
  <c r="S64" i="10"/>
  <c r="S65" i="10"/>
  <c r="P65" i="10"/>
  <c r="O65" i="10"/>
  <c r="N65" i="10"/>
  <c r="M65" i="10"/>
  <c r="L65" i="10"/>
  <c r="K61" i="10"/>
  <c r="K62" i="10"/>
  <c r="K63" i="10"/>
  <c r="K64" i="10"/>
  <c r="K65" i="10"/>
  <c r="H65" i="10"/>
  <c r="G65" i="10"/>
  <c r="F65" i="10"/>
  <c r="E65" i="10"/>
  <c r="D65" i="10"/>
  <c r="C61" i="10"/>
  <c r="C62" i="10"/>
  <c r="C63" i="10"/>
  <c r="C64" i="10"/>
  <c r="C65" i="10"/>
  <c r="F51" i="10"/>
  <c r="G51" i="10"/>
  <c r="H51" i="10"/>
  <c r="F52" i="10"/>
  <c r="G52" i="10"/>
  <c r="H52" i="10"/>
  <c r="F53" i="10"/>
  <c r="G53" i="10"/>
  <c r="H53" i="10"/>
  <c r="F54" i="10"/>
  <c r="G54" i="10"/>
  <c r="H54" i="10"/>
  <c r="H55" i="10"/>
  <c r="G55" i="10"/>
  <c r="F55" i="10"/>
  <c r="E55" i="10"/>
  <c r="D51" i="10"/>
  <c r="D52" i="10"/>
  <c r="D53" i="10"/>
  <c r="D54" i="10"/>
  <c r="D55" i="10"/>
  <c r="C51" i="10"/>
  <c r="C52" i="10"/>
  <c r="C53" i="10"/>
  <c r="C54" i="10"/>
  <c r="C55" i="10"/>
  <c r="M46" i="10"/>
  <c r="L46" i="10"/>
  <c r="K46" i="10"/>
  <c r="J46" i="10"/>
  <c r="I46" i="10"/>
  <c r="H46" i="10"/>
  <c r="G46" i="10"/>
  <c r="F46" i="10"/>
  <c r="E46" i="10"/>
  <c r="D46" i="10"/>
  <c r="M37" i="10"/>
  <c r="L37" i="10"/>
  <c r="K37" i="10"/>
  <c r="J37" i="10"/>
  <c r="I37" i="10"/>
  <c r="H37" i="10"/>
  <c r="G37" i="10"/>
  <c r="F37" i="10"/>
  <c r="E37" i="10"/>
  <c r="D37" i="10"/>
  <c r="M25" i="10"/>
  <c r="L25" i="10"/>
  <c r="K25" i="10"/>
  <c r="J25" i="10"/>
  <c r="I25" i="10"/>
  <c r="H25" i="10"/>
  <c r="G25" i="10"/>
  <c r="F25" i="10"/>
  <c r="E25" i="10"/>
  <c r="D25" i="10"/>
  <c r="Q153" i="9"/>
  <c r="T153" i="9"/>
  <c r="S153" i="9"/>
  <c r="P153" i="9"/>
  <c r="O153" i="9"/>
  <c r="Q152" i="9"/>
  <c r="T152" i="9"/>
  <c r="S152" i="9"/>
  <c r="P152" i="9"/>
  <c r="O152" i="9"/>
  <c r="Q151" i="9"/>
  <c r="T151" i="9"/>
  <c r="S151" i="9"/>
  <c r="P151" i="9"/>
  <c r="O151" i="9"/>
  <c r="Q148" i="9"/>
  <c r="T148" i="9"/>
  <c r="S148" i="9"/>
  <c r="P148" i="9"/>
  <c r="O148" i="9"/>
  <c r="Q147" i="9"/>
  <c r="T147" i="9"/>
  <c r="S147" i="9"/>
  <c r="P147" i="9"/>
  <c r="O147" i="9"/>
  <c r="Q146" i="9"/>
  <c r="T146" i="9"/>
  <c r="S146" i="9"/>
  <c r="P146" i="9"/>
  <c r="O146" i="9"/>
  <c r="Q138" i="9"/>
  <c r="S138" i="9"/>
  <c r="T138" i="9"/>
  <c r="P138" i="9"/>
  <c r="O138" i="9"/>
  <c r="Q137" i="9"/>
  <c r="T137" i="9"/>
  <c r="S137" i="9"/>
  <c r="P137" i="9"/>
  <c r="O137" i="9"/>
  <c r="Q136" i="9"/>
  <c r="S136" i="9"/>
  <c r="T136" i="9"/>
  <c r="P136" i="9"/>
  <c r="O136" i="9"/>
  <c r="Q135" i="9"/>
  <c r="S135" i="9"/>
  <c r="T135" i="9"/>
  <c r="P135" i="9"/>
  <c r="O135" i="9"/>
  <c r="Q134" i="9"/>
  <c r="T134" i="9"/>
  <c r="S134" i="9"/>
  <c r="P134" i="9"/>
  <c r="O134" i="9"/>
  <c r="Q133" i="9"/>
  <c r="T133" i="9"/>
  <c r="S133" i="9"/>
  <c r="P133" i="9"/>
  <c r="O133" i="9"/>
  <c r="Q132" i="9"/>
  <c r="T132" i="9"/>
  <c r="S132" i="9"/>
  <c r="P132" i="9"/>
  <c r="O132" i="9"/>
  <c r="Q131" i="9"/>
  <c r="T131" i="9"/>
  <c r="S131" i="9"/>
  <c r="P131" i="9"/>
  <c r="O131" i="9"/>
  <c r="Q130" i="9"/>
  <c r="T130" i="9"/>
  <c r="S130" i="9"/>
  <c r="P130" i="9"/>
  <c r="O130" i="9"/>
  <c r="Q129" i="9"/>
  <c r="S129" i="9"/>
  <c r="T129" i="9"/>
  <c r="P129" i="9"/>
  <c r="O129" i="9"/>
  <c r="Q128" i="9"/>
  <c r="T128" i="9"/>
  <c r="S128" i="9"/>
  <c r="P128" i="9"/>
  <c r="O128" i="9"/>
  <c r="Q127" i="9"/>
  <c r="T127" i="9"/>
  <c r="S127" i="9"/>
  <c r="P127" i="9"/>
  <c r="O127" i="9"/>
  <c r="Q126" i="9"/>
  <c r="T126" i="9"/>
  <c r="S126" i="9"/>
  <c r="P126" i="9"/>
  <c r="O126" i="9"/>
  <c r="Q125" i="9"/>
  <c r="T125" i="9"/>
  <c r="S125" i="9"/>
  <c r="P125" i="9"/>
  <c r="O125" i="9"/>
  <c r="Q124" i="9"/>
  <c r="T124" i="9"/>
  <c r="S124" i="9"/>
  <c r="P124" i="9"/>
  <c r="O124" i="9"/>
  <c r="Q123" i="9"/>
  <c r="T123" i="9"/>
  <c r="S123" i="9"/>
  <c r="P123" i="9"/>
  <c r="O123" i="9"/>
  <c r="Q122" i="9"/>
  <c r="T122" i="9"/>
  <c r="S122" i="9"/>
  <c r="P122" i="9"/>
  <c r="O122" i="9"/>
  <c r="Q121" i="9"/>
  <c r="S121" i="9"/>
  <c r="T121" i="9"/>
  <c r="P121" i="9"/>
  <c r="O121" i="9"/>
  <c r="Q120" i="9"/>
  <c r="S120" i="9"/>
  <c r="T120" i="9"/>
  <c r="P120" i="9"/>
  <c r="O120" i="9"/>
  <c r="Q119" i="9"/>
  <c r="T119" i="9"/>
  <c r="S119" i="9"/>
  <c r="P119" i="9"/>
  <c r="O119" i="9"/>
  <c r="Q118" i="9"/>
  <c r="T118" i="9"/>
  <c r="S118" i="9"/>
  <c r="P118" i="9"/>
  <c r="O118" i="9"/>
  <c r="Q117" i="9"/>
  <c r="S117" i="9"/>
  <c r="T117" i="9"/>
  <c r="P117" i="9"/>
  <c r="O117" i="9"/>
  <c r="Q116" i="9"/>
  <c r="T116" i="9"/>
  <c r="S116" i="9"/>
  <c r="P116" i="9"/>
  <c r="O116" i="9"/>
  <c r="Q115" i="9"/>
  <c r="S115" i="9"/>
  <c r="T115" i="9"/>
  <c r="P115" i="9"/>
  <c r="O115" i="9"/>
  <c r="Q114" i="9"/>
  <c r="S114" i="9"/>
  <c r="T114" i="9"/>
  <c r="P114" i="9"/>
  <c r="O114" i="9"/>
  <c r="Q113" i="9"/>
  <c r="T113" i="9"/>
  <c r="S113" i="9"/>
  <c r="P113" i="9"/>
  <c r="O113" i="9"/>
  <c r="Q112" i="9"/>
  <c r="T112" i="9"/>
  <c r="S112" i="9"/>
  <c r="P112" i="9"/>
  <c r="O112" i="9"/>
  <c r="Q111" i="9"/>
  <c r="S111" i="9"/>
  <c r="T111" i="9"/>
  <c r="P111" i="9"/>
  <c r="O111" i="9"/>
  <c r="Q110" i="9"/>
  <c r="S110" i="9"/>
  <c r="T110" i="9"/>
  <c r="P110" i="9"/>
  <c r="O110" i="9"/>
  <c r="Q109" i="9"/>
  <c r="S109" i="9"/>
  <c r="T109" i="9"/>
  <c r="P109" i="9"/>
  <c r="O109" i="9"/>
  <c r="Q101" i="9"/>
  <c r="S101" i="9"/>
  <c r="T101" i="9"/>
  <c r="P101" i="9"/>
  <c r="O101" i="9"/>
  <c r="Q100" i="9"/>
  <c r="T100" i="9"/>
  <c r="S100" i="9"/>
  <c r="P100" i="9"/>
  <c r="O100" i="9"/>
  <c r="Q99" i="9"/>
  <c r="S99" i="9"/>
  <c r="T99" i="9"/>
  <c r="P99" i="9"/>
  <c r="O99" i="9"/>
  <c r="Q98" i="9"/>
  <c r="T98" i="9"/>
  <c r="S98" i="9"/>
  <c r="P98" i="9"/>
  <c r="O98" i="9"/>
  <c r="Q97" i="9"/>
  <c r="T97" i="9"/>
  <c r="S97" i="9"/>
  <c r="P97" i="9"/>
  <c r="O97" i="9"/>
  <c r="Q96" i="9"/>
  <c r="T96" i="9"/>
  <c r="S96" i="9"/>
  <c r="P96" i="9"/>
  <c r="O96" i="9"/>
  <c r="Q95" i="9"/>
  <c r="T95" i="9"/>
  <c r="S95" i="9"/>
  <c r="P95" i="9"/>
  <c r="O95" i="9"/>
  <c r="Q94" i="9"/>
  <c r="T94" i="9"/>
  <c r="S94" i="9"/>
  <c r="P94" i="9"/>
  <c r="O94" i="9"/>
  <c r="Q93" i="9"/>
  <c r="S93" i="9"/>
  <c r="T93" i="9"/>
  <c r="P93" i="9"/>
  <c r="O93" i="9"/>
  <c r="Q92" i="9"/>
  <c r="T92" i="9"/>
  <c r="S92" i="9"/>
  <c r="P92" i="9"/>
  <c r="O92" i="9"/>
  <c r="Q91" i="9"/>
  <c r="T91" i="9"/>
  <c r="S91" i="9"/>
  <c r="P91" i="9"/>
  <c r="O91" i="9"/>
  <c r="Q90" i="9"/>
  <c r="S90" i="9"/>
  <c r="T90" i="9"/>
  <c r="P90" i="9"/>
  <c r="O90" i="9"/>
  <c r="Q89" i="9"/>
  <c r="T89" i="9"/>
  <c r="S89" i="9"/>
  <c r="P89" i="9"/>
  <c r="O89" i="9"/>
  <c r="Q88" i="9"/>
  <c r="S88" i="9"/>
  <c r="T88" i="9"/>
  <c r="P88" i="9"/>
  <c r="O88" i="9"/>
  <c r="Q87" i="9"/>
  <c r="S87" i="9"/>
  <c r="T87" i="9"/>
  <c r="P87" i="9"/>
  <c r="O87" i="9"/>
  <c r="Q86" i="9"/>
  <c r="S86" i="9"/>
  <c r="T86" i="9"/>
  <c r="P86" i="9"/>
  <c r="O86" i="9"/>
  <c r="Q85" i="9"/>
  <c r="T85" i="9"/>
  <c r="S85" i="9"/>
  <c r="P85" i="9"/>
  <c r="O85" i="9"/>
  <c r="Q84" i="9"/>
  <c r="S84" i="9"/>
  <c r="T84" i="9"/>
  <c r="P84" i="9"/>
  <c r="O84" i="9"/>
  <c r="Q83" i="9"/>
  <c r="S83" i="9"/>
  <c r="T83" i="9"/>
  <c r="P83" i="9"/>
  <c r="O83" i="9"/>
  <c r="Q82" i="9"/>
  <c r="S82" i="9"/>
  <c r="T82" i="9"/>
  <c r="P82" i="9"/>
  <c r="O82" i="9"/>
  <c r="Q81" i="9"/>
  <c r="S81" i="9"/>
  <c r="T81" i="9"/>
  <c r="P81" i="9"/>
  <c r="O81" i="9"/>
  <c r="Q80" i="9"/>
  <c r="T80" i="9"/>
  <c r="S80" i="9"/>
  <c r="P80" i="9"/>
  <c r="O80" i="9"/>
  <c r="Q79" i="9"/>
  <c r="T79" i="9"/>
  <c r="S79" i="9"/>
  <c r="P79" i="9"/>
  <c r="O79" i="9"/>
  <c r="Q78" i="9"/>
  <c r="T78" i="9"/>
  <c r="S78" i="9"/>
  <c r="P78" i="9"/>
  <c r="O78" i="9"/>
  <c r="Q77" i="9"/>
  <c r="S77" i="9"/>
  <c r="T77" i="9"/>
  <c r="P77" i="9"/>
  <c r="O77" i="9"/>
  <c r="Q76" i="9"/>
  <c r="T76" i="9"/>
  <c r="S76" i="9"/>
  <c r="P76" i="9"/>
  <c r="O76" i="9"/>
  <c r="Q68" i="9"/>
  <c r="S68" i="9"/>
  <c r="T68" i="9"/>
  <c r="P68" i="9"/>
  <c r="O68" i="9"/>
  <c r="Q67" i="9"/>
  <c r="S67" i="9"/>
  <c r="T67" i="9"/>
  <c r="P67" i="9"/>
  <c r="O67" i="9"/>
  <c r="Q66" i="9"/>
  <c r="S66" i="9"/>
  <c r="T66" i="9"/>
  <c r="P66" i="9"/>
  <c r="O66" i="9"/>
  <c r="Q65" i="9"/>
  <c r="S65" i="9"/>
  <c r="T65" i="9"/>
  <c r="P65" i="9"/>
  <c r="O65" i="9"/>
  <c r="Q64" i="9"/>
  <c r="T64" i="9"/>
  <c r="S64" i="9"/>
  <c r="P64" i="9"/>
  <c r="O64" i="9"/>
  <c r="Q63" i="9"/>
  <c r="S63" i="9"/>
  <c r="T63" i="9"/>
  <c r="P63" i="9"/>
  <c r="O63" i="9"/>
  <c r="Q62" i="9"/>
  <c r="S62" i="9"/>
  <c r="T62" i="9"/>
  <c r="P62" i="9"/>
  <c r="O62" i="9"/>
  <c r="Q61" i="9"/>
  <c r="S61" i="9"/>
  <c r="T61" i="9"/>
  <c r="P61" i="9"/>
  <c r="O61" i="9"/>
  <c r="Q60" i="9"/>
  <c r="S60" i="9"/>
  <c r="T60" i="9"/>
  <c r="P60" i="9"/>
  <c r="O60" i="9"/>
  <c r="Q59" i="9"/>
  <c r="S59" i="9"/>
  <c r="T59" i="9"/>
  <c r="P59" i="9"/>
  <c r="O59" i="9"/>
  <c r="Q58" i="9"/>
  <c r="T58" i="9"/>
  <c r="S58" i="9"/>
  <c r="P58" i="9"/>
  <c r="O58" i="9"/>
  <c r="Q57" i="9"/>
  <c r="S57" i="9"/>
  <c r="T57" i="9"/>
  <c r="P57" i="9"/>
  <c r="O57" i="9"/>
  <c r="Q56" i="9"/>
  <c r="S56" i="9"/>
  <c r="T56" i="9"/>
  <c r="P56" i="9"/>
  <c r="O56" i="9"/>
  <c r="Q55" i="9"/>
  <c r="S55" i="9"/>
  <c r="T55" i="9"/>
  <c r="P55" i="9"/>
  <c r="O55" i="9"/>
  <c r="Q54" i="9"/>
  <c r="S54" i="9"/>
  <c r="T54" i="9"/>
  <c r="P54" i="9"/>
  <c r="O54" i="9"/>
  <c r="Q53" i="9"/>
  <c r="S53" i="9"/>
  <c r="T53" i="9"/>
  <c r="P53" i="9"/>
  <c r="O53" i="9"/>
  <c r="Q52" i="9"/>
  <c r="T52" i="9"/>
  <c r="S52" i="9"/>
  <c r="P52" i="9"/>
  <c r="O52" i="9"/>
  <c r="Q51" i="9"/>
  <c r="S51" i="9"/>
  <c r="T51" i="9"/>
  <c r="P51" i="9"/>
  <c r="O51" i="9"/>
  <c r="Q50" i="9"/>
  <c r="S50" i="9"/>
  <c r="T50" i="9"/>
  <c r="P50" i="9"/>
  <c r="O50" i="9"/>
  <c r="Q49" i="9"/>
  <c r="S49" i="9"/>
  <c r="T49" i="9"/>
  <c r="P49" i="9"/>
  <c r="O49" i="9"/>
  <c r="Q48" i="9"/>
  <c r="S48" i="9"/>
  <c r="T48" i="9"/>
  <c r="P48" i="9"/>
  <c r="O48" i="9"/>
  <c r="Q47" i="9"/>
  <c r="S47" i="9"/>
  <c r="T47" i="9"/>
  <c r="P47" i="9"/>
  <c r="O47" i="9"/>
  <c r="Q46" i="9"/>
  <c r="T46" i="9"/>
  <c r="S46" i="9"/>
  <c r="P46" i="9"/>
  <c r="O46" i="9"/>
  <c r="Q45" i="9"/>
  <c r="T45" i="9"/>
  <c r="S45" i="9"/>
  <c r="P45" i="9"/>
  <c r="O45" i="9"/>
  <c r="Q44" i="9"/>
  <c r="S44" i="9"/>
  <c r="T44" i="9"/>
  <c r="P44" i="9"/>
  <c r="O44" i="9"/>
  <c r="Q43" i="9"/>
  <c r="S43" i="9"/>
  <c r="T43" i="9"/>
  <c r="P43" i="9"/>
  <c r="O43" i="9"/>
  <c r="Q35" i="9"/>
  <c r="S35" i="9"/>
  <c r="T35" i="9"/>
  <c r="P35" i="9"/>
  <c r="O35" i="9"/>
  <c r="Q34" i="9"/>
  <c r="S34" i="9"/>
  <c r="T34" i="9"/>
  <c r="P34" i="9"/>
  <c r="O34" i="9"/>
  <c r="Q33" i="9"/>
  <c r="S33" i="9"/>
  <c r="T33" i="9"/>
  <c r="P33" i="9"/>
  <c r="O33" i="9"/>
  <c r="Q32" i="9"/>
  <c r="S32" i="9"/>
  <c r="T32" i="9"/>
  <c r="P32" i="9"/>
  <c r="O32" i="9"/>
  <c r="Q31" i="9"/>
  <c r="T31" i="9"/>
  <c r="S31" i="9"/>
  <c r="P31" i="9"/>
  <c r="O31" i="9"/>
  <c r="Q30" i="9"/>
  <c r="S30" i="9"/>
  <c r="T30" i="9"/>
  <c r="P30" i="9"/>
  <c r="O30" i="9"/>
  <c r="Q29" i="9"/>
  <c r="S29" i="9"/>
  <c r="T29" i="9"/>
  <c r="P29" i="9"/>
  <c r="O29" i="9"/>
  <c r="Q28" i="9"/>
  <c r="S28" i="9"/>
  <c r="T28" i="9"/>
  <c r="P28" i="9"/>
  <c r="O28" i="9"/>
  <c r="Q27" i="9"/>
  <c r="S27" i="9"/>
  <c r="T27" i="9"/>
  <c r="P27" i="9"/>
  <c r="O27" i="9"/>
  <c r="Q26" i="9"/>
  <c r="S26" i="9"/>
  <c r="T26" i="9"/>
  <c r="P26" i="9"/>
  <c r="O26" i="9"/>
  <c r="Q25" i="9"/>
  <c r="T25" i="9"/>
  <c r="S25" i="9"/>
  <c r="P25" i="9"/>
  <c r="O25" i="9"/>
  <c r="Q24" i="9"/>
  <c r="S24" i="9"/>
  <c r="T24" i="9"/>
  <c r="P24" i="9"/>
  <c r="O24" i="9"/>
  <c r="Q23" i="9"/>
  <c r="S23" i="9"/>
  <c r="T23" i="9"/>
  <c r="P23" i="9"/>
  <c r="O23" i="9"/>
  <c r="Q22" i="9"/>
  <c r="S22" i="9"/>
  <c r="T22" i="9"/>
  <c r="P22" i="9"/>
  <c r="O22" i="9"/>
  <c r="Q21" i="9"/>
  <c r="S21" i="9"/>
  <c r="T21" i="9"/>
  <c r="P21" i="9"/>
  <c r="O21" i="9"/>
  <c r="Q20" i="9"/>
  <c r="S20" i="9"/>
  <c r="T20" i="9"/>
  <c r="P20" i="9"/>
  <c r="O20" i="9"/>
  <c r="Q19" i="9"/>
  <c r="T19" i="9"/>
  <c r="S19" i="9"/>
  <c r="P19" i="9"/>
  <c r="O19" i="9"/>
  <c r="Q18" i="9"/>
  <c r="S18" i="9"/>
  <c r="T18" i="9"/>
  <c r="P18" i="9"/>
  <c r="O18" i="9"/>
  <c r="Q17" i="9"/>
  <c r="S17" i="9"/>
  <c r="T17" i="9"/>
  <c r="P17" i="9"/>
  <c r="O17" i="9"/>
  <c r="Q16" i="9"/>
  <c r="S16" i="9"/>
  <c r="T16" i="9"/>
  <c r="P16" i="9"/>
  <c r="O16" i="9"/>
  <c r="Q15" i="9"/>
  <c r="S15" i="9"/>
  <c r="T15" i="9"/>
  <c r="P15" i="9"/>
  <c r="O15" i="9"/>
  <c r="Q14" i="9"/>
  <c r="S14" i="9"/>
  <c r="T14" i="9"/>
  <c r="P14" i="9"/>
  <c r="O14" i="9"/>
  <c r="Q13" i="9"/>
  <c r="T13" i="9"/>
  <c r="S13" i="9"/>
  <c r="P13" i="9"/>
  <c r="O13" i="9"/>
  <c r="Q12" i="9"/>
  <c r="T12" i="9"/>
  <c r="S12" i="9"/>
  <c r="P12" i="9"/>
  <c r="O12" i="9"/>
  <c r="Q11" i="9"/>
  <c r="S11" i="9"/>
  <c r="T11" i="9"/>
  <c r="P11" i="9"/>
  <c r="O11" i="9"/>
  <c r="Q10" i="9"/>
  <c r="S10" i="9"/>
  <c r="T10" i="9"/>
  <c r="P10" i="9"/>
  <c r="O10" i="9"/>
  <c r="AH121" i="7"/>
  <c r="AG121" i="7"/>
  <c r="AF121" i="7"/>
  <c r="AE121" i="7"/>
  <c r="AD121" i="7"/>
  <c r="AC121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M39" i="7"/>
  <c r="L39" i="7"/>
  <c r="M38" i="7"/>
  <c r="L38" i="7"/>
  <c r="M35" i="7"/>
  <c r="M37" i="7"/>
  <c r="L35" i="7"/>
  <c r="L37" i="7"/>
  <c r="K37" i="7"/>
  <c r="J37" i="7"/>
  <c r="I37" i="7"/>
  <c r="H37" i="7"/>
  <c r="G37" i="7"/>
  <c r="F37" i="7"/>
  <c r="E37" i="7"/>
  <c r="D37" i="7"/>
  <c r="M36" i="7"/>
  <c r="L36" i="7"/>
  <c r="M34" i="7"/>
  <c r="L34" i="7"/>
  <c r="M27" i="7"/>
  <c r="M29" i="7"/>
  <c r="L27" i="7"/>
  <c r="L29" i="7"/>
  <c r="K29" i="7"/>
  <c r="J29" i="7"/>
  <c r="I29" i="7"/>
  <c r="H29" i="7"/>
  <c r="G29" i="7"/>
  <c r="F29" i="7"/>
  <c r="E29" i="7"/>
  <c r="D29" i="7"/>
  <c r="M28" i="7"/>
  <c r="L28" i="7"/>
  <c r="M26" i="7"/>
  <c r="L26" i="7"/>
  <c r="Q19" i="7"/>
  <c r="T19" i="7"/>
  <c r="S19" i="7"/>
  <c r="P19" i="7"/>
  <c r="O19" i="7"/>
  <c r="Q18" i="7"/>
  <c r="T18" i="7"/>
  <c r="S18" i="7"/>
  <c r="P18" i="7"/>
  <c r="O18" i="7"/>
  <c r="Q16" i="7"/>
  <c r="S16" i="7"/>
  <c r="T16" i="7"/>
  <c r="P16" i="7"/>
  <c r="O16" i="7"/>
  <c r="Q15" i="7"/>
  <c r="T15" i="7"/>
  <c r="S15" i="7"/>
  <c r="P15" i="7"/>
  <c r="O15" i="7"/>
  <c r="Q14" i="7"/>
  <c r="S14" i="7"/>
  <c r="T14" i="7"/>
  <c r="P14" i="7"/>
  <c r="O14" i="7"/>
  <c r="Q13" i="7"/>
  <c r="S13" i="7"/>
  <c r="T13" i="7"/>
  <c r="P13" i="7"/>
  <c r="O13" i="7"/>
  <c r="Q12" i="7"/>
  <c r="S12" i="7"/>
  <c r="T12" i="7"/>
  <c r="P12" i="7"/>
  <c r="O12" i="7"/>
  <c r="Q11" i="7"/>
  <c r="S11" i="7"/>
  <c r="T11" i="7"/>
  <c r="P11" i="7"/>
  <c r="O11" i="7"/>
  <c r="D240" i="6"/>
  <c r="E240" i="6"/>
  <c r="F240" i="6"/>
  <c r="G240" i="6"/>
  <c r="H240" i="6"/>
  <c r="I227" i="6"/>
  <c r="I231" i="6"/>
  <c r="I235" i="6"/>
  <c r="I239" i="6"/>
  <c r="I240" i="6"/>
  <c r="J227" i="6"/>
  <c r="J231" i="6"/>
  <c r="J235" i="6"/>
  <c r="J239" i="6"/>
  <c r="J240" i="6"/>
  <c r="K227" i="6"/>
  <c r="K231" i="6"/>
  <c r="K235" i="6"/>
  <c r="K239" i="6"/>
  <c r="K240" i="6"/>
  <c r="L227" i="6"/>
  <c r="L231" i="6"/>
  <c r="L235" i="6"/>
  <c r="L239" i="6"/>
  <c r="L240" i="6"/>
  <c r="M227" i="6"/>
  <c r="M231" i="6"/>
  <c r="M235" i="6"/>
  <c r="M239" i="6"/>
  <c r="M240" i="6"/>
  <c r="D263" i="6"/>
  <c r="E263" i="6"/>
  <c r="F263" i="6"/>
  <c r="G263" i="6"/>
  <c r="H263" i="6"/>
  <c r="I250" i="6"/>
  <c r="I254" i="6"/>
  <c r="I258" i="6"/>
  <c r="I262" i="6"/>
  <c r="I263" i="6"/>
  <c r="J250" i="6"/>
  <c r="J254" i="6"/>
  <c r="J258" i="6"/>
  <c r="J262" i="6"/>
  <c r="J263" i="6"/>
  <c r="K250" i="6"/>
  <c r="K254" i="6"/>
  <c r="K258" i="6"/>
  <c r="K262" i="6"/>
  <c r="K263" i="6"/>
  <c r="L250" i="6"/>
  <c r="L254" i="6"/>
  <c r="L258" i="6"/>
  <c r="L262" i="6"/>
  <c r="L263" i="6"/>
  <c r="M250" i="6"/>
  <c r="M254" i="6"/>
  <c r="M258" i="6"/>
  <c r="M262" i="6"/>
  <c r="M263" i="6"/>
  <c r="D266" i="6"/>
  <c r="Q250" i="6"/>
  <c r="Q254" i="6"/>
  <c r="Q258" i="6"/>
  <c r="Q262" i="6"/>
  <c r="Q263" i="6"/>
  <c r="T263" i="6"/>
  <c r="S250" i="6"/>
  <c r="S254" i="6"/>
  <c r="S258" i="6"/>
  <c r="S262" i="6"/>
  <c r="S263" i="6"/>
  <c r="P250" i="6"/>
  <c r="P254" i="6"/>
  <c r="P258" i="6"/>
  <c r="P262" i="6"/>
  <c r="P263" i="6"/>
  <c r="O250" i="6"/>
  <c r="O254" i="6"/>
  <c r="O258" i="6"/>
  <c r="O262" i="6"/>
  <c r="O263" i="6"/>
  <c r="T262" i="6"/>
  <c r="T258" i="6"/>
  <c r="T254" i="6"/>
  <c r="T250" i="6"/>
  <c r="Q227" i="6"/>
  <c r="Q231" i="6"/>
  <c r="Q235" i="6"/>
  <c r="Q239" i="6"/>
  <c r="Q240" i="6"/>
  <c r="T240" i="6"/>
  <c r="S227" i="6"/>
  <c r="S231" i="6"/>
  <c r="S235" i="6"/>
  <c r="S239" i="6"/>
  <c r="S240" i="6"/>
  <c r="P227" i="6"/>
  <c r="P231" i="6"/>
  <c r="P235" i="6"/>
  <c r="P239" i="6"/>
  <c r="P240" i="6"/>
  <c r="O227" i="6"/>
  <c r="O231" i="6"/>
  <c r="O235" i="6"/>
  <c r="O239" i="6"/>
  <c r="O240" i="6"/>
  <c r="T239" i="6"/>
  <c r="T235" i="6"/>
  <c r="T231" i="6"/>
  <c r="T227" i="6"/>
  <c r="Q192" i="6"/>
  <c r="Q200" i="6"/>
  <c r="Q208" i="6"/>
  <c r="Q216" i="6"/>
  <c r="Q217" i="6"/>
  <c r="T217" i="6"/>
  <c r="I192" i="6"/>
  <c r="J192" i="6"/>
  <c r="K192" i="6"/>
  <c r="L192" i="6"/>
  <c r="M192" i="6"/>
  <c r="S192" i="6"/>
  <c r="I200" i="6"/>
  <c r="J200" i="6"/>
  <c r="K200" i="6"/>
  <c r="L200" i="6"/>
  <c r="M200" i="6"/>
  <c r="S200" i="6"/>
  <c r="I208" i="6"/>
  <c r="J208" i="6"/>
  <c r="K208" i="6"/>
  <c r="L208" i="6"/>
  <c r="M208" i="6"/>
  <c r="S208" i="6"/>
  <c r="I216" i="6"/>
  <c r="J216" i="6"/>
  <c r="K216" i="6"/>
  <c r="L216" i="6"/>
  <c r="M216" i="6"/>
  <c r="S216" i="6"/>
  <c r="S217" i="6"/>
  <c r="P192" i="6"/>
  <c r="P200" i="6"/>
  <c r="P208" i="6"/>
  <c r="P216" i="6"/>
  <c r="P217" i="6"/>
  <c r="O192" i="6"/>
  <c r="O200" i="6"/>
  <c r="O208" i="6"/>
  <c r="O216" i="6"/>
  <c r="O217" i="6"/>
  <c r="M217" i="6"/>
  <c r="L217" i="6"/>
  <c r="K217" i="6"/>
  <c r="J217" i="6"/>
  <c r="I217" i="6"/>
  <c r="H217" i="6"/>
  <c r="G217" i="6"/>
  <c r="F217" i="6"/>
  <c r="E217" i="6"/>
  <c r="D217" i="6"/>
  <c r="T216" i="6"/>
  <c r="M215" i="6"/>
  <c r="L215" i="6"/>
  <c r="K215" i="6"/>
  <c r="J215" i="6"/>
  <c r="I215" i="6"/>
  <c r="M212" i="6"/>
  <c r="L212" i="6"/>
  <c r="K212" i="6"/>
  <c r="J212" i="6"/>
  <c r="I212" i="6"/>
  <c r="T208" i="6"/>
  <c r="M207" i="6"/>
  <c r="L207" i="6"/>
  <c r="K207" i="6"/>
  <c r="J207" i="6"/>
  <c r="I207" i="6"/>
  <c r="M204" i="6"/>
  <c r="L204" i="6"/>
  <c r="K204" i="6"/>
  <c r="J204" i="6"/>
  <c r="I204" i="6"/>
  <c r="T200" i="6"/>
  <c r="M199" i="6"/>
  <c r="L199" i="6"/>
  <c r="K199" i="6"/>
  <c r="J199" i="6"/>
  <c r="I199" i="6"/>
  <c r="M196" i="6"/>
  <c r="L196" i="6"/>
  <c r="K196" i="6"/>
  <c r="J196" i="6"/>
  <c r="I196" i="6"/>
  <c r="T192" i="6"/>
  <c r="M191" i="6"/>
  <c r="L191" i="6"/>
  <c r="K191" i="6"/>
  <c r="J191" i="6"/>
  <c r="I191" i="6"/>
  <c r="M188" i="6"/>
  <c r="L188" i="6"/>
  <c r="K188" i="6"/>
  <c r="J188" i="6"/>
  <c r="I188" i="6"/>
  <c r="Q153" i="6"/>
  <c r="Q161" i="6"/>
  <c r="Q169" i="6"/>
  <c r="Q177" i="6"/>
  <c r="Q178" i="6"/>
  <c r="T178" i="6"/>
  <c r="I153" i="6"/>
  <c r="J153" i="6"/>
  <c r="K153" i="6"/>
  <c r="L153" i="6"/>
  <c r="M153" i="6"/>
  <c r="S153" i="6"/>
  <c r="I161" i="6"/>
  <c r="J161" i="6"/>
  <c r="K161" i="6"/>
  <c r="L161" i="6"/>
  <c r="M161" i="6"/>
  <c r="S161" i="6"/>
  <c r="I169" i="6"/>
  <c r="J169" i="6"/>
  <c r="K169" i="6"/>
  <c r="L169" i="6"/>
  <c r="M169" i="6"/>
  <c r="S169" i="6"/>
  <c r="I177" i="6"/>
  <c r="J177" i="6"/>
  <c r="K177" i="6"/>
  <c r="L177" i="6"/>
  <c r="M177" i="6"/>
  <c r="S177" i="6"/>
  <c r="S178" i="6"/>
  <c r="P153" i="6"/>
  <c r="P161" i="6"/>
  <c r="P169" i="6"/>
  <c r="P177" i="6"/>
  <c r="P178" i="6"/>
  <c r="O153" i="6"/>
  <c r="O161" i="6"/>
  <c r="O169" i="6"/>
  <c r="O177" i="6"/>
  <c r="O178" i="6"/>
  <c r="M178" i="6"/>
  <c r="L178" i="6"/>
  <c r="K178" i="6"/>
  <c r="J178" i="6"/>
  <c r="I178" i="6"/>
  <c r="H178" i="6"/>
  <c r="G178" i="6"/>
  <c r="F178" i="6"/>
  <c r="E178" i="6"/>
  <c r="D178" i="6"/>
  <c r="T177" i="6"/>
  <c r="M176" i="6"/>
  <c r="L176" i="6"/>
  <c r="K176" i="6"/>
  <c r="J176" i="6"/>
  <c r="I176" i="6"/>
  <c r="M173" i="6"/>
  <c r="L173" i="6"/>
  <c r="K173" i="6"/>
  <c r="J173" i="6"/>
  <c r="I173" i="6"/>
  <c r="T169" i="6"/>
  <c r="M168" i="6"/>
  <c r="L168" i="6"/>
  <c r="K168" i="6"/>
  <c r="J168" i="6"/>
  <c r="I168" i="6"/>
  <c r="M165" i="6"/>
  <c r="L165" i="6"/>
  <c r="K165" i="6"/>
  <c r="J165" i="6"/>
  <c r="I165" i="6"/>
  <c r="T161" i="6"/>
  <c r="M160" i="6"/>
  <c r="L160" i="6"/>
  <c r="K160" i="6"/>
  <c r="J160" i="6"/>
  <c r="I160" i="6"/>
  <c r="M157" i="6"/>
  <c r="L157" i="6"/>
  <c r="K157" i="6"/>
  <c r="J157" i="6"/>
  <c r="I157" i="6"/>
  <c r="T153" i="6"/>
  <c r="M152" i="6"/>
  <c r="L152" i="6"/>
  <c r="K152" i="6"/>
  <c r="J152" i="6"/>
  <c r="I152" i="6"/>
  <c r="M149" i="6"/>
  <c r="L149" i="6"/>
  <c r="K149" i="6"/>
  <c r="J149" i="6"/>
  <c r="I149" i="6"/>
  <c r="M118" i="6"/>
  <c r="M124" i="6"/>
  <c r="M130" i="6"/>
  <c r="M136" i="6"/>
  <c r="M137" i="6"/>
  <c r="L118" i="6"/>
  <c r="L124" i="6"/>
  <c r="L130" i="6"/>
  <c r="L136" i="6"/>
  <c r="L137" i="6"/>
  <c r="K118" i="6"/>
  <c r="K124" i="6"/>
  <c r="K130" i="6"/>
  <c r="K136" i="6"/>
  <c r="K137" i="6"/>
  <c r="J118" i="6"/>
  <c r="J124" i="6"/>
  <c r="J130" i="6"/>
  <c r="J136" i="6"/>
  <c r="J137" i="6"/>
  <c r="I118" i="6"/>
  <c r="I124" i="6"/>
  <c r="I130" i="6"/>
  <c r="I136" i="6"/>
  <c r="I137" i="6"/>
  <c r="H137" i="6"/>
  <c r="G137" i="6"/>
  <c r="F137" i="6"/>
  <c r="E137" i="6"/>
  <c r="D137" i="6"/>
  <c r="M87" i="6"/>
  <c r="M93" i="6"/>
  <c r="M99" i="6"/>
  <c r="M105" i="6"/>
  <c r="M106" i="6"/>
  <c r="L87" i="6"/>
  <c r="L93" i="6"/>
  <c r="L99" i="6"/>
  <c r="L105" i="6"/>
  <c r="L106" i="6"/>
  <c r="K87" i="6"/>
  <c r="K93" i="6"/>
  <c r="K99" i="6"/>
  <c r="K105" i="6"/>
  <c r="K106" i="6"/>
  <c r="J87" i="6"/>
  <c r="J93" i="6"/>
  <c r="J99" i="6"/>
  <c r="J105" i="6"/>
  <c r="J106" i="6"/>
  <c r="I87" i="6"/>
  <c r="I93" i="6"/>
  <c r="I99" i="6"/>
  <c r="I105" i="6"/>
  <c r="I106" i="6"/>
  <c r="H106" i="6"/>
  <c r="G106" i="6"/>
  <c r="F106" i="6"/>
  <c r="E106" i="6"/>
  <c r="D106" i="6"/>
  <c r="M52" i="6"/>
  <c r="M53" i="6"/>
  <c r="M54" i="6"/>
  <c r="M55" i="6"/>
  <c r="M58" i="6"/>
  <c r="M59" i="6"/>
  <c r="M60" i="6"/>
  <c r="M61" i="6"/>
  <c r="M64" i="6"/>
  <c r="M65" i="6"/>
  <c r="M66" i="6"/>
  <c r="M67" i="6"/>
  <c r="M70" i="6"/>
  <c r="M71" i="6"/>
  <c r="M72" i="6"/>
  <c r="M73" i="6"/>
  <c r="M75" i="6"/>
  <c r="L52" i="6"/>
  <c r="L53" i="6"/>
  <c r="L54" i="6"/>
  <c r="L55" i="6"/>
  <c r="L58" i="6"/>
  <c r="L59" i="6"/>
  <c r="L60" i="6"/>
  <c r="L61" i="6"/>
  <c r="L64" i="6"/>
  <c r="L65" i="6"/>
  <c r="L66" i="6"/>
  <c r="L67" i="6"/>
  <c r="L70" i="6"/>
  <c r="L71" i="6"/>
  <c r="L72" i="6"/>
  <c r="L73" i="6"/>
  <c r="L75" i="6"/>
  <c r="K52" i="6"/>
  <c r="K53" i="6"/>
  <c r="K54" i="6"/>
  <c r="K55" i="6"/>
  <c r="K58" i="6"/>
  <c r="K59" i="6"/>
  <c r="K60" i="6"/>
  <c r="K61" i="6"/>
  <c r="K64" i="6"/>
  <c r="K65" i="6"/>
  <c r="K66" i="6"/>
  <c r="K67" i="6"/>
  <c r="K70" i="6"/>
  <c r="K71" i="6"/>
  <c r="K72" i="6"/>
  <c r="K73" i="6"/>
  <c r="K75" i="6"/>
  <c r="J52" i="6"/>
  <c r="J53" i="6"/>
  <c r="J54" i="6"/>
  <c r="J55" i="6"/>
  <c r="J58" i="6"/>
  <c r="J59" i="6"/>
  <c r="J60" i="6"/>
  <c r="J61" i="6"/>
  <c r="J64" i="6"/>
  <c r="J65" i="6"/>
  <c r="J66" i="6"/>
  <c r="J67" i="6"/>
  <c r="J70" i="6"/>
  <c r="J71" i="6"/>
  <c r="J72" i="6"/>
  <c r="J73" i="6"/>
  <c r="J75" i="6"/>
  <c r="I52" i="6"/>
  <c r="I53" i="6"/>
  <c r="I54" i="6"/>
  <c r="I55" i="6"/>
  <c r="I58" i="6"/>
  <c r="I59" i="6"/>
  <c r="I60" i="6"/>
  <c r="I61" i="6"/>
  <c r="I64" i="6"/>
  <c r="I65" i="6"/>
  <c r="I66" i="6"/>
  <c r="I67" i="6"/>
  <c r="I70" i="6"/>
  <c r="I71" i="6"/>
  <c r="I72" i="6"/>
  <c r="I73" i="6"/>
  <c r="I75" i="6"/>
  <c r="H52" i="6"/>
  <c r="H53" i="6"/>
  <c r="H58" i="6"/>
  <c r="H59" i="6"/>
  <c r="H64" i="6"/>
  <c r="H65" i="6"/>
  <c r="H70" i="6"/>
  <c r="H71" i="6"/>
  <c r="H75" i="6"/>
  <c r="G52" i="6"/>
  <c r="G53" i="6"/>
  <c r="G58" i="6"/>
  <c r="G59" i="6"/>
  <c r="G64" i="6"/>
  <c r="G65" i="6"/>
  <c r="G70" i="6"/>
  <c r="G71" i="6"/>
  <c r="G75" i="6"/>
  <c r="F52" i="6"/>
  <c r="F53" i="6"/>
  <c r="F58" i="6"/>
  <c r="F59" i="6"/>
  <c r="F64" i="6"/>
  <c r="F65" i="6"/>
  <c r="F70" i="6"/>
  <c r="F71" i="6"/>
  <c r="F75" i="6"/>
  <c r="E52" i="6"/>
  <c r="E53" i="6"/>
  <c r="E58" i="6"/>
  <c r="E59" i="6"/>
  <c r="E64" i="6"/>
  <c r="E65" i="6"/>
  <c r="E70" i="6"/>
  <c r="E71" i="6"/>
  <c r="E75" i="6"/>
  <c r="D52" i="6"/>
  <c r="D53" i="6"/>
  <c r="D58" i="6"/>
  <c r="D59" i="6"/>
  <c r="D64" i="6"/>
  <c r="D65" i="6"/>
  <c r="D70" i="6"/>
  <c r="D71" i="6"/>
  <c r="D75" i="6"/>
  <c r="M74" i="6"/>
  <c r="L74" i="6"/>
  <c r="K74" i="6"/>
  <c r="J74" i="6"/>
  <c r="I74" i="6"/>
  <c r="H74" i="6"/>
  <c r="G74" i="6"/>
  <c r="F74" i="6"/>
  <c r="E74" i="6"/>
  <c r="D74" i="6"/>
  <c r="M68" i="6"/>
  <c r="L68" i="6"/>
  <c r="K68" i="6"/>
  <c r="J68" i="6"/>
  <c r="I68" i="6"/>
  <c r="H68" i="6"/>
  <c r="G68" i="6"/>
  <c r="F68" i="6"/>
  <c r="E68" i="6"/>
  <c r="D68" i="6"/>
  <c r="M62" i="6"/>
  <c r="L62" i="6"/>
  <c r="K62" i="6"/>
  <c r="J62" i="6"/>
  <c r="I62" i="6"/>
  <c r="H62" i="6"/>
  <c r="G62" i="6"/>
  <c r="F62" i="6"/>
  <c r="E62" i="6"/>
  <c r="D62" i="6"/>
  <c r="M56" i="6"/>
  <c r="L56" i="6"/>
  <c r="K56" i="6"/>
  <c r="J56" i="6"/>
  <c r="I56" i="6"/>
  <c r="H56" i="6"/>
  <c r="G56" i="6"/>
  <c r="F56" i="6"/>
  <c r="E56" i="6"/>
  <c r="D56" i="6"/>
  <c r="D43" i="6"/>
  <c r="E43" i="6"/>
  <c r="F43" i="6"/>
  <c r="G43" i="6"/>
  <c r="H43" i="6"/>
  <c r="Q43" i="6"/>
  <c r="T43" i="6"/>
  <c r="I41" i="6"/>
  <c r="I42" i="6"/>
  <c r="I43" i="6"/>
  <c r="J41" i="6"/>
  <c r="J42" i="6"/>
  <c r="J43" i="6"/>
  <c r="K41" i="6"/>
  <c r="K42" i="6"/>
  <c r="K43" i="6"/>
  <c r="L41" i="6"/>
  <c r="L42" i="6"/>
  <c r="L43" i="6"/>
  <c r="M41" i="6"/>
  <c r="M42" i="6"/>
  <c r="M43" i="6"/>
  <c r="S43" i="6"/>
  <c r="P43" i="6"/>
  <c r="O43" i="6"/>
  <c r="D39" i="6"/>
  <c r="E39" i="6"/>
  <c r="F39" i="6"/>
  <c r="G39" i="6"/>
  <c r="H39" i="6"/>
  <c r="Q39" i="6"/>
  <c r="T39" i="6"/>
  <c r="I37" i="6"/>
  <c r="I38" i="6"/>
  <c r="I39" i="6"/>
  <c r="J37" i="6"/>
  <c r="J38" i="6"/>
  <c r="J39" i="6"/>
  <c r="K37" i="6"/>
  <c r="K38" i="6"/>
  <c r="K39" i="6"/>
  <c r="L37" i="6"/>
  <c r="L38" i="6"/>
  <c r="L39" i="6"/>
  <c r="M37" i="6"/>
  <c r="M38" i="6"/>
  <c r="M39" i="6"/>
  <c r="S39" i="6"/>
  <c r="P39" i="6"/>
  <c r="O39" i="6"/>
  <c r="D35" i="6"/>
  <c r="E35" i="6"/>
  <c r="F35" i="6"/>
  <c r="G35" i="6"/>
  <c r="H35" i="6"/>
  <c r="Q35" i="6"/>
  <c r="T35" i="6"/>
  <c r="I33" i="6"/>
  <c r="I34" i="6"/>
  <c r="I35" i="6"/>
  <c r="J33" i="6"/>
  <c r="J34" i="6"/>
  <c r="J35" i="6"/>
  <c r="K33" i="6"/>
  <c r="K34" i="6"/>
  <c r="K35" i="6"/>
  <c r="L33" i="6"/>
  <c r="L34" i="6"/>
  <c r="L35" i="6"/>
  <c r="M33" i="6"/>
  <c r="M34" i="6"/>
  <c r="M35" i="6"/>
  <c r="S35" i="6"/>
  <c r="P35" i="6"/>
  <c r="O35" i="6"/>
  <c r="D31" i="6"/>
  <c r="E31" i="6"/>
  <c r="F31" i="6"/>
  <c r="G31" i="6"/>
  <c r="H31" i="6"/>
  <c r="Q31" i="6"/>
  <c r="T31" i="6"/>
  <c r="I29" i="6"/>
  <c r="I30" i="6"/>
  <c r="I31" i="6"/>
  <c r="J29" i="6"/>
  <c r="J30" i="6"/>
  <c r="J31" i="6"/>
  <c r="K29" i="6"/>
  <c r="K30" i="6"/>
  <c r="K31" i="6"/>
  <c r="L29" i="6"/>
  <c r="L30" i="6"/>
  <c r="L31" i="6"/>
  <c r="M29" i="6"/>
  <c r="M30" i="6"/>
  <c r="M31" i="6"/>
  <c r="S31" i="6"/>
  <c r="P31" i="6"/>
  <c r="O31" i="6"/>
  <c r="D22" i="6"/>
  <c r="E22" i="6"/>
  <c r="F22" i="6"/>
  <c r="G22" i="6"/>
  <c r="H22" i="6"/>
  <c r="Q22" i="6"/>
  <c r="T22" i="6"/>
  <c r="I22" i="6"/>
  <c r="J22" i="6"/>
  <c r="K22" i="6"/>
  <c r="L22" i="6"/>
  <c r="M22" i="6"/>
  <c r="S22" i="6"/>
  <c r="P22" i="6"/>
  <c r="O22" i="6"/>
  <c r="Q21" i="6"/>
  <c r="T21" i="6"/>
  <c r="S21" i="6"/>
  <c r="P21" i="6"/>
  <c r="O21" i="6"/>
  <c r="Q20" i="6"/>
  <c r="T20" i="6"/>
  <c r="S20" i="6"/>
  <c r="P20" i="6"/>
  <c r="O20" i="6"/>
  <c r="M11" i="6"/>
  <c r="M12" i="6"/>
  <c r="M13" i="6"/>
  <c r="M16" i="6"/>
  <c r="L11" i="6"/>
  <c r="L12" i="6"/>
  <c r="L13" i="6"/>
  <c r="L16" i="6"/>
  <c r="K11" i="6"/>
  <c r="K12" i="6"/>
  <c r="K13" i="6"/>
  <c r="K16" i="6"/>
  <c r="J11" i="6"/>
  <c r="J12" i="6"/>
  <c r="J13" i="6"/>
  <c r="J16" i="6"/>
  <c r="I11" i="6"/>
  <c r="I12" i="6"/>
  <c r="I13" i="6"/>
  <c r="I16" i="6"/>
  <c r="H11" i="6"/>
  <c r="H12" i="6"/>
  <c r="H13" i="6"/>
  <c r="H16" i="6"/>
  <c r="G11" i="6"/>
  <c r="G12" i="6"/>
  <c r="G13" i="6"/>
  <c r="G16" i="6"/>
  <c r="F11" i="6"/>
  <c r="F12" i="6"/>
  <c r="F13" i="6"/>
  <c r="F16" i="6"/>
  <c r="E11" i="6"/>
  <c r="E12" i="6"/>
  <c r="E13" i="6"/>
  <c r="E16" i="6"/>
  <c r="D11" i="6"/>
  <c r="D12" i="6"/>
  <c r="D13" i="6"/>
  <c r="D16" i="6"/>
  <c r="D15" i="6"/>
  <c r="E15" i="6"/>
  <c r="F15" i="6"/>
  <c r="G15" i="6"/>
  <c r="H15" i="6"/>
  <c r="Q15" i="6"/>
  <c r="T15" i="6"/>
  <c r="I15" i="6"/>
  <c r="J15" i="6"/>
  <c r="K15" i="6"/>
  <c r="L15" i="6"/>
  <c r="M15" i="6"/>
  <c r="S15" i="6"/>
  <c r="P15" i="6"/>
  <c r="O15" i="6"/>
  <c r="Q14" i="6"/>
  <c r="T14" i="6"/>
  <c r="S14" i="6"/>
  <c r="P14" i="6"/>
  <c r="O14" i="6"/>
  <c r="Q13" i="6"/>
  <c r="T13" i="6"/>
  <c r="S13" i="6"/>
  <c r="P13" i="6"/>
  <c r="O13" i="6"/>
  <c r="Q12" i="6"/>
  <c r="T12" i="6"/>
  <c r="S12" i="6"/>
  <c r="P12" i="6"/>
  <c r="O12" i="6"/>
  <c r="Q11" i="6"/>
  <c r="T11" i="6"/>
  <c r="S11" i="6"/>
  <c r="P11" i="6"/>
  <c r="O11" i="6"/>
  <c r="D10" i="6"/>
  <c r="E10" i="6"/>
  <c r="F10" i="6"/>
  <c r="G10" i="6"/>
  <c r="H10" i="6"/>
  <c r="Q10" i="6"/>
  <c r="T10" i="6"/>
  <c r="I10" i="6"/>
  <c r="J10" i="6"/>
  <c r="K10" i="6"/>
  <c r="L10" i="6"/>
  <c r="M10" i="6"/>
  <c r="S10" i="6"/>
  <c r="P10" i="6"/>
  <c r="O10" i="6"/>
  <c r="F61" i="25"/>
  <c r="F62" i="25"/>
  <c r="F63" i="25"/>
  <c r="F64" i="25"/>
  <c r="F65" i="25"/>
  <c r="F66" i="25"/>
  <c r="P63" i="25"/>
  <c r="P65" i="25"/>
  <c r="D37" i="23"/>
  <c r="I37" i="23"/>
  <c r="P66" i="25"/>
  <c r="P69" i="25"/>
  <c r="O11" i="25"/>
  <c r="D18" i="25"/>
  <c r="O19" i="25"/>
  <c r="D19" i="25"/>
  <c r="O20" i="25"/>
  <c r="D20" i="25"/>
  <c r="O21" i="25"/>
  <c r="D21" i="25"/>
  <c r="S27" i="25"/>
  <c r="O36" i="25"/>
  <c r="O31" i="25"/>
  <c r="O41" i="25"/>
  <c r="P36" i="25"/>
  <c r="P31" i="25"/>
  <c r="P41" i="25"/>
  <c r="Q36" i="25"/>
  <c r="Q31" i="25"/>
  <c r="Q41" i="25"/>
  <c r="R36" i="25"/>
  <c r="R31" i="25"/>
  <c r="R41" i="25"/>
  <c r="S36" i="25"/>
  <c r="S31" i="25"/>
  <c r="S41" i="25"/>
  <c r="N41" i="25"/>
  <c r="O33" i="25"/>
  <c r="O34" i="25"/>
  <c r="P33" i="25"/>
  <c r="P34" i="25"/>
  <c r="Q33" i="25"/>
  <c r="Q34" i="25"/>
  <c r="R33" i="25"/>
  <c r="R34" i="25"/>
  <c r="S33" i="25"/>
  <c r="S34" i="25"/>
  <c r="O35" i="25"/>
  <c r="D10" i="25"/>
  <c r="O16" i="25"/>
  <c r="O18" i="25"/>
  <c r="D12" i="25"/>
  <c r="O22" i="25"/>
  <c r="D13" i="25"/>
  <c r="O23" i="25"/>
  <c r="D14" i="25"/>
  <c r="D15" i="25"/>
  <c r="D22" i="25"/>
  <c r="D23" i="25"/>
  <c r="D24" i="25"/>
  <c r="P11" i="25"/>
  <c r="E18" i="25"/>
  <c r="P19" i="25"/>
  <c r="E19" i="25"/>
  <c r="P20" i="25"/>
  <c r="E20" i="25"/>
  <c r="P21" i="25"/>
  <c r="E21" i="25"/>
  <c r="P35" i="25"/>
  <c r="E10" i="25"/>
  <c r="P16" i="25"/>
  <c r="P18" i="25"/>
  <c r="E12" i="25"/>
  <c r="P22" i="25"/>
  <c r="E13" i="25"/>
  <c r="E15" i="25"/>
  <c r="E22" i="25"/>
  <c r="E23" i="25"/>
  <c r="E24" i="25"/>
  <c r="Q11" i="25"/>
  <c r="G18" i="25"/>
  <c r="Q19" i="25"/>
  <c r="G19" i="25"/>
  <c r="Q20" i="25"/>
  <c r="G20" i="25"/>
  <c r="Q21" i="25"/>
  <c r="G21" i="25"/>
  <c r="Q35" i="25"/>
  <c r="G10" i="25"/>
  <c r="Q16" i="25"/>
  <c r="Q18" i="25"/>
  <c r="G12" i="25"/>
  <c r="Q22" i="25"/>
  <c r="G13" i="25"/>
  <c r="G15" i="25"/>
  <c r="G22" i="25"/>
  <c r="G23" i="25"/>
  <c r="G24" i="25"/>
  <c r="R11" i="25"/>
  <c r="H18" i="25"/>
  <c r="R19" i="25"/>
  <c r="H19" i="25"/>
  <c r="R20" i="25"/>
  <c r="H20" i="25"/>
  <c r="R21" i="25"/>
  <c r="H21" i="25"/>
  <c r="R35" i="25"/>
  <c r="H10" i="25"/>
  <c r="R16" i="25"/>
  <c r="R18" i="25"/>
  <c r="H12" i="25"/>
  <c r="R22" i="25"/>
  <c r="H13" i="25"/>
  <c r="H15" i="25"/>
  <c r="H22" i="25"/>
  <c r="H23" i="25"/>
  <c r="H24" i="25"/>
  <c r="S11" i="25"/>
  <c r="I18" i="25"/>
  <c r="S19" i="25"/>
  <c r="I19" i="25"/>
  <c r="S20" i="25"/>
  <c r="I20" i="25"/>
  <c r="S21" i="25"/>
  <c r="I21" i="25"/>
  <c r="S35" i="25"/>
  <c r="I10" i="25"/>
  <c r="S16" i="25"/>
  <c r="S18" i="25"/>
  <c r="I12" i="25"/>
  <c r="S22" i="25"/>
  <c r="I13" i="25"/>
  <c r="I15" i="25"/>
  <c r="I22" i="25"/>
  <c r="I23" i="25"/>
  <c r="I24" i="25"/>
  <c r="C47" i="25"/>
  <c r="C99" i="22"/>
  <c r="C42" i="22"/>
  <c r="F42" i="22"/>
  <c r="I42" i="22"/>
  <c r="C52" i="22"/>
  <c r="F52" i="22"/>
  <c r="K5" i="22"/>
  <c r="F21" i="22"/>
  <c r="F22" i="22"/>
  <c r="L5" i="22"/>
  <c r="O9" i="22"/>
  <c r="G9" i="22"/>
  <c r="C96" i="22"/>
  <c r="C39" i="22"/>
  <c r="F39" i="22"/>
  <c r="I39" i="22"/>
  <c r="C49" i="22"/>
  <c r="F49" i="22"/>
  <c r="O6" i="22"/>
  <c r="G6" i="22"/>
  <c r="C50" i="22"/>
  <c r="C51" i="22"/>
  <c r="C110" i="22"/>
  <c r="C97" i="22"/>
  <c r="C40" i="22"/>
  <c r="C55" i="22"/>
  <c r="F40" i="22"/>
  <c r="I40" i="22"/>
  <c r="F50" i="22"/>
  <c r="G7" i="22"/>
  <c r="C98" i="22"/>
  <c r="C41" i="22"/>
  <c r="F41" i="22"/>
  <c r="I41" i="22"/>
  <c r="F51" i="22"/>
  <c r="G8" i="22"/>
  <c r="C53" i="22"/>
  <c r="F53" i="22"/>
  <c r="G10" i="22"/>
  <c r="H9" i="22"/>
  <c r="C100" i="22"/>
  <c r="C43" i="22"/>
  <c r="F43" i="22"/>
  <c r="I43" i="22"/>
  <c r="L6" i="22"/>
  <c r="O10" i="22"/>
  <c r="H10" i="22"/>
  <c r="G17" i="24"/>
  <c r="E47" i="25"/>
  <c r="K47" i="25"/>
  <c r="E48" i="25"/>
  <c r="K48" i="25"/>
  <c r="E81" i="19"/>
  <c r="G81" i="19"/>
  <c r="I81" i="19"/>
  <c r="E82" i="19"/>
  <c r="G82" i="19"/>
  <c r="I82" i="19"/>
  <c r="E83" i="19"/>
  <c r="G83" i="19"/>
  <c r="I83" i="19"/>
  <c r="E84" i="19"/>
  <c r="G84" i="19"/>
  <c r="I84" i="19"/>
  <c r="E85" i="19"/>
  <c r="G85" i="19"/>
  <c r="I85" i="19"/>
  <c r="E86" i="19"/>
  <c r="G86" i="19"/>
  <c r="I86" i="19"/>
  <c r="E87" i="19"/>
  <c r="G87" i="19"/>
  <c r="I87" i="19"/>
  <c r="E88" i="19"/>
  <c r="G88" i="19"/>
  <c r="I88" i="19"/>
  <c r="E89" i="19"/>
  <c r="G89" i="19"/>
  <c r="I89" i="19"/>
  <c r="E90" i="19"/>
  <c r="G90" i="19"/>
  <c r="I90" i="19"/>
  <c r="E91" i="19"/>
  <c r="G91" i="19"/>
  <c r="I91" i="19"/>
  <c r="E92" i="19"/>
  <c r="G92" i="19"/>
  <c r="I92" i="19"/>
  <c r="E93" i="19"/>
  <c r="G93" i="19"/>
  <c r="I93" i="19"/>
  <c r="E94" i="19"/>
  <c r="G94" i="19"/>
  <c r="I94" i="19"/>
  <c r="E95" i="19"/>
  <c r="G95" i="19"/>
  <c r="I95" i="19"/>
  <c r="G96" i="19"/>
  <c r="I96" i="19"/>
  <c r="E97" i="19"/>
  <c r="G97" i="19"/>
  <c r="I97" i="19"/>
  <c r="E98" i="19"/>
  <c r="G98" i="19"/>
  <c r="I98" i="19"/>
  <c r="E99" i="19"/>
  <c r="G99" i="19"/>
  <c r="I99" i="19"/>
  <c r="E100" i="19"/>
  <c r="G100" i="19"/>
  <c r="I100" i="19"/>
  <c r="E101" i="19"/>
  <c r="G101" i="19"/>
  <c r="I101" i="19"/>
  <c r="E102" i="19"/>
  <c r="G102" i="19"/>
  <c r="I102" i="19"/>
  <c r="E103" i="19"/>
  <c r="G103" i="19"/>
  <c r="I103" i="19"/>
  <c r="E104" i="19"/>
  <c r="G104" i="19"/>
  <c r="I104" i="19"/>
  <c r="E105" i="19"/>
  <c r="G105" i="19"/>
  <c r="I105" i="19"/>
  <c r="E106" i="19"/>
  <c r="G106" i="19"/>
  <c r="I106" i="19"/>
  <c r="E107" i="19"/>
  <c r="G107" i="19"/>
  <c r="I107" i="19"/>
  <c r="E108" i="19"/>
  <c r="G108" i="19"/>
  <c r="I108" i="19"/>
  <c r="E109" i="19"/>
  <c r="G109" i="19"/>
  <c r="I109" i="19"/>
  <c r="G110" i="19"/>
  <c r="I110" i="19"/>
  <c r="E111" i="19"/>
  <c r="G111" i="19"/>
  <c r="I111" i="19"/>
  <c r="G112" i="19"/>
  <c r="I112" i="19"/>
  <c r="E113" i="19"/>
  <c r="G113" i="19"/>
  <c r="I113" i="19"/>
  <c r="E114" i="19"/>
  <c r="G114" i="19"/>
  <c r="I114" i="19"/>
  <c r="E115" i="19"/>
  <c r="G115" i="19"/>
  <c r="I115" i="19"/>
  <c r="E116" i="19"/>
  <c r="G116" i="19"/>
  <c r="I116" i="19"/>
  <c r="G117" i="19"/>
  <c r="I117" i="19"/>
  <c r="E118" i="19"/>
  <c r="G118" i="19"/>
  <c r="I118" i="19"/>
  <c r="G119" i="19"/>
  <c r="I119" i="19"/>
  <c r="E120" i="19"/>
  <c r="G120" i="19"/>
  <c r="I120" i="19"/>
  <c r="G149" i="19"/>
  <c r="I149" i="19"/>
  <c r="G150" i="19"/>
  <c r="I150" i="19"/>
  <c r="G9" i="20"/>
  <c r="E20" i="19"/>
  <c r="G20" i="19"/>
  <c r="I20" i="19"/>
  <c r="E21" i="19"/>
  <c r="G21" i="19"/>
  <c r="I21" i="19"/>
  <c r="E22" i="19"/>
  <c r="G22" i="19"/>
  <c r="I22" i="19"/>
  <c r="E23" i="19"/>
  <c r="G23" i="19"/>
  <c r="I23" i="19"/>
  <c r="E24" i="19"/>
  <c r="G24" i="19"/>
  <c r="I24" i="19"/>
  <c r="E25" i="19"/>
  <c r="G25" i="19"/>
  <c r="I25" i="19"/>
  <c r="E26" i="19"/>
  <c r="G26" i="19"/>
  <c r="I26" i="19"/>
  <c r="E27" i="19"/>
  <c r="G27" i="19"/>
  <c r="I27" i="19"/>
  <c r="E28" i="19"/>
  <c r="G28" i="19"/>
  <c r="I28" i="19"/>
  <c r="E29" i="19"/>
  <c r="G29" i="19"/>
  <c r="I29" i="19"/>
  <c r="E30" i="19"/>
  <c r="G30" i="19"/>
  <c r="I30" i="19"/>
  <c r="E31" i="19"/>
  <c r="G31" i="19"/>
  <c r="I31" i="19"/>
  <c r="E32" i="19"/>
  <c r="G32" i="19"/>
  <c r="I32" i="19"/>
  <c r="E33" i="19"/>
  <c r="G33" i="19"/>
  <c r="I33" i="19"/>
  <c r="E34" i="19"/>
  <c r="G34" i="19"/>
  <c r="I34" i="19"/>
  <c r="E35" i="19"/>
  <c r="G35" i="19"/>
  <c r="I35" i="19"/>
  <c r="E36" i="19"/>
  <c r="G36" i="19"/>
  <c r="I36" i="19"/>
  <c r="E37" i="19"/>
  <c r="G37" i="19"/>
  <c r="I37" i="19"/>
  <c r="E38" i="19"/>
  <c r="G38" i="19"/>
  <c r="I38" i="19"/>
  <c r="E39" i="19"/>
  <c r="G39" i="19"/>
  <c r="I39" i="19"/>
  <c r="G6" i="20"/>
  <c r="E62" i="19"/>
  <c r="G62" i="19"/>
  <c r="I62" i="19"/>
  <c r="E63" i="19"/>
  <c r="G63" i="19"/>
  <c r="I63" i="19"/>
  <c r="E69" i="19"/>
  <c r="G69" i="19"/>
  <c r="I69" i="19"/>
  <c r="E70" i="19"/>
  <c r="G70" i="19"/>
  <c r="I70" i="19"/>
  <c r="E75" i="19"/>
  <c r="G75" i="19"/>
  <c r="I75" i="19"/>
  <c r="E76" i="19"/>
  <c r="G76" i="19"/>
  <c r="I76" i="19"/>
  <c r="E77" i="19"/>
  <c r="G77" i="19"/>
  <c r="I77" i="19"/>
  <c r="E78" i="19"/>
  <c r="G78" i="19"/>
  <c r="I78" i="19"/>
  <c r="G7" i="20"/>
  <c r="E42" i="19"/>
  <c r="G42" i="19"/>
  <c r="I42" i="19"/>
  <c r="E43" i="19"/>
  <c r="G43" i="19"/>
  <c r="I43" i="19"/>
  <c r="E44" i="19"/>
  <c r="G44" i="19"/>
  <c r="I44" i="19"/>
  <c r="E45" i="19"/>
  <c r="G45" i="19"/>
  <c r="I45" i="19"/>
  <c r="E46" i="19"/>
  <c r="G46" i="19"/>
  <c r="I46" i="19"/>
  <c r="E47" i="19"/>
  <c r="G47" i="19"/>
  <c r="I47" i="19"/>
  <c r="E48" i="19"/>
  <c r="G48" i="19"/>
  <c r="I48" i="19"/>
  <c r="E49" i="19"/>
  <c r="G49" i="19"/>
  <c r="I49" i="19"/>
  <c r="E50" i="19"/>
  <c r="G50" i="19"/>
  <c r="I50" i="19"/>
  <c r="E51" i="19"/>
  <c r="G51" i="19"/>
  <c r="I51" i="19"/>
  <c r="E52" i="19"/>
  <c r="G52" i="19"/>
  <c r="I52" i="19"/>
  <c r="E53" i="19"/>
  <c r="G53" i="19"/>
  <c r="I53" i="19"/>
  <c r="E54" i="19"/>
  <c r="G54" i="19"/>
  <c r="I54" i="19"/>
  <c r="E55" i="19"/>
  <c r="G55" i="19"/>
  <c r="I55" i="19"/>
  <c r="E56" i="19"/>
  <c r="G56" i="19"/>
  <c r="I56" i="19"/>
  <c r="E59" i="19"/>
  <c r="G59" i="19"/>
  <c r="I59" i="19"/>
  <c r="E60" i="19"/>
  <c r="G60" i="19"/>
  <c r="I60" i="19"/>
  <c r="E61" i="19"/>
  <c r="G61" i="19"/>
  <c r="I61" i="19"/>
  <c r="G64" i="19"/>
  <c r="I64" i="19"/>
  <c r="E65" i="19"/>
  <c r="G65" i="19"/>
  <c r="I65" i="19"/>
  <c r="E66" i="19"/>
  <c r="G66" i="19"/>
  <c r="I66" i="19"/>
  <c r="E67" i="19"/>
  <c r="G67" i="19"/>
  <c r="I67" i="19"/>
  <c r="E68" i="19"/>
  <c r="G68" i="19"/>
  <c r="I68" i="19"/>
  <c r="E71" i="19"/>
  <c r="G71" i="19"/>
  <c r="I71" i="19"/>
  <c r="E72" i="19"/>
  <c r="G72" i="19"/>
  <c r="I72" i="19"/>
  <c r="E158" i="19"/>
  <c r="G158" i="19"/>
  <c r="I158" i="19"/>
  <c r="E159" i="19"/>
  <c r="G159" i="19"/>
  <c r="I159" i="19"/>
  <c r="E160" i="19"/>
  <c r="G160" i="19"/>
  <c r="I160" i="19"/>
  <c r="E161" i="19"/>
  <c r="G161" i="19"/>
  <c r="I161" i="19"/>
  <c r="E162" i="19"/>
  <c r="G162" i="19"/>
  <c r="I162" i="19"/>
  <c r="E163" i="19"/>
  <c r="G163" i="19"/>
  <c r="I163" i="19"/>
  <c r="G153" i="19"/>
  <c r="I153" i="19"/>
  <c r="G154" i="19"/>
  <c r="I154" i="19"/>
  <c r="G8" i="20"/>
  <c r="E121" i="19"/>
  <c r="G121" i="19"/>
  <c r="I121" i="19"/>
  <c r="E122" i="19"/>
  <c r="G122" i="19"/>
  <c r="I122" i="19"/>
  <c r="E123" i="19"/>
  <c r="G123" i="19"/>
  <c r="I123" i="19"/>
  <c r="E124" i="19"/>
  <c r="G124" i="19"/>
  <c r="I124" i="19"/>
  <c r="E125" i="19"/>
  <c r="G125" i="19"/>
  <c r="I125" i="19"/>
  <c r="E126" i="19"/>
  <c r="G126" i="19"/>
  <c r="I126" i="19"/>
  <c r="E127" i="19"/>
  <c r="G127" i="19"/>
  <c r="I127" i="19"/>
  <c r="E128" i="19"/>
  <c r="G128" i="19"/>
  <c r="I128" i="19"/>
  <c r="E129" i="19"/>
  <c r="G129" i="19"/>
  <c r="I129" i="19"/>
  <c r="E130" i="19"/>
  <c r="G130" i="19"/>
  <c r="I130" i="19"/>
  <c r="E131" i="19"/>
  <c r="G131" i="19"/>
  <c r="I131" i="19"/>
  <c r="E132" i="19"/>
  <c r="G132" i="19"/>
  <c r="I132" i="19"/>
  <c r="E133" i="19"/>
  <c r="G133" i="19"/>
  <c r="I133" i="19"/>
  <c r="G134" i="19"/>
  <c r="I134" i="19"/>
  <c r="E135" i="19"/>
  <c r="G135" i="19"/>
  <c r="I135" i="19"/>
  <c r="E136" i="19"/>
  <c r="G136" i="19"/>
  <c r="I136" i="19"/>
  <c r="E137" i="19"/>
  <c r="G137" i="19"/>
  <c r="I137" i="19"/>
  <c r="E138" i="19"/>
  <c r="G138" i="19"/>
  <c r="I138" i="19"/>
  <c r="E139" i="19"/>
  <c r="G139" i="19"/>
  <c r="I139" i="19"/>
  <c r="E140" i="19"/>
  <c r="G140" i="19"/>
  <c r="I140" i="19"/>
  <c r="G141" i="19"/>
  <c r="I141" i="19"/>
  <c r="E142" i="19"/>
  <c r="G142" i="19"/>
  <c r="I142" i="19"/>
  <c r="E143" i="19"/>
  <c r="G143" i="19"/>
  <c r="I143" i="19"/>
  <c r="E144" i="19"/>
  <c r="G144" i="19"/>
  <c r="I144" i="19"/>
  <c r="G145" i="19"/>
  <c r="I145" i="19"/>
  <c r="E146" i="19"/>
  <c r="G146" i="19"/>
  <c r="I146" i="19"/>
  <c r="G10" i="20"/>
  <c r="G11" i="20"/>
  <c r="H9" i="20"/>
  <c r="H10" i="20"/>
  <c r="G22" i="24"/>
  <c r="L7" i="23"/>
  <c r="S7" i="23"/>
  <c r="E7" i="23"/>
  <c r="Z7" i="23"/>
  <c r="AQ7" i="23"/>
  <c r="L8" i="23"/>
  <c r="D8" i="23"/>
  <c r="E8" i="23"/>
  <c r="F8" i="23"/>
  <c r="G8" i="23"/>
  <c r="H8" i="23"/>
  <c r="I8" i="23"/>
  <c r="S8" i="23"/>
  <c r="Z8" i="23"/>
  <c r="AQ8" i="23"/>
  <c r="L9" i="23"/>
  <c r="D9" i="23"/>
  <c r="I9" i="23"/>
  <c r="S9" i="23"/>
  <c r="Z9" i="23"/>
  <c r="AQ9" i="23"/>
  <c r="L10" i="23"/>
  <c r="D10" i="23"/>
  <c r="E10" i="23"/>
  <c r="F10" i="23"/>
  <c r="G10" i="23"/>
  <c r="H10" i="23"/>
  <c r="I10" i="23"/>
  <c r="S10" i="23"/>
  <c r="Z10" i="23"/>
  <c r="AQ10" i="23"/>
  <c r="L11" i="23"/>
  <c r="D11" i="23"/>
  <c r="E11" i="23"/>
  <c r="F11" i="23"/>
  <c r="G11" i="23"/>
  <c r="H11" i="23"/>
  <c r="I11" i="23"/>
  <c r="S11" i="23"/>
  <c r="Z11" i="23"/>
  <c r="AQ11" i="23"/>
  <c r="L12" i="23"/>
  <c r="D12" i="23"/>
  <c r="E12" i="23"/>
  <c r="F12" i="23"/>
  <c r="H12" i="23"/>
  <c r="I12" i="23"/>
  <c r="S12" i="23"/>
  <c r="Z12" i="23"/>
  <c r="AQ12" i="23"/>
  <c r="L13" i="23"/>
  <c r="D13" i="23"/>
  <c r="I13" i="23"/>
  <c r="S13" i="23"/>
  <c r="Z13" i="23"/>
  <c r="AQ13" i="23"/>
  <c r="L14" i="23"/>
  <c r="D14" i="23"/>
  <c r="I14" i="23"/>
  <c r="S14" i="23"/>
  <c r="Z14" i="23"/>
  <c r="AQ14" i="23"/>
  <c r="L15" i="23"/>
  <c r="D15" i="23"/>
  <c r="I15" i="23"/>
  <c r="S15" i="23"/>
  <c r="Z15" i="23"/>
  <c r="AQ15" i="23"/>
  <c r="L16" i="23"/>
  <c r="D16" i="23"/>
  <c r="I16" i="23"/>
  <c r="S16" i="23"/>
  <c r="Z16" i="23"/>
  <c r="AQ16" i="23"/>
  <c r="L17" i="23"/>
  <c r="D17" i="23"/>
  <c r="I17" i="23"/>
  <c r="S17" i="23"/>
  <c r="Z17" i="23"/>
  <c r="AQ17" i="23"/>
  <c r="L18" i="23"/>
  <c r="D18" i="23"/>
  <c r="I18" i="23"/>
  <c r="S18" i="23"/>
  <c r="Z18" i="23"/>
  <c r="AQ18" i="23"/>
  <c r="L19" i="23"/>
  <c r="D19" i="23"/>
  <c r="I19" i="23"/>
  <c r="S19" i="23"/>
  <c r="Z19" i="23"/>
  <c r="AQ19" i="23"/>
  <c r="L20" i="23"/>
  <c r="D20" i="23"/>
  <c r="I20" i="23"/>
  <c r="S20" i="23"/>
  <c r="Z20" i="23"/>
  <c r="AQ20" i="23"/>
  <c r="L21" i="23"/>
  <c r="D21" i="23"/>
  <c r="I21" i="23"/>
  <c r="S21" i="23"/>
  <c r="Z21" i="23"/>
  <c r="AQ21" i="23"/>
  <c r="Z22" i="23"/>
  <c r="AQ22" i="23"/>
  <c r="Z23" i="23"/>
  <c r="AQ23" i="23"/>
  <c r="L24" i="23"/>
  <c r="D24" i="23"/>
  <c r="I24" i="23"/>
  <c r="S24" i="23"/>
  <c r="Z24" i="23"/>
  <c r="AQ24" i="23"/>
  <c r="L25" i="23"/>
  <c r="D25" i="23"/>
  <c r="I25" i="23"/>
  <c r="S25" i="23"/>
  <c r="Z25" i="23"/>
  <c r="AQ25" i="23"/>
  <c r="L26" i="23"/>
  <c r="D26" i="23"/>
  <c r="I26" i="23"/>
  <c r="S26" i="23"/>
  <c r="Z26" i="23"/>
  <c r="AQ26" i="23"/>
  <c r="L27" i="23"/>
  <c r="D27" i="23"/>
  <c r="I27" i="23"/>
  <c r="S27" i="23"/>
  <c r="Z27" i="23"/>
  <c r="AQ27" i="23"/>
  <c r="Z28" i="23"/>
  <c r="AQ28" i="23"/>
  <c r="Z29" i="23"/>
  <c r="AQ29" i="23"/>
  <c r="Z30" i="23"/>
  <c r="AQ30" i="23"/>
  <c r="Z31" i="23"/>
  <c r="AQ31" i="23"/>
  <c r="Z32" i="23"/>
  <c r="AQ32" i="23"/>
  <c r="Z33" i="23"/>
  <c r="AQ33" i="23"/>
  <c r="Z34" i="23"/>
  <c r="AQ34" i="23"/>
  <c r="Z35" i="23"/>
  <c r="AQ35" i="23"/>
  <c r="Z36" i="23"/>
  <c r="AQ36" i="23"/>
  <c r="Z37" i="23"/>
  <c r="AQ37" i="23"/>
  <c r="Z38" i="23"/>
  <c r="AQ38" i="23"/>
  <c r="Z39" i="23"/>
  <c r="AQ39" i="23"/>
  <c r="AQ41" i="23"/>
  <c r="H8" i="20"/>
  <c r="F22" i="24"/>
  <c r="M7" i="23"/>
  <c r="T7" i="23"/>
  <c r="F7" i="23"/>
  <c r="AA7" i="23"/>
  <c r="AR7" i="23"/>
  <c r="M8" i="23"/>
  <c r="T8" i="23"/>
  <c r="AA8" i="23"/>
  <c r="AR8" i="23"/>
  <c r="M9" i="23"/>
  <c r="T9" i="23"/>
  <c r="AA9" i="23"/>
  <c r="AR9" i="23"/>
  <c r="M10" i="23"/>
  <c r="T10" i="23"/>
  <c r="AA10" i="23"/>
  <c r="AR10" i="23"/>
  <c r="M11" i="23"/>
  <c r="T11" i="23"/>
  <c r="AA11" i="23"/>
  <c r="AR11" i="23"/>
  <c r="M12" i="23"/>
  <c r="T12" i="23"/>
  <c r="AA12" i="23"/>
  <c r="AR12" i="23"/>
  <c r="M13" i="23"/>
  <c r="T13" i="23"/>
  <c r="AA13" i="23"/>
  <c r="AR13" i="23"/>
  <c r="M14" i="23"/>
  <c r="T14" i="23"/>
  <c r="AA14" i="23"/>
  <c r="AR14" i="23"/>
  <c r="M15" i="23"/>
  <c r="T15" i="23"/>
  <c r="AA15" i="23"/>
  <c r="AR15" i="23"/>
  <c r="M16" i="23"/>
  <c r="T16" i="23"/>
  <c r="AA16" i="23"/>
  <c r="AR16" i="23"/>
  <c r="M17" i="23"/>
  <c r="T17" i="23"/>
  <c r="AA17" i="23"/>
  <c r="AR17" i="23"/>
  <c r="M18" i="23"/>
  <c r="T18" i="23"/>
  <c r="AA18" i="23"/>
  <c r="AR18" i="23"/>
  <c r="M19" i="23"/>
  <c r="T19" i="23"/>
  <c r="AA19" i="23"/>
  <c r="AR19" i="23"/>
  <c r="M20" i="23"/>
  <c r="T20" i="23"/>
  <c r="AA20" i="23"/>
  <c r="AR20" i="23"/>
  <c r="M21" i="23"/>
  <c r="T21" i="23"/>
  <c r="AA21" i="23"/>
  <c r="AR21" i="23"/>
  <c r="AA22" i="23"/>
  <c r="AR22" i="23"/>
  <c r="AA23" i="23"/>
  <c r="AR23" i="23"/>
  <c r="M24" i="23"/>
  <c r="T24" i="23"/>
  <c r="AA24" i="23"/>
  <c r="AR24" i="23"/>
  <c r="M25" i="23"/>
  <c r="T25" i="23"/>
  <c r="AA25" i="23"/>
  <c r="AR25" i="23"/>
  <c r="M26" i="23"/>
  <c r="T26" i="23"/>
  <c r="AA26" i="23"/>
  <c r="AR26" i="23"/>
  <c r="M27" i="23"/>
  <c r="T27" i="23"/>
  <c r="AA27" i="23"/>
  <c r="AR27" i="23"/>
  <c r="AA28" i="23"/>
  <c r="AR28" i="23"/>
  <c r="AA29" i="23"/>
  <c r="AR29" i="23"/>
  <c r="AA30" i="23"/>
  <c r="AR30" i="23"/>
  <c r="AA31" i="23"/>
  <c r="AR31" i="23"/>
  <c r="AA32" i="23"/>
  <c r="AR32" i="23"/>
  <c r="AA33" i="23"/>
  <c r="AR33" i="23"/>
  <c r="AA34" i="23"/>
  <c r="AR34" i="23"/>
  <c r="AA35" i="23"/>
  <c r="AR35" i="23"/>
  <c r="AA36" i="23"/>
  <c r="AR36" i="23"/>
  <c r="AA37" i="23"/>
  <c r="AR37" i="23"/>
  <c r="AA38" i="23"/>
  <c r="AR38" i="23"/>
  <c r="AA39" i="23"/>
  <c r="AR39" i="23"/>
  <c r="AR41" i="23"/>
  <c r="H7" i="20"/>
  <c r="E22" i="24"/>
  <c r="N7" i="23"/>
  <c r="U7" i="23"/>
  <c r="AB7" i="23"/>
  <c r="AS7" i="23"/>
  <c r="N8" i="23"/>
  <c r="U8" i="23"/>
  <c r="AB8" i="23"/>
  <c r="AS8" i="23"/>
  <c r="N9" i="23"/>
  <c r="U9" i="23"/>
  <c r="AB9" i="23"/>
  <c r="AS9" i="23"/>
  <c r="N10" i="23"/>
  <c r="U10" i="23"/>
  <c r="AB10" i="23"/>
  <c r="AS10" i="23"/>
  <c r="N11" i="23"/>
  <c r="U11" i="23"/>
  <c r="AB11" i="23"/>
  <c r="AS11" i="23"/>
  <c r="N12" i="23"/>
  <c r="U12" i="23"/>
  <c r="AB12" i="23"/>
  <c r="AS12" i="23"/>
  <c r="N13" i="23"/>
  <c r="U13" i="23"/>
  <c r="AB13" i="23"/>
  <c r="AS13" i="23"/>
  <c r="N14" i="23"/>
  <c r="U14" i="23"/>
  <c r="AB14" i="23"/>
  <c r="AS14" i="23"/>
  <c r="N15" i="23"/>
  <c r="U15" i="23"/>
  <c r="AB15" i="23"/>
  <c r="AS15" i="23"/>
  <c r="N16" i="23"/>
  <c r="U16" i="23"/>
  <c r="AB16" i="23"/>
  <c r="AS16" i="23"/>
  <c r="N17" i="23"/>
  <c r="U17" i="23"/>
  <c r="AB17" i="23"/>
  <c r="AS17" i="23"/>
  <c r="N18" i="23"/>
  <c r="U18" i="23"/>
  <c r="AB18" i="23"/>
  <c r="AS18" i="23"/>
  <c r="N19" i="23"/>
  <c r="U19" i="23"/>
  <c r="AB19" i="23"/>
  <c r="AS19" i="23"/>
  <c r="N20" i="23"/>
  <c r="U20" i="23"/>
  <c r="AB20" i="23"/>
  <c r="AS20" i="23"/>
  <c r="N21" i="23"/>
  <c r="U21" i="23"/>
  <c r="AB21" i="23"/>
  <c r="AS21" i="23"/>
  <c r="AB22" i="23"/>
  <c r="AS22" i="23"/>
  <c r="AB23" i="23"/>
  <c r="AS23" i="23"/>
  <c r="N24" i="23"/>
  <c r="U24" i="23"/>
  <c r="AB24" i="23"/>
  <c r="AS24" i="23"/>
  <c r="N25" i="23"/>
  <c r="U25" i="23"/>
  <c r="AB25" i="23"/>
  <c r="AS25" i="23"/>
  <c r="N26" i="23"/>
  <c r="U26" i="23"/>
  <c r="AB26" i="23"/>
  <c r="AS26" i="23"/>
  <c r="N27" i="23"/>
  <c r="U27" i="23"/>
  <c r="AB27" i="23"/>
  <c r="AS27" i="23"/>
  <c r="AB28" i="23"/>
  <c r="AS28" i="23"/>
  <c r="AB29" i="23"/>
  <c r="AS29" i="23"/>
  <c r="AB30" i="23"/>
  <c r="AS30" i="23"/>
  <c r="AB31" i="23"/>
  <c r="AS31" i="23"/>
  <c r="AB32" i="23"/>
  <c r="AS32" i="23"/>
  <c r="AB33" i="23"/>
  <c r="AS33" i="23"/>
  <c r="AB34" i="23"/>
  <c r="AS34" i="23"/>
  <c r="AB35" i="23"/>
  <c r="AS35" i="23"/>
  <c r="AB36" i="23"/>
  <c r="AS36" i="23"/>
  <c r="AB37" i="23"/>
  <c r="AS37" i="23"/>
  <c r="AB38" i="23"/>
  <c r="AS38" i="23"/>
  <c r="AB39" i="23"/>
  <c r="AS39" i="23"/>
  <c r="AS41" i="23"/>
  <c r="H6" i="20"/>
  <c r="D22" i="24"/>
  <c r="O7" i="23"/>
  <c r="C22" i="24"/>
  <c r="P7" i="23"/>
  <c r="V7" i="23"/>
  <c r="H7" i="23"/>
  <c r="AC7" i="23"/>
  <c r="AT7" i="23"/>
  <c r="O8" i="23"/>
  <c r="P8" i="23"/>
  <c r="V8" i="23"/>
  <c r="AC8" i="23"/>
  <c r="AT8" i="23"/>
  <c r="O9" i="23"/>
  <c r="P9" i="23"/>
  <c r="V9" i="23"/>
  <c r="AC9" i="23"/>
  <c r="AT9" i="23"/>
  <c r="O10" i="23"/>
  <c r="P10" i="23"/>
  <c r="V10" i="23"/>
  <c r="AC10" i="23"/>
  <c r="AT10" i="23"/>
  <c r="O11" i="23"/>
  <c r="P11" i="23"/>
  <c r="V11" i="23"/>
  <c r="AC11" i="23"/>
  <c r="AT11" i="23"/>
  <c r="O12" i="23"/>
  <c r="P12" i="23"/>
  <c r="V12" i="23"/>
  <c r="AC12" i="23"/>
  <c r="AT12" i="23"/>
  <c r="O13" i="23"/>
  <c r="P13" i="23"/>
  <c r="V13" i="23"/>
  <c r="AC13" i="23"/>
  <c r="AT13" i="23"/>
  <c r="O14" i="23"/>
  <c r="P14" i="23"/>
  <c r="V14" i="23"/>
  <c r="AC14" i="23"/>
  <c r="AT14" i="23"/>
  <c r="O15" i="23"/>
  <c r="P15" i="23"/>
  <c r="V15" i="23"/>
  <c r="AC15" i="23"/>
  <c r="AT15" i="23"/>
  <c r="O16" i="23"/>
  <c r="P16" i="23"/>
  <c r="V16" i="23"/>
  <c r="AC16" i="23"/>
  <c r="AT16" i="23"/>
  <c r="O17" i="23"/>
  <c r="P17" i="23"/>
  <c r="V17" i="23"/>
  <c r="AC17" i="23"/>
  <c r="AT17" i="23"/>
  <c r="O18" i="23"/>
  <c r="P18" i="23"/>
  <c r="V18" i="23"/>
  <c r="AC18" i="23"/>
  <c r="AT18" i="23"/>
  <c r="O19" i="23"/>
  <c r="P19" i="23"/>
  <c r="V19" i="23"/>
  <c r="AC19" i="23"/>
  <c r="AT19" i="23"/>
  <c r="O20" i="23"/>
  <c r="P20" i="23"/>
  <c r="V20" i="23"/>
  <c r="AC20" i="23"/>
  <c r="AT20" i="23"/>
  <c r="O21" i="23"/>
  <c r="P21" i="23"/>
  <c r="V21" i="23"/>
  <c r="AC21" i="23"/>
  <c r="AT21" i="23"/>
  <c r="AC22" i="23"/>
  <c r="AT22" i="23"/>
  <c r="AC23" i="23"/>
  <c r="AT23" i="23"/>
  <c r="O24" i="23"/>
  <c r="P24" i="23"/>
  <c r="V24" i="23"/>
  <c r="AC24" i="23"/>
  <c r="AT24" i="23"/>
  <c r="O25" i="23"/>
  <c r="P25" i="23"/>
  <c r="V25" i="23"/>
  <c r="AC25" i="23"/>
  <c r="AT25" i="23"/>
  <c r="O26" i="23"/>
  <c r="P26" i="23"/>
  <c r="V26" i="23"/>
  <c r="AC26" i="23"/>
  <c r="AT26" i="23"/>
  <c r="O27" i="23"/>
  <c r="P27" i="23"/>
  <c r="V27" i="23"/>
  <c r="AC27" i="23"/>
  <c r="AT27" i="23"/>
  <c r="AC28" i="23"/>
  <c r="AT28" i="23"/>
  <c r="AC29" i="23"/>
  <c r="AT29" i="23"/>
  <c r="AC30" i="23"/>
  <c r="AT30" i="23"/>
  <c r="AC31" i="23"/>
  <c r="AT31" i="23"/>
  <c r="AC32" i="23"/>
  <c r="AT32" i="23"/>
  <c r="AC33" i="23"/>
  <c r="AT33" i="23"/>
  <c r="AC34" i="23"/>
  <c r="AT34" i="23"/>
  <c r="AC35" i="23"/>
  <c r="AT35" i="23"/>
  <c r="AC36" i="23"/>
  <c r="AT36" i="23"/>
  <c r="AC37" i="23"/>
  <c r="AT37" i="23"/>
  <c r="AC38" i="23"/>
  <c r="AT38" i="23"/>
  <c r="AC39" i="23"/>
  <c r="AT39" i="23"/>
  <c r="AT41" i="23"/>
  <c r="W7" i="23"/>
  <c r="AD7" i="23"/>
  <c r="AU7" i="23"/>
  <c r="W8" i="23"/>
  <c r="AD8" i="23"/>
  <c r="AU8" i="23"/>
  <c r="W9" i="23"/>
  <c r="AD9" i="23"/>
  <c r="AU9" i="23"/>
  <c r="W10" i="23"/>
  <c r="AD10" i="23"/>
  <c r="AU10" i="23"/>
  <c r="W11" i="23"/>
  <c r="AD11" i="23"/>
  <c r="AU11" i="23"/>
  <c r="W12" i="23"/>
  <c r="AD12" i="23"/>
  <c r="AU12" i="23"/>
  <c r="W13" i="23"/>
  <c r="AD13" i="23"/>
  <c r="AU13" i="23"/>
  <c r="W14" i="23"/>
  <c r="AD14" i="23"/>
  <c r="AU14" i="23"/>
  <c r="W15" i="23"/>
  <c r="AD15" i="23"/>
  <c r="AU15" i="23"/>
  <c r="W16" i="23"/>
  <c r="AD16" i="23"/>
  <c r="AU16" i="23"/>
  <c r="W17" i="23"/>
  <c r="AD17" i="23"/>
  <c r="AU17" i="23"/>
  <c r="W18" i="23"/>
  <c r="AD18" i="23"/>
  <c r="AU18" i="23"/>
  <c r="W19" i="23"/>
  <c r="AD19" i="23"/>
  <c r="AU19" i="23"/>
  <c r="W20" i="23"/>
  <c r="AD20" i="23"/>
  <c r="AU20" i="23"/>
  <c r="W21" i="23"/>
  <c r="AD21" i="23"/>
  <c r="AU21" i="23"/>
  <c r="AD22" i="23"/>
  <c r="AU22" i="23"/>
  <c r="AD23" i="23"/>
  <c r="AU23" i="23"/>
  <c r="W24" i="23"/>
  <c r="AD24" i="23"/>
  <c r="AU24" i="23"/>
  <c r="W25" i="23"/>
  <c r="AD25" i="23"/>
  <c r="AU25" i="23"/>
  <c r="W26" i="23"/>
  <c r="AD26" i="23"/>
  <c r="AU26" i="23"/>
  <c r="W27" i="23"/>
  <c r="AD27" i="23"/>
  <c r="AU27" i="23"/>
  <c r="AD28" i="23"/>
  <c r="AU28" i="23"/>
  <c r="AD29" i="23"/>
  <c r="AU29" i="23"/>
  <c r="AD30" i="23"/>
  <c r="AU30" i="23"/>
  <c r="AD31" i="23"/>
  <c r="AU31" i="23"/>
  <c r="AD32" i="23"/>
  <c r="AU32" i="23"/>
  <c r="AD33" i="23"/>
  <c r="AU33" i="23"/>
  <c r="AD34" i="23"/>
  <c r="AU34" i="23"/>
  <c r="AD35" i="23"/>
  <c r="AU35" i="23"/>
  <c r="AD36" i="23"/>
  <c r="AU36" i="23"/>
  <c r="AD37" i="23"/>
  <c r="AU37" i="23"/>
  <c r="AD38" i="23"/>
  <c r="AU38" i="23"/>
  <c r="AD39" i="23"/>
  <c r="AU39" i="23"/>
  <c r="AU41" i="23"/>
  <c r="AQ40" i="23"/>
  <c r="AQ42" i="23"/>
  <c r="E49" i="25"/>
  <c r="K49" i="25"/>
  <c r="K51" i="25"/>
  <c r="AR42" i="23"/>
  <c r="G49" i="25"/>
  <c r="L49" i="25"/>
  <c r="G47" i="25"/>
  <c r="L47" i="25"/>
  <c r="G48" i="25"/>
  <c r="L48" i="25"/>
  <c r="L51" i="25"/>
  <c r="AS42" i="23"/>
  <c r="H49" i="25"/>
  <c r="M49" i="25"/>
  <c r="H47" i="25"/>
  <c r="M47" i="25"/>
  <c r="H48" i="25"/>
  <c r="M48" i="25"/>
  <c r="M51" i="25"/>
  <c r="AT42" i="23"/>
  <c r="I49" i="25"/>
  <c r="N49" i="25"/>
  <c r="I47" i="25"/>
  <c r="N47" i="25"/>
  <c r="I48" i="25"/>
  <c r="N48" i="25"/>
  <c r="N51" i="25"/>
  <c r="AU42" i="23"/>
  <c r="J49" i="25"/>
  <c r="O49" i="25"/>
  <c r="J47" i="25"/>
  <c r="O47" i="25"/>
  <c r="J48" i="25"/>
  <c r="O48" i="25"/>
  <c r="O51" i="25"/>
  <c r="K52" i="25"/>
  <c r="C87" i="22"/>
  <c r="C19" i="22"/>
  <c r="C88" i="22"/>
  <c r="C20" i="22"/>
  <c r="C89" i="22"/>
  <c r="C21" i="22"/>
  <c r="C90" i="22"/>
  <c r="C22" i="22"/>
  <c r="G70" i="25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49" i="19"/>
  <c r="H150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62" i="19"/>
  <c r="H63" i="19"/>
  <c r="H69" i="19"/>
  <c r="H70" i="19"/>
  <c r="H75" i="19"/>
  <c r="H76" i="19"/>
  <c r="H77" i="19"/>
  <c r="H78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9" i="19"/>
  <c r="H60" i="19"/>
  <c r="H61" i="19"/>
  <c r="H64" i="19"/>
  <c r="H65" i="19"/>
  <c r="H66" i="19"/>
  <c r="H67" i="19"/>
  <c r="H68" i="19"/>
  <c r="H71" i="19"/>
  <c r="H72" i="19"/>
  <c r="H158" i="19"/>
  <c r="H159" i="19"/>
  <c r="H160" i="19"/>
  <c r="H161" i="19"/>
  <c r="H162" i="19"/>
  <c r="H163" i="19"/>
  <c r="H153" i="19"/>
  <c r="H154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F75" i="25"/>
  <c r="O8" i="22"/>
  <c r="H8" i="22"/>
  <c r="F17" i="24"/>
  <c r="L52" i="25"/>
  <c r="G75" i="25"/>
  <c r="O7" i="22"/>
  <c r="H7" i="22"/>
  <c r="E17" i="24"/>
  <c r="M52" i="25"/>
  <c r="H75" i="25"/>
  <c r="H6" i="22"/>
  <c r="D17" i="24"/>
  <c r="N52" i="25"/>
  <c r="C17" i="24"/>
  <c r="O52" i="25"/>
  <c r="I75" i="25"/>
  <c r="P68" i="25"/>
  <c r="J75" i="25"/>
  <c r="B6" i="29"/>
  <c r="B7" i="29"/>
  <c r="E41" i="19"/>
  <c r="H41" i="19"/>
  <c r="G41" i="19"/>
  <c r="I41" i="19"/>
  <c r="E57" i="19"/>
  <c r="H57" i="19"/>
  <c r="G57" i="19"/>
  <c r="I57" i="19"/>
  <c r="E58" i="19"/>
  <c r="H58" i="19"/>
  <c r="G58" i="19"/>
  <c r="I58" i="19"/>
  <c r="B8" i="29"/>
  <c r="B10" i="29"/>
  <c r="B11" i="29"/>
  <c r="B12" i="29"/>
  <c r="B13" i="29"/>
  <c r="B15" i="29"/>
  <c r="B5" i="22"/>
  <c r="A1" i="26"/>
  <c r="A1" i="25"/>
  <c r="A1" i="23"/>
  <c r="B23" i="29"/>
  <c r="B22" i="29"/>
  <c r="B21" i="29"/>
  <c r="B20" i="29"/>
  <c r="Z47" i="23"/>
  <c r="Z48" i="23"/>
  <c r="Z49" i="23"/>
  <c r="F10" i="26"/>
  <c r="G29" i="29"/>
  <c r="C44" i="29"/>
  <c r="I29" i="29"/>
  <c r="E42" i="29"/>
  <c r="AC47" i="23"/>
  <c r="AC48" i="23"/>
  <c r="AC49" i="23"/>
  <c r="C10" i="26"/>
  <c r="AA47" i="23"/>
  <c r="AA48" i="23"/>
  <c r="AA49" i="23"/>
  <c r="E10" i="26"/>
  <c r="A1" i="29"/>
  <c r="H29" i="29"/>
  <c r="F29" i="29"/>
  <c r="E29" i="29"/>
  <c r="AB47" i="23"/>
  <c r="AB48" i="23"/>
  <c r="AB49" i="23"/>
  <c r="D10" i="26"/>
  <c r="D29" i="29"/>
  <c r="C29" i="29"/>
  <c r="AD47" i="23"/>
  <c r="AD48" i="23"/>
  <c r="AD49" i="23"/>
  <c r="B10" i="26"/>
  <c r="B29" i="29"/>
  <c r="D7" i="23"/>
  <c r="F8" i="26"/>
  <c r="E8" i="26"/>
  <c r="D8" i="26"/>
  <c r="C8" i="26"/>
  <c r="B8" i="26"/>
  <c r="F7" i="26"/>
  <c r="E7" i="26"/>
  <c r="D7" i="26"/>
  <c r="C7" i="26"/>
  <c r="B7" i="26"/>
  <c r="F6" i="26"/>
  <c r="E6" i="26"/>
  <c r="D6" i="26"/>
  <c r="C6" i="26"/>
  <c r="B6" i="26"/>
  <c r="F5" i="26"/>
  <c r="E5" i="26"/>
  <c r="D5" i="26"/>
  <c r="C5" i="26"/>
  <c r="B5" i="26"/>
  <c r="D75" i="25"/>
  <c r="G61" i="25"/>
  <c r="G62" i="25"/>
  <c r="G63" i="25"/>
  <c r="G64" i="25"/>
  <c r="G65" i="25"/>
  <c r="G66" i="25"/>
  <c r="C48" i="25"/>
  <c r="C49" i="25"/>
  <c r="C51" i="25"/>
  <c r="O37" i="25"/>
  <c r="O38" i="25"/>
  <c r="P37" i="25"/>
  <c r="P38" i="25"/>
  <c r="Q37" i="25"/>
  <c r="Q38" i="25"/>
  <c r="R37" i="25"/>
  <c r="R38" i="25"/>
  <c r="S37" i="25"/>
  <c r="S38" i="25"/>
  <c r="S39" i="25"/>
  <c r="O29" i="25"/>
  <c r="P29" i="25"/>
  <c r="Q29" i="25"/>
  <c r="R29" i="25"/>
  <c r="S30" i="25"/>
  <c r="R30" i="25"/>
  <c r="Q30" i="25"/>
  <c r="P30" i="25"/>
  <c r="I30" i="25"/>
  <c r="H30" i="25"/>
  <c r="G30" i="25"/>
  <c r="E30" i="25"/>
  <c r="D30" i="25"/>
  <c r="S29" i="25"/>
  <c r="I29" i="25"/>
  <c r="H29" i="25"/>
  <c r="G29" i="25"/>
  <c r="E29" i="25"/>
  <c r="D29" i="25"/>
  <c r="I28" i="25"/>
  <c r="H28" i="25"/>
  <c r="G28" i="25"/>
  <c r="E28" i="25"/>
  <c r="D28" i="25"/>
  <c r="S26" i="25"/>
  <c r="S25" i="25"/>
  <c r="R25" i="25"/>
  <c r="Q25" i="25"/>
  <c r="P25" i="25"/>
  <c r="O25" i="25"/>
  <c r="S24" i="25"/>
  <c r="R24" i="25"/>
  <c r="Q24" i="25"/>
  <c r="P24" i="25"/>
  <c r="O24" i="25"/>
  <c r="S23" i="25"/>
  <c r="R23" i="25"/>
  <c r="Q23" i="25"/>
  <c r="P23" i="25"/>
  <c r="S17" i="25"/>
  <c r="R17" i="25"/>
  <c r="Q17" i="25"/>
  <c r="P17" i="25"/>
  <c r="O17" i="25"/>
  <c r="S14" i="25"/>
  <c r="P14" i="25"/>
  <c r="S13" i="25"/>
  <c r="Q13" i="25"/>
  <c r="O13" i="25"/>
  <c r="F13" i="25"/>
  <c r="S12" i="25"/>
  <c r="R12" i="25"/>
  <c r="Q12" i="25"/>
  <c r="P12" i="25"/>
  <c r="O12" i="25"/>
  <c r="S10" i="25"/>
  <c r="R10" i="25"/>
  <c r="Q10" i="25"/>
  <c r="P10" i="25"/>
  <c r="O10" i="25"/>
  <c r="S9" i="25"/>
  <c r="R9" i="25"/>
  <c r="Q9" i="25"/>
  <c r="P9" i="25"/>
  <c r="O9" i="25"/>
  <c r="H27" i="24"/>
  <c r="H26" i="24"/>
  <c r="H25" i="24"/>
  <c r="H22" i="24"/>
  <c r="H21" i="24"/>
  <c r="D20" i="24"/>
  <c r="F20" i="24"/>
  <c r="G20" i="24"/>
  <c r="H20" i="24"/>
  <c r="D19" i="24"/>
  <c r="F19" i="24"/>
  <c r="G19" i="24"/>
  <c r="H19" i="24"/>
  <c r="H18" i="24"/>
  <c r="A1" i="24"/>
  <c r="AD50" i="23"/>
  <c r="AC50" i="23"/>
  <c r="AB50" i="23"/>
  <c r="AA50" i="23"/>
  <c r="Z50" i="23"/>
  <c r="AD41" i="23"/>
  <c r="Z41" i="23"/>
  <c r="AA41" i="23"/>
  <c r="AB41" i="23"/>
  <c r="AC41" i="23"/>
  <c r="Z40" i="23"/>
  <c r="AD42" i="23"/>
  <c r="AC42" i="23"/>
  <c r="AB42" i="23"/>
  <c r="AA42" i="23"/>
  <c r="Z42" i="23"/>
  <c r="AN7" i="23"/>
  <c r="AN8" i="23"/>
  <c r="AN9" i="23"/>
  <c r="AN10" i="23"/>
  <c r="AN11" i="23"/>
  <c r="AN12" i="23"/>
  <c r="AN13" i="23"/>
  <c r="AN14" i="23"/>
  <c r="AN15" i="23"/>
  <c r="AN16" i="23"/>
  <c r="AN17" i="23"/>
  <c r="AN18" i="23"/>
  <c r="AN19" i="23"/>
  <c r="AN20" i="23"/>
  <c r="AN21" i="23"/>
  <c r="D22" i="23"/>
  <c r="AN22" i="23"/>
  <c r="D23" i="23"/>
  <c r="AN23" i="23"/>
  <c r="AN24" i="23"/>
  <c r="AN25" i="23"/>
  <c r="AN26" i="23"/>
  <c r="AN27" i="23"/>
  <c r="D28" i="23"/>
  <c r="AN28" i="23"/>
  <c r="D29" i="23"/>
  <c r="AN29" i="23"/>
  <c r="D30" i="23"/>
  <c r="AN30" i="23"/>
  <c r="D31" i="23"/>
  <c r="AN31" i="23"/>
  <c r="D32" i="23"/>
  <c r="AN32" i="23"/>
  <c r="D33" i="23"/>
  <c r="AN33" i="23"/>
  <c r="D34" i="23"/>
  <c r="AN34" i="23"/>
  <c r="D35" i="23"/>
  <c r="AN35" i="23"/>
  <c r="D36" i="23"/>
  <c r="AN36" i="23"/>
  <c r="AN37" i="23"/>
  <c r="D38" i="23"/>
  <c r="AN38" i="23"/>
  <c r="D39" i="23"/>
  <c r="AN39" i="23"/>
  <c r="AN40" i="23"/>
  <c r="AM7" i="23"/>
  <c r="AM8" i="23"/>
  <c r="AM9" i="23"/>
  <c r="AM10" i="23"/>
  <c r="AM11" i="23"/>
  <c r="AM12" i="23"/>
  <c r="AM13" i="23"/>
  <c r="AM14" i="23"/>
  <c r="AM15" i="23"/>
  <c r="AM16" i="23"/>
  <c r="AM17" i="23"/>
  <c r="AM18" i="23"/>
  <c r="AM19" i="23"/>
  <c r="AM20" i="23"/>
  <c r="AM21" i="23"/>
  <c r="AM22" i="23"/>
  <c r="AM23" i="23"/>
  <c r="AM24" i="23"/>
  <c r="AM25" i="23"/>
  <c r="AM26" i="23"/>
  <c r="AM27" i="23"/>
  <c r="AM28" i="23"/>
  <c r="AM29" i="23"/>
  <c r="AM30" i="23"/>
  <c r="AM31" i="23"/>
  <c r="AM32" i="23"/>
  <c r="AM33" i="23"/>
  <c r="AM34" i="23"/>
  <c r="AM35" i="23"/>
  <c r="AM36" i="23"/>
  <c r="AM37" i="23"/>
  <c r="AM38" i="23"/>
  <c r="AM39" i="23"/>
  <c r="AM40" i="23"/>
  <c r="I22" i="23"/>
  <c r="O22" i="23"/>
  <c r="V22" i="23"/>
  <c r="I23" i="23"/>
  <c r="O23" i="23"/>
  <c r="V23" i="23"/>
  <c r="I28" i="23"/>
  <c r="O28" i="23"/>
  <c r="V28" i="23"/>
  <c r="I29" i="23"/>
  <c r="O29" i="23"/>
  <c r="V29" i="23"/>
  <c r="I30" i="23"/>
  <c r="O30" i="23"/>
  <c r="V30" i="23"/>
  <c r="I31" i="23"/>
  <c r="O31" i="23"/>
  <c r="V31" i="23"/>
  <c r="I32" i="23"/>
  <c r="O32" i="23"/>
  <c r="V32" i="23"/>
  <c r="I33" i="23"/>
  <c r="O33" i="23"/>
  <c r="V33" i="23"/>
  <c r="I34" i="23"/>
  <c r="O34" i="23"/>
  <c r="V34" i="23"/>
  <c r="I35" i="23"/>
  <c r="O35" i="23"/>
  <c r="V35" i="23"/>
  <c r="I36" i="23"/>
  <c r="O36" i="23"/>
  <c r="V36" i="23"/>
  <c r="O37" i="23"/>
  <c r="V37" i="23"/>
  <c r="I38" i="23"/>
  <c r="O38" i="23"/>
  <c r="V38" i="23"/>
  <c r="I39" i="23"/>
  <c r="O39" i="23"/>
  <c r="V39" i="23"/>
  <c r="V40" i="23"/>
  <c r="N22" i="23"/>
  <c r="U22" i="23"/>
  <c r="N23" i="23"/>
  <c r="U23" i="23"/>
  <c r="N28" i="23"/>
  <c r="U28" i="23"/>
  <c r="N29" i="23"/>
  <c r="U29" i="23"/>
  <c r="N30" i="23"/>
  <c r="U30" i="23"/>
  <c r="N31" i="23"/>
  <c r="U31" i="23"/>
  <c r="N32" i="23"/>
  <c r="U32" i="23"/>
  <c r="N33" i="23"/>
  <c r="U33" i="23"/>
  <c r="N34" i="23"/>
  <c r="U34" i="23"/>
  <c r="N35" i="23"/>
  <c r="U35" i="23"/>
  <c r="N36" i="23"/>
  <c r="U36" i="23"/>
  <c r="N37" i="23"/>
  <c r="U37" i="23"/>
  <c r="N38" i="23"/>
  <c r="U38" i="23"/>
  <c r="N39" i="23"/>
  <c r="U39" i="23"/>
  <c r="U40" i="23"/>
  <c r="M22" i="23"/>
  <c r="T22" i="23"/>
  <c r="M23" i="23"/>
  <c r="T23" i="23"/>
  <c r="M28" i="23"/>
  <c r="T28" i="23"/>
  <c r="M29" i="23"/>
  <c r="T29" i="23"/>
  <c r="M30" i="23"/>
  <c r="T30" i="23"/>
  <c r="M31" i="23"/>
  <c r="T31" i="23"/>
  <c r="M32" i="23"/>
  <c r="T32" i="23"/>
  <c r="M33" i="23"/>
  <c r="T33" i="23"/>
  <c r="M34" i="23"/>
  <c r="T34" i="23"/>
  <c r="M35" i="23"/>
  <c r="T35" i="23"/>
  <c r="M36" i="23"/>
  <c r="T36" i="23"/>
  <c r="M37" i="23"/>
  <c r="T37" i="23"/>
  <c r="M38" i="23"/>
  <c r="T38" i="23"/>
  <c r="M39" i="23"/>
  <c r="T39" i="23"/>
  <c r="T40" i="23"/>
  <c r="L22" i="23"/>
  <c r="S22" i="23"/>
  <c r="L23" i="23"/>
  <c r="S23" i="23"/>
  <c r="L28" i="23"/>
  <c r="S28" i="23"/>
  <c r="L29" i="23"/>
  <c r="S29" i="23"/>
  <c r="L30" i="23"/>
  <c r="S30" i="23"/>
  <c r="L31" i="23"/>
  <c r="S31" i="23"/>
  <c r="L32" i="23"/>
  <c r="S32" i="23"/>
  <c r="L33" i="23"/>
  <c r="S33" i="23"/>
  <c r="L34" i="23"/>
  <c r="S34" i="23"/>
  <c r="L35" i="23"/>
  <c r="S35" i="23"/>
  <c r="L36" i="23"/>
  <c r="S36" i="23"/>
  <c r="L37" i="23"/>
  <c r="S37" i="23"/>
  <c r="L38" i="23"/>
  <c r="S38" i="23"/>
  <c r="L39" i="23"/>
  <c r="S39" i="23"/>
  <c r="S40" i="23"/>
  <c r="D40" i="23"/>
  <c r="E40" i="23"/>
  <c r="F40" i="23"/>
  <c r="G40" i="23"/>
  <c r="H40" i="23"/>
  <c r="I40" i="23"/>
  <c r="P39" i="23"/>
  <c r="W39" i="23"/>
  <c r="P38" i="23"/>
  <c r="W38" i="23"/>
  <c r="P37" i="23"/>
  <c r="W37" i="23"/>
  <c r="P36" i="23"/>
  <c r="W36" i="23"/>
  <c r="P35" i="23"/>
  <c r="W35" i="23"/>
  <c r="P34" i="23"/>
  <c r="W34" i="23"/>
  <c r="P33" i="23"/>
  <c r="W33" i="23"/>
  <c r="P32" i="23"/>
  <c r="W32" i="23"/>
  <c r="P31" i="23"/>
  <c r="W31" i="23"/>
  <c r="P30" i="23"/>
  <c r="W30" i="23"/>
  <c r="P29" i="23"/>
  <c r="W29" i="23"/>
  <c r="P28" i="23"/>
  <c r="W28" i="23"/>
  <c r="P23" i="23"/>
  <c r="W23" i="23"/>
  <c r="P22" i="23"/>
  <c r="W22" i="23"/>
  <c r="C79" i="22"/>
  <c r="C78" i="22"/>
  <c r="C77" i="22"/>
  <c r="C76" i="22"/>
  <c r="C75" i="22"/>
  <c r="C69" i="22"/>
  <c r="C68" i="22"/>
  <c r="C67" i="22"/>
  <c r="C66" i="22"/>
  <c r="I53" i="22"/>
  <c r="I49" i="22"/>
  <c r="I50" i="22"/>
  <c r="I51" i="22"/>
  <c r="I52" i="22"/>
  <c r="J53" i="22"/>
  <c r="J52" i="22"/>
  <c r="J51" i="22"/>
  <c r="J50" i="22"/>
  <c r="J49" i="22"/>
  <c r="F31" i="22"/>
  <c r="C31" i="22"/>
  <c r="F30" i="22"/>
  <c r="C30" i="22"/>
  <c r="F29" i="22"/>
  <c r="C29" i="22"/>
  <c r="F28" i="22"/>
  <c r="C28" i="22"/>
  <c r="I22" i="22"/>
  <c r="I21" i="22"/>
  <c r="I20" i="22"/>
  <c r="F20" i="22"/>
  <c r="I19" i="22"/>
  <c r="F19" i="22"/>
  <c r="A1" i="22"/>
  <c r="B8" i="21"/>
  <c r="B5" i="21"/>
  <c r="B6" i="21"/>
  <c r="B7" i="21"/>
  <c r="F14" i="21"/>
  <c r="E14" i="21"/>
  <c r="F13" i="21"/>
  <c r="E13" i="21"/>
  <c r="D13" i="21"/>
  <c r="A1" i="21"/>
  <c r="H11" i="20"/>
  <c r="A1" i="20"/>
  <c r="E157" i="19"/>
  <c r="H157" i="19"/>
  <c r="G157" i="19"/>
  <c r="I157" i="19"/>
  <c r="E156" i="19"/>
  <c r="H156" i="19"/>
  <c r="G156" i="19"/>
  <c r="I156" i="19"/>
  <c r="E155" i="19"/>
  <c r="H155" i="19"/>
  <c r="G155" i="19"/>
  <c r="I155" i="19"/>
  <c r="E152" i="19"/>
  <c r="H152" i="19"/>
  <c r="G152" i="19"/>
  <c r="I152" i="19"/>
  <c r="E151" i="19"/>
  <c r="H151" i="19"/>
  <c r="G151" i="19"/>
  <c r="I151" i="19"/>
  <c r="E148" i="19"/>
  <c r="H148" i="19"/>
  <c r="G148" i="19"/>
  <c r="I148" i="19"/>
  <c r="E147" i="19"/>
  <c r="H147" i="19"/>
  <c r="G147" i="19"/>
  <c r="I147" i="19"/>
  <c r="E80" i="19"/>
  <c r="H80" i="19"/>
  <c r="G80" i="19"/>
  <c r="I80" i="19"/>
  <c r="E79" i="19"/>
  <c r="H79" i="19"/>
  <c r="G79" i="19"/>
  <c r="I79" i="19"/>
  <c r="E74" i="19"/>
  <c r="H74" i="19"/>
  <c r="G74" i="19"/>
  <c r="I74" i="19"/>
  <c r="E73" i="19"/>
  <c r="H73" i="19"/>
  <c r="G73" i="19"/>
  <c r="I73" i="19"/>
  <c r="E40" i="19"/>
  <c r="H40" i="19"/>
  <c r="G40" i="19"/>
  <c r="I40" i="19"/>
  <c r="A1" i="2"/>
  <c r="A1" i="1"/>
  <c r="B22" i="21"/>
  <c r="B23" i="21"/>
  <c r="F22" i="21"/>
  <c r="F23" i="21"/>
  <c r="E22" i="21"/>
  <c r="E23" i="21"/>
  <c r="P75" i="25"/>
  <c r="P77" i="25"/>
  <c r="L75" i="25"/>
  <c r="L77" i="25"/>
  <c r="D22" i="21"/>
  <c r="D23" i="21"/>
  <c r="M75" i="25"/>
  <c r="M77" i="25"/>
  <c r="C22" i="21"/>
  <c r="C23" i="21"/>
  <c r="N75" i="25"/>
  <c r="N77" i="25"/>
  <c r="O75" i="25"/>
  <c r="O77" i="25"/>
  <c r="R77" i="25"/>
  <c r="P81" i="25"/>
  <c r="G9" i="26"/>
  <c r="L81" i="25"/>
  <c r="S81" i="25"/>
  <c r="M81" i="25"/>
  <c r="N81" i="25"/>
  <c r="O81" i="25"/>
  <c r="R81" i="25"/>
  <c r="BA7" i="23"/>
  <c r="BA8" i="23"/>
  <c r="BA9" i="23"/>
  <c r="BA10" i="23"/>
  <c r="BA11" i="23"/>
  <c r="BA12" i="23"/>
  <c r="BA13" i="23"/>
  <c r="BA14" i="23"/>
  <c r="BA15" i="23"/>
  <c r="BA16" i="23"/>
  <c r="BA17" i="23"/>
  <c r="BA18" i="23"/>
  <c r="BA19" i="23"/>
  <c r="BA20" i="23"/>
  <c r="BA21" i="23"/>
  <c r="BA22" i="23"/>
  <c r="BA23" i="23"/>
  <c r="BA24" i="23"/>
  <c r="BA25" i="23"/>
  <c r="BA26" i="23"/>
  <c r="BA27" i="23"/>
  <c r="BA28" i="23"/>
  <c r="BA29" i="23"/>
  <c r="BA30" i="23"/>
  <c r="BA31" i="23"/>
  <c r="BA32" i="23"/>
  <c r="BA33" i="23"/>
  <c r="BA34" i="23"/>
  <c r="BA35" i="23"/>
  <c r="BA36" i="23"/>
  <c r="BA37" i="23"/>
  <c r="BA38" i="23"/>
  <c r="BA39" i="23"/>
  <c r="BA41" i="23"/>
  <c r="AX7" i="23"/>
  <c r="AX8" i="23"/>
  <c r="AX9" i="23"/>
  <c r="AX10" i="23"/>
  <c r="AX11" i="23"/>
  <c r="AX12" i="23"/>
  <c r="AX13" i="23"/>
  <c r="AX14" i="23"/>
  <c r="AX15" i="23"/>
  <c r="AX16" i="23"/>
  <c r="AX17" i="23"/>
  <c r="AX18" i="23"/>
  <c r="AX19" i="23"/>
  <c r="AX20" i="23"/>
  <c r="AX21" i="23"/>
  <c r="AX22" i="23"/>
  <c r="AX23" i="23"/>
  <c r="AX24" i="23"/>
  <c r="AX25" i="23"/>
  <c r="AX26" i="23"/>
  <c r="AX27" i="23"/>
  <c r="AX28" i="23"/>
  <c r="AX29" i="23"/>
  <c r="AX30" i="23"/>
  <c r="AX31" i="23"/>
  <c r="AX32" i="23"/>
  <c r="AX33" i="23"/>
  <c r="AX34" i="23"/>
  <c r="AX35" i="23"/>
  <c r="AX36" i="23"/>
  <c r="AX37" i="23"/>
  <c r="AX38" i="23"/>
  <c r="AX39" i="23"/>
  <c r="AX41" i="23"/>
  <c r="AY7" i="23"/>
  <c r="AY8" i="23"/>
  <c r="AY9" i="23"/>
  <c r="AY10" i="23"/>
  <c r="AY11" i="23"/>
  <c r="AY12" i="23"/>
  <c r="AY13" i="23"/>
  <c r="AY14" i="23"/>
  <c r="AY15" i="23"/>
  <c r="AY16" i="23"/>
  <c r="AY17" i="23"/>
  <c r="AY18" i="23"/>
  <c r="AY19" i="23"/>
  <c r="AY20" i="23"/>
  <c r="AY21" i="23"/>
  <c r="AY22" i="23"/>
  <c r="AY23" i="23"/>
  <c r="AY24" i="23"/>
  <c r="AY25" i="23"/>
  <c r="AY26" i="23"/>
  <c r="AY27" i="23"/>
  <c r="AY28" i="23"/>
  <c r="AY29" i="23"/>
  <c r="AY30" i="23"/>
  <c r="AY31" i="23"/>
  <c r="AY32" i="23"/>
  <c r="AY33" i="23"/>
  <c r="AY34" i="23"/>
  <c r="AY35" i="23"/>
  <c r="AY36" i="23"/>
  <c r="AY37" i="23"/>
  <c r="AY38" i="23"/>
  <c r="AY39" i="23"/>
  <c r="AY41" i="23"/>
  <c r="AZ7" i="23"/>
  <c r="AZ8" i="23"/>
  <c r="AZ9" i="23"/>
  <c r="AZ10" i="23"/>
  <c r="AZ11" i="23"/>
  <c r="AZ12" i="23"/>
  <c r="AZ13" i="23"/>
  <c r="AZ14" i="23"/>
  <c r="AZ15" i="23"/>
  <c r="AZ16" i="23"/>
  <c r="AZ17" i="23"/>
  <c r="AZ18" i="23"/>
  <c r="AZ19" i="23"/>
  <c r="AZ20" i="23"/>
  <c r="AZ21" i="23"/>
  <c r="AZ22" i="23"/>
  <c r="AZ23" i="23"/>
  <c r="AZ24" i="23"/>
  <c r="AZ25" i="23"/>
  <c r="AZ26" i="23"/>
  <c r="AZ27" i="23"/>
  <c r="AZ28" i="23"/>
  <c r="AZ29" i="23"/>
  <c r="AZ30" i="23"/>
  <c r="AZ31" i="23"/>
  <c r="AZ32" i="23"/>
  <c r="AZ33" i="23"/>
  <c r="AZ34" i="23"/>
  <c r="AZ35" i="23"/>
  <c r="AZ36" i="23"/>
  <c r="AZ37" i="23"/>
  <c r="AZ38" i="23"/>
  <c r="AZ39" i="23"/>
  <c r="AZ41" i="23"/>
  <c r="AX40" i="23"/>
  <c r="BA42" i="23"/>
  <c r="AZ42" i="23"/>
  <c r="AY42" i="23"/>
  <c r="AX42" i="23"/>
  <c r="AJ7" i="23"/>
  <c r="AJ8" i="23"/>
  <c r="AJ9" i="23"/>
  <c r="AJ10" i="23"/>
  <c r="AJ11" i="23"/>
  <c r="AJ12" i="23"/>
  <c r="AJ13" i="23"/>
  <c r="AJ14" i="23"/>
  <c r="AJ15" i="23"/>
  <c r="AJ16" i="23"/>
  <c r="AJ17" i="23"/>
  <c r="AJ18" i="23"/>
  <c r="AJ19" i="23"/>
  <c r="AJ20" i="23"/>
  <c r="AJ21" i="23"/>
  <c r="AJ22" i="23"/>
  <c r="AJ23" i="23"/>
  <c r="AJ24" i="23"/>
  <c r="AJ25" i="23"/>
  <c r="AJ26" i="23"/>
  <c r="AJ27" i="23"/>
  <c r="AJ28" i="23"/>
  <c r="AJ29" i="23"/>
  <c r="AJ30" i="23"/>
  <c r="AJ31" i="23"/>
  <c r="AJ32" i="23"/>
  <c r="AJ33" i="23"/>
  <c r="AJ34" i="23"/>
  <c r="AJ35" i="23"/>
  <c r="AJ36" i="23"/>
  <c r="AJ37" i="23"/>
  <c r="AJ38" i="23"/>
  <c r="AJ39" i="23"/>
  <c r="AJ41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21" i="23"/>
  <c r="AG22" i="23"/>
  <c r="AG23" i="23"/>
  <c r="AG24" i="23"/>
  <c r="AG25" i="23"/>
  <c r="AG26" i="23"/>
  <c r="AG27" i="23"/>
  <c r="AG28" i="23"/>
  <c r="AG29" i="23"/>
  <c r="AG30" i="23"/>
  <c r="AG31" i="23"/>
  <c r="AG32" i="23"/>
  <c r="AG33" i="23"/>
  <c r="AG34" i="23"/>
  <c r="AG35" i="23"/>
  <c r="AG36" i="23"/>
  <c r="AG37" i="23"/>
  <c r="AG38" i="23"/>
  <c r="AG39" i="23"/>
  <c r="AG41" i="23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AH30" i="23"/>
  <c r="AH31" i="23"/>
  <c r="AH32" i="23"/>
  <c r="AH33" i="23"/>
  <c r="AH34" i="23"/>
  <c r="AH35" i="23"/>
  <c r="AH36" i="23"/>
  <c r="AH37" i="23"/>
  <c r="AH38" i="23"/>
  <c r="AH39" i="23"/>
  <c r="AH41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3"/>
  <c r="AI29" i="23"/>
  <c r="AI30" i="23"/>
  <c r="AI31" i="23"/>
  <c r="AI32" i="23"/>
  <c r="AI33" i="23"/>
  <c r="AI34" i="23"/>
  <c r="AI35" i="23"/>
  <c r="AI36" i="23"/>
  <c r="AI37" i="23"/>
  <c r="AI38" i="23"/>
  <c r="AI39" i="23"/>
  <c r="AI41" i="23"/>
  <c r="AG40" i="23"/>
  <c r="AJ42" i="23"/>
  <c r="AI42" i="23"/>
  <c r="AH42" i="23"/>
  <c r="AG42" i="23"/>
  <c r="B9" i="26"/>
  <c r="B28" i="29"/>
  <c r="D9" i="26"/>
  <c r="D28" i="29"/>
  <c r="E9" i="26"/>
  <c r="E28" i="29"/>
  <c r="F9" i="26"/>
  <c r="F28" i="29"/>
  <c r="G28" i="29"/>
  <c r="H28" i="29"/>
  <c r="I28" i="29"/>
  <c r="C9" i="26"/>
  <c r="C28" i="29"/>
  <c r="E50" i="29"/>
  <c r="E59" i="29"/>
  <c r="B51" i="29"/>
  <c r="B60" i="29"/>
  <c r="C51" i="29"/>
  <c r="C60" i="29"/>
  <c r="D51" i="29"/>
  <c r="D60" i="29"/>
  <c r="E51" i="29"/>
  <c r="E60" i="29"/>
  <c r="B52" i="29"/>
  <c r="B61" i="29"/>
  <c r="C52" i="29"/>
  <c r="C61" i="29"/>
  <c r="D52" i="29"/>
  <c r="D61" i="29"/>
  <c r="E52" i="29"/>
  <c r="E61" i="29"/>
  <c r="B53" i="29"/>
  <c r="B62" i="29"/>
  <c r="C53" i="29"/>
  <c r="C62" i="29"/>
  <c r="D53" i="29"/>
  <c r="D62" i="29"/>
  <c r="E53" i="29"/>
  <c r="E62" i="29"/>
  <c r="B54" i="29"/>
  <c r="B63" i="29"/>
  <c r="C54" i="29"/>
  <c r="C63" i="29"/>
  <c r="D54" i="29"/>
  <c r="D63" i="29"/>
  <c r="E54" i="29"/>
  <c r="E63" i="29"/>
  <c r="D50" i="29"/>
  <c r="D59" i="29"/>
  <c r="C50" i="29"/>
  <c r="C59" i="29"/>
  <c r="B50" i="29"/>
  <c r="B59" i="29"/>
</calcChain>
</file>

<file path=xl/comments1.xml><?xml version="1.0" encoding="utf-8"?>
<comments xmlns="http://schemas.openxmlformats.org/spreadsheetml/2006/main">
  <authors>
    <author>George Moran</author>
  </authors>
  <commentList>
    <comment ref="E6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Switch (PM)</t>
        </r>
      </text>
    </comment>
    <comment ref="E96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other 33 UG Cable</t>
        </r>
      </text>
    </comment>
    <comment ref="E11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2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17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3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other 132 UG Cable</t>
        </r>
      </text>
    </comment>
    <comment ref="E141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same as CB</t>
        </r>
      </text>
    </comment>
    <comment ref="E145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assume cost of HV/LV Tx</t>
        </r>
      </text>
    </comment>
    <comment ref="E149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0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3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  <comment ref="E154" authorId="0">
      <text>
        <r>
          <rPr>
            <b/>
            <sz val="8"/>
            <color indexed="81"/>
            <rFont val="Tahoma"/>
            <family val="2"/>
          </rPr>
          <t>George Moran:</t>
        </r>
        <r>
          <rPr>
            <sz val="8"/>
            <color indexed="81"/>
            <rFont val="Tahoma"/>
            <family val="2"/>
          </rPr>
          <t xml:space="preserve">
from Macro costs</t>
        </r>
      </text>
    </comment>
  </commentList>
</comments>
</file>

<file path=xl/sharedStrings.xml><?xml version="1.0" encoding="utf-8"?>
<sst xmlns="http://schemas.openxmlformats.org/spreadsheetml/2006/main" count="4167" uniqueCount="1159">
  <si>
    <t>Description / instructions</t>
  </si>
  <si>
    <t>Inputs</t>
  </si>
  <si>
    <t>Enter input data in blue shaded areas</t>
  </si>
  <si>
    <t>Allowed revenue -DPCR4</t>
  </si>
  <si>
    <t>Use copy-paste to replace the entire contents of this sheet with your input data</t>
  </si>
  <si>
    <t>FBPQ T4</t>
  </si>
  <si>
    <t>FBPQ LR1</t>
  </si>
  <si>
    <t>FBPQ LR1 - V5 opt3</t>
  </si>
  <si>
    <t>FBPQ LR4</t>
  </si>
  <si>
    <t>FBPQ LR6</t>
  </si>
  <si>
    <t>FBPQ NL1</t>
  </si>
  <si>
    <t>NL9 - Legal &amp; Safety</t>
  </si>
  <si>
    <t>FBPQ C2</t>
  </si>
  <si>
    <t>Reductions to net capex</t>
  </si>
  <si>
    <t>RRP 1.3</t>
  </si>
  <si>
    <t>RRP 2.3</t>
  </si>
  <si>
    <t>RRP 2.4</t>
  </si>
  <si>
    <t>RRP 2.6</t>
  </si>
  <si>
    <t>RRP 5.1</t>
  </si>
  <si>
    <t>Summary of revenue</t>
  </si>
  <si>
    <t>Data-MEAV</t>
  </si>
  <si>
    <t>Calc-MEAV</t>
  </si>
  <si>
    <t>Do not change anything in this calculation sheet</t>
  </si>
  <si>
    <t>Calc-Units</t>
  </si>
  <si>
    <t>Calc-Net capex</t>
  </si>
  <si>
    <t>Calc-Drivers</t>
  </si>
  <si>
    <t>Company, charging year, data version</t>
  </si>
  <si>
    <t>Company</t>
  </si>
  <si>
    <t>Charging year</t>
  </si>
  <si>
    <t>Data version</t>
  </si>
  <si>
    <t>Choice of data source for connections-related capital expenditure</t>
  </si>
  <si>
    <t>'LR1 opt 3' is an extended version of LR1, which contains all information from LR1, but breaks down certain lines into more detail.</t>
  </si>
  <si>
    <t>You can use the buttons below to select a LR1 data source.</t>
  </si>
  <si>
    <t>Alternatively, use the cell below to make your selection, using the following coding: 1 for LR1, or 2 for LR1 opt 3.</t>
  </si>
  <si>
    <t>Discount rate used to convert between price control presentations</t>
  </si>
  <si>
    <t>Discount rate</t>
  </si>
  <si>
    <t>132kV/EHV</t>
  </si>
  <si>
    <t>EHV/HV</t>
  </si>
  <si>
    <t>HV/LV</t>
  </si>
  <si>
    <t>2004/05</t>
  </si>
  <si>
    <t>2005/6</t>
  </si>
  <si>
    <t>2006/7</t>
  </si>
  <si>
    <t>2007/8</t>
  </si>
  <si>
    <t>2008/9</t>
  </si>
  <si>
    <t>2009/10</t>
  </si>
  <si>
    <t>(£M)</t>
  </si>
  <si>
    <t>Opening asset value</t>
  </si>
  <si>
    <t xml:space="preserve"> </t>
  </si>
  <si>
    <t>Total capex</t>
  </si>
  <si>
    <t>Depreciation</t>
  </si>
  <si>
    <t>Closing asset value</t>
  </si>
  <si>
    <t>Present value of opening / closing RAV</t>
  </si>
  <si>
    <t>5 Year movement in closing RAV</t>
  </si>
  <si>
    <t>ALLOWED ITEMS</t>
  </si>
  <si>
    <t>Operating costs (excluding pensions)</t>
  </si>
  <si>
    <t>Capital expenditure (excluding pensions)</t>
  </si>
  <si>
    <t>Pensions allowance</t>
  </si>
  <si>
    <t>Tax allowance</t>
  </si>
  <si>
    <t>Capex incentive scheme</t>
  </si>
  <si>
    <t>Sliding scale additional income</t>
  </si>
  <si>
    <t>Opex incentive / Other adjustments</t>
  </si>
  <si>
    <t>Quality award</t>
  </si>
  <si>
    <t>DPCR3 costs</t>
  </si>
  <si>
    <t>Total allowed items</t>
  </si>
  <si>
    <t>Present value of allowed items</t>
  </si>
  <si>
    <t>5 year movement in closing RAV</t>
  </si>
  <si>
    <t>TOTAL PRESENT VALUE OVER 5 YEARS</t>
  </si>
  <si>
    <t>REVENUE</t>
  </si>
  <si>
    <t>Revenue index</t>
  </si>
  <si>
    <t>Discounted revenue index</t>
  </si>
  <si>
    <t>Price control revenue</t>
  </si>
  <si>
    <t>Excluded service revenue</t>
  </si>
  <si>
    <t>Total revenue</t>
  </si>
  <si>
    <t>Present value of total revenue</t>
  </si>
  <si>
    <t>Main Forecast Business Plan DPCR5</t>
  </si>
  <si>
    <t>T4 - Volume Summary</t>
  </si>
  <si>
    <t>Total Asset Register Movement</t>
  </si>
  <si>
    <t>Asset categories</t>
  </si>
  <si>
    <t>Opening Balance DCPR4</t>
  </si>
  <si>
    <t>2005/06</t>
  </si>
  <si>
    <t>2006/07</t>
  </si>
  <si>
    <t>2007/08</t>
  </si>
  <si>
    <t>2008/09</t>
  </si>
  <si>
    <t xml:space="preserve">Assets removed </t>
  </si>
  <si>
    <t>Assets Installed</t>
  </si>
  <si>
    <t>Closing Balance</t>
  </si>
  <si>
    <t>Closing Balance DPCR4</t>
  </si>
  <si>
    <t>LRE</t>
  </si>
  <si>
    <t>NLRE</t>
  </si>
  <si>
    <t>LV Network</t>
  </si>
  <si>
    <t>Overhead lines - Conductor</t>
  </si>
  <si>
    <t>LV Main (OHL)</t>
  </si>
  <si>
    <t>LV Service (OHL)</t>
  </si>
  <si>
    <t>Overhead lines - Support</t>
  </si>
  <si>
    <t>LV Support</t>
  </si>
  <si>
    <t>Underground cables</t>
  </si>
  <si>
    <t>LV Main (UG Consac)</t>
  </si>
  <si>
    <t>LV Main (UG Plastic)</t>
  </si>
  <si>
    <t>LV Main (UG Paper)</t>
  </si>
  <si>
    <t>LV Service (UG)</t>
  </si>
  <si>
    <t xml:space="preserve">Switchgear </t>
  </si>
  <si>
    <t>LV Pillar (ID)</t>
  </si>
  <si>
    <t>LV Pillar (OD)</t>
  </si>
  <si>
    <t>LV Board (WM)</t>
  </si>
  <si>
    <t>LV UGB</t>
  </si>
  <si>
    <t>LV Fuses (PM)</t>
  </si>
  <si>
    <t>LV Fuses (TM)</t>
  </si>
  <si>
    <t>HV network</t>
  </si>
  <si>
    <t>6.6/11 kV OHL (Open)</t>
  </si>
  <si>
    <t>6.6/11 kV OHL (Covered)</t>
  </si>
  <si>
    <t>20 kV OHL (Open)</t>
  </si>
  <si>
    <t>20 kV OHL (Covered)</t>
  </si>
  <si>
    <t>6.6/11 kV Support</t>
  </si>
  <si>
    <t>20 kV Support</t>
  </si>
  <si>
    <t>Underground cables (kms)</t>
  </si>
  <si>
    <t>6.6/11kV UG Cable</t>
  </si>
  <si>
    <t>20kV UG Cable</t>
  </si>
  <si>
    <t>Submarine cables (kms)</t>
  </si>
  <si>
    <t>HV Sub Cable</t>
  </si>
  <si>
    <t>6.6/11 kV CB (PM)</t>
  </si>
  <si>
    <t>6.6/11 kV CB (GM)</t>
  </si>
  <si>
    <t>6.6/11 kV Switch (PM)</t>
  </si>
  <si>
    <t>6.6/11 kV Switch (GM)</t>
  </si>
  <si>
    <t>6.6/11 kV RMU</t>
  </si>
  <si>
    <t>6.6/11 kV Switchgear - Other (PM)</t>
  </si>
  <si>
    <t>6.6/11 kV Switchgear - Other (GM)</t>
  </si>
  <si>
    <t>20 kV CB (PM)</t>
  </si>
  <si>
    <t>20 kV CB (GM)</t>
  </si>
  <si>
    <t>20 kV Switch (PM)</t>
  </si>
  <si>
    <t>20 kV Switch (GM)</t>
  </si>
  <si>
    <t>20 kV RMU</t>
  </si>
  <si>
    <t>20 kV Switchgear - Other (PM)</t>
  </si>
  <si>
    <t>20 kV Switchgear - Other (GM)</t>
  </si>
  <si>
    <t xml:space="preserve">Transformers  </t>
  </si>
  <si>
    <t>6.6/11 kV Transformer (PM)</t>
  </si>
  <si>
    <t>6.6/11 kV Transformer (GM)</t>
  </si>
  <si>
    <t>20 kV Transformer (PM)</t>
  </si>
  <si>
    <t>20 kV Transformer (GM)</t>
  </si>
  <si>
    <t>EHV Network</t>
  </si>
  <si>
    <t>33kV OHL (Pole Line)</t>
  </si>
  <si>
    <t>33kV OHL (Tower Line)</t>
  </si>
  <si>
    <t>66kV OHL (Pole Line)</t>
  </si>
  <si>
    <t>66kV OHL (Tower Line)</t>
  </si>
  <si>
    <t>33kV Pole</t>
  </si>
  <si>
    <t>33kV Tower</t>
  </si>
  <si>
    <t>66kV Pole</t>
  </si>
  <si>
    <t>66kV Tower</t>
  </si>
  <si>
    <t>33kV UG Cable (Non Pressurised)</t>
  </si>
  <si>
    <t>33kV UG Cable (Oil)</t>
  </si>
  <si>
    <t>33kV UG Cable (Gas)</t>
  </si>
  <si>
    <t>66kV UG Cable (Non Pressurised)</t>
  </si>
  <si>
    <t>66kV UG Cable (Oil)</t>
  </si>
  <si>
    <t>66kV UG Cable (Gas)</t>
  </si>
  <si>
    <t>EHV Sub Cable</t>
  </si>
  <si>
    <t>33 KV CB (ID)</t>
  </si>
  <si>
    <t>33 kV CB (OD)</t>
  </si>
  <si>
    <t>33 kV Switch (GM)</t>
  </si>
  <si>
    <t>33 kV Switch (PM)</t>
  </si>
  <si>
    <t>33 kV RMU</t>
  </si>
  <si>
    <t>33 kV Switchgear - Other</t>
  </si>
  <si>
    <t>66 KV CB (ID &amp; OD)</t>
  </si>
  <si>
    <t>66 KV Switchgear - Other</t>
  </si>
  <si>
    <t>33 kV Transformer (PM)</t>
  </si>
  <si>
    <t>33 kV Transformer (GM)</t>
  </si>
  <si>
    <t>33 kV AuxiliaryTransfomer</t>
  </si>
  <si>
    <t>66 kV Transformer</t>
  </si>
  <si>
    <t>66 kV AuxiliaryTransfomer</t>
  </si>
  <si>
    <t>132kV Network</t>
  </si>
  <si>
    <t>132kV OHL Conductor (Pole Line)</t>
  </si>
  <si>
    <t>132kV OHL Conductor (Tower Line)</t>
  </si>
  <si>
    <t>132kV Pole</t>
  </si>
  <si>
    <t>132kV Tower</t>
  </si>
  <si>
    <t>132kV Fittings (Tower Line)</t>
  </si>
  <si>
    <t>132kV UG Cable (Non Pressurised)</t>
  </si>
  <si>
    <t>132kV UG Cable (Oil)</t>
  </si>
  <si>
    <t>132kV UG Cable (Gas)</t>
  </si>
  <si>
    <t>132 kV Sub Cable</t>
  </si>
  <si>
    <t>132 kV CB (ID &amp; OD)</t>
  </si>
  <si>
    <t>132 kV Switchgear (other)</t>
  </si>
  <si>
    <t>132 kV Transformer</t>
  </si>
  <si>
    <t>132 kV AuxiliaryTransfomer</t>
  </si>
  <si>
    <t>Tele-control / SCADA</t>
  </si>
  <si>
    <t>Primary substation</t>
  </si>
  <si>
    <t>132 kV/EHV RTU (PM)</t>
  </si>
  <si>
    <t>132 kV/EHV RTU (GM)</t>
  </si>
  <si>
    <t>Secondary substation</t>
  </si>
  <si>
    <t>HV RTU (PM)</t>
  </si>
  <si>
    <t>HV RTU (GM)</t>
  </si>
  <si>
    <t>LR1 - Demand</t>
  </si>
  <si>
    <t>Demand Totals</t>
  </si>
  <si>
    <t>Units</t>
  </si>
  <si>
    <t>DPCR4</t>
  </si>
  <si>
    <t>DPCR5</t>
  </si>
  <si>
    <t>2010/11</t>
  </si>
  <si>
    <t>2011/12</t>
  </si>
  <si>
    <t>2012/13</t>
  </si>
  <si>
    <t>2013/14</t>
  </si>
  <si>
    <t>2014/15</t>
  </si>
  <si>
    <t>Actuals</t>
  </si>
  <si>
    <t>Forecast</t>
  </si>
  <si>
    <t>Total</t>
  </si>
  <si>
    <t>% change</t>
  </si>
  <si>
    <t>Gross direct costs</t>
  </si>
  <si>
    <t>£m</t>
  </si>
  <si>
    <t>Customer contributions directs</t>
  </si>
  <si>
    <t>Net (gross directs - customer contributions directs)</t>
  </si>
  <si>
    <t>Customer contributions indirects</t>
  </si>
  <si>
    <t>Net (gross directs - customer contributions directs and indirects)</t>
  </si>
  <si>
    <t>Demand trends</t>
  </si>
  <si>
    <t>Estimated system maximum demand</t>
  </si>
  <si>
    <t>MW</t>
  </si>
  <si>
    <t>Incremental increase in max demand due to new connections</t>
  </si>
  <si>
    <t>Incremental reduction in max demand due to disconnections</t>
  </si>
  <si>
    <t>Net change in max demand (not due to connections/disconnections)</t>
  </si>
  <si>
    <t>Estimated units distributed</t>
  </si>
  <si>
    <t>GWh</t>
  </si>
  <si>
    <t>Increase in units distributed due to generic background demand growth</t>
  </si>
  <si>
    <t xml:space="preserve">Reduction in units distributed due to energy efficiency </t>
  </si>
  <si>
    <t>Units distributed offset by DG</t>
  </si>
  <si>
    <t>Units distributed offset by DSM</t>
  </si>
  <si>
    <t xml:space="preserve">Price impact on units distributed </t>
  </si>
  <si>
    <t xml:space="preserve">Economic downturn effect on units distributed </t>
  </si>
  <si>
    <t>LV</t>
  </si>
  <si>
    <t>HV</t>
  </si>
  <si>
    <t>EHV (inc. 132kV)</t>
  </si>
  <si>
    <t>Total units distributed</t>
  </si>
  <si>
    <t>Incremental increase in units distributed attributable to new connections</t>
  </si>
  <si>
    <t>MWh</t>
  </si>
  <si>
    <t>Total increase in units distributed due to new connections</t>
  </si>
  <si>
    <t>Connections/disconnections volume</t>
  </si>
  <si>
    <t>Connections/Disconnections</t>
  </si>
  <si>
    <t>Estimated number demand connections/disconnections at LV</t>
  </si>
  <si>
    <t>IDNO connections</t>
  </si>
  <si>
    <t>#</t>
  </si>
  <si>
    <t>Connections (excluding IDNOs)</t>
  </si>
  <si>
    <t>Disconnections</t>
  </si>
  <si>
    <t>Estimated number demand connections/disconnections at HV</t>
  </si>
  <si>
    <t>Estimated number demand connections/disconnections at EHV</t>
  </si>
  <si>
    <t>Estimated number demand connections/disconnections at 132kV</t>
  </si>
  <si>
    <t>Total number of demand connections</t>
  </si>
  <si>
    <t>Total number of demand disconnections</t>
  </si>
  <si>
    <t>Customer specific demand investment</t>
  </si>
  <si>
    <t>New connections &amp; customer specific reinforcement:</t>
  </si>
  <si>
    <t>Connections provided at LV</t>
  </si>
  <si>
    <t>Sole use</t>
  </si>
  <si>
    <t>Shared</t>
  </si>
  <si>
    <t>LV total</t>
  </si>
  <si>
    <t>Connections provided at HV</t>
  </si>
  <si>
    <t>HV total</t>
  </si>
  <si>
    <t>Connections provided at EHV</t>
  </si>
  <si>
    <t>EHV total</t>
  </si>
  <si>
    <t>Connections provided at 132kV</t>
  </si>
  <si>
    <t>132kV total</t>
  </si>
  <si>
    <t>Expenditure on DSM to avoid customer spec investment</t>
  </si>
  <si>
    <t>Total inc. expenditure on DSM to avoid customer spec investment</t>
  </si>
  <si>
    <t>Expenditure avoided due to DG</t>
  </si>
  <si>
    <t>Expenditure avoided due to DSM</t>
  </si>
  <si>
    <t>Customer contributions - customer specific demand investment</t>
  </si>
  <si>
    <t>Customer contributions (directs) for connections at LV</t>
  </si>
  <si>
    <t xml:space="preserve">Shared </t>
  </si>
  <si>
    <t>Customer contributions (directs) for connections at HV</t>
  </si>
  <si>
    <t>Customer contributions (directs) for connections at EHV</t>
  </si>
  <si>
    <t>Customer contributions (directs) for connections at 132kV</t>
  </si>
  <si>
    <t>Customer contributions (directs) total</t>
  </si>
  <si>
    <t>Customer contributions (indirects)</t>
  </si>
  <si>
    <t>Customer contributions total</t>
  </si>
  <si>
    <t>Total inc. exp on DSM to avoid customer spec investment (net of cust cont)</t>
  </si>
  <si>
    <t>Unapportioned part of shared LV</t>
  </si>
  <si>
    <t>Unapportioned part of shared HV</t>
  </si>
  <si>
    <t>Unapportioned part of shared EHV</t>
  </si>
  <si>
    <t>Unapportioned part of shared 132kV</t>
  </si>
  <si>
    <t>LR1a - Demand - metered connections</t>
  </si>
  <si>
    <t>Demand Totals - Table 1</t>
  </si>
  <si>
    <t>Gross all connections costs</t>
  </si>
  <si>
    <t>Gross direct connections costs subject to apportionment rule</t>
  </si>
  <si>
    <t>Customer contributions excluding margins</t>
  </si>
  <si>
    <t>Net (gross directs subject to apportionment rule - customer contributions directs)</t>
  </si>
  <si>
    <t>DUOS funded related party margin</t>
  </si>
  <si>
    <t>Net (gross directs subject to apportionment rule - customer contributions directs + DUOS funded related party margin)</t>
  </si>
  <si>
    <t>Check</t>
  </si>
  <si>
    <t>Pensions with total gross direct connections costs</t>
  </si>
  <si>
    <t>Pensions with direct connections costs subject to apportionment rule</t>
  </si>
  <si>
    <t>Connections expenditure recovered via DUoS - Table 2</t>
  </si>
  <si>
    <t>Small scale LV domestic and one-off commercial</t>
  </si>
  <si>
    <t>All other LV (with only LV work)</t>
  </si>
  <si>
    <t>LV end connections involving HV work</t>
  </si>
  <si>
    <t>HV end connections involving only HV work</t>
  </si>
  <si>
    <t>HV end connections involving EHV work</t>
  </si>
  <si>
    <t>EHV end connections involving only EHV work</t>
  </si>
  <si>
    <t xml:space="preserve"> HV or EHV connections involving 132kV work</t>
  </si>
  <si>
    <t>132kV end connections involving only 132kV work</t>
  </si>
  <si>
    <t>Metered connections volume - Table 3</t>
  </si>
  <si>
    <t>Metered connections</t>
  </si>
  <si>
    <t>Estimated number demand connections at LV</t>
  </si>
  <si>
    <t>Adopted connections</t>
  </si>
  <si>
    <t>Small scale LV domestic and one-off commercial connections</t>
  </si>
  <si>
    <t>All other LV connections (with only LV work)</t>
  </si>
  <si>
    <t>DNO total LV</t>
  </si>
  <si>
    <t>Estimated number demand connections at HV</t>
  </si>
  <si>
    <t>DNO total HV</t>
  </si>
  <si>
    <t>Estimated number demand connections at EHV</t>
  </si>
  <si>
    <t>DNO total EHV</t>
  </si>
  <si>
    <t>Estimated number demand connections at 132kV</t>
  </si>
  <si>
    <t>DNO total 132kV</t>
  </si>
  <si>
    <t>Metered connections volume - Sole use connections where there is no associated expenditure subject to the apportionment rule - Table 4</t>
  </si>
  <si>
    <t>Estimated number demand connections with HV work</t>
  </si>
  <si>
    <t>Estimated number demand connections with EHV work</t>
  </si>
  <si>
    <t>Estimated number demand connections with 132kV work</t>
  </si>
  <si>
    <t>Metered connections volume - Connections where there is associated expenditure subject to the apportionment rule - Table 5</t>
  </si>
  <si>
    <t>Customer specific demand investment - Sole use expenditure where there is no associated expenditure subject to the apportionment rule - Table 6</t>
  </si>
  <si>
    <t>Ratio - small scale LV domestic and one-off commercial - non-contestable</t>
  </si>
  <si>
    <t>%</t>
  </si>
  <si>
    <t>Ratio - small scale LV domestic and one-off commercial - contestable</t>
  </si>
  <si>
    <t>Ratio - all other LV (with only LV work) - non-contestable</t>
  </si>
  <si>
    <t>Ratio - all other LV (with only LV work) - contestable</t>
  </si>
  <si>
    <t>Connections with HV work</t>
  </si>
  <si>
    <t>Ratio - LV end connections involving HV work - non-contestable</t>
  </si>
  <si>
    <t>Ratio - LV end connections involving HV work - contestable</t>
  </si>
  <si>
    <t>Ratio - HV end connections involving only HV work - non-contestable</t>
  </si>
  <si>
    <t>Ratio - HV end connections involving only HV work - contestable</t>
  </si>
  <si>
    <t>Connections with EHV work</t>
  </si>
  <si>
    <t>Ratio - HV end connections involving EHV work - non-contestable</t>
  </si>
  <si>
    <t>Ratio - HV end connections involving EHV work - contestable</t>
  </si>
  <si>
    <t>Ratio - EHV end connections involving only EHV work - non-contestable</t>
  </si>
  <si>
    <t>Ratio - EHV end connections involving only EHV work - contestable</t>
  </si>
  <si>
    <t>Connections with 132kV work</t>
  </si>
  <si>
    <t>Ratio - HV or EHV connections involving 132kV work - non-contestable</t>
  </si>
  <si>
    <t>Ratio - HV or EHV connections involving 132kV work - contestable</t>
  </si>
  <si>
    <t>Ratio - 132kV end connections involving only 132kV work - non-contestable</t>
  </si>
  <si>
    <t>Ratio - 132kV end connections involving only 132kV work - contestable</t>
  </si>
  <si>
    <t>Total sole use expenditure where there is no expenditure subject to the apportionment rule</t>
  </si>
  <si>
    <t>Customer specific demand investment - sole use expenditure where there is also associated expenditure subject to the apportionment rule - Table 7</t>
  </si>
  <si>
    <t>Total sole use expenditure where there is also expenditure subject to the apportionment rule</t>
  </si>
  <si>
    <t>Customer specific demand investment - all expenditure subject to the apportionment rule - Table 8</t>
  </si>
  <si>
    <t>Total connections expenditure subject to the apportionment rule</t>
  </si>
  <si>
    <t>Customer contributions - customer specific demand investment - contributions associated with apportionment rule - Table 9</t>
  </si>
  <si>
    <t>Customer contributions (directs) for connections with HV work</t>
  </si>
  <si>
    <t>Customer contributions (directs) for connections with EHV work</t>
  </si>
  <si>
    <t>Customer contributions (directs) for connections with 132kV work</t>
  </si>
  <si>
    <t>Total customer contributions associated with apportionment rule</t>
  </si>
  <si>
    <t>June Forecast Business Plan DPCR5</t>
  </si>
  <si>
    <t>LR4 - General reinforcement</t>
  </si>
  <si>
    <t>General reinforcement expenditure</t>
  </si>
  <si>
    <t>(£m)</t>
  </si>
  <si>
    <t>General reinforcement:</t>
  </si>
  <si>
    <t>LV System</t>
  </si>
  <si>
    <t>HV System</t>
  </si>
  <si>
    <t>EHV System</t>
  </si>
  <si>
    <t>132kV System</t>
  </si>
  <si>
    <t>General reinforcement outputs</t>
  </si>
  <si>
    <t>Changes in general utilisation due to projected expenditure levels</t>
  </si>
  <si>
    <t>At 31st March 2010</t>
  </si>
  <si>
    <t>At 31st March 2015</t>
  </si>
  <si>
    <t>132kV-EHV</t>
  </si>
  <si>
    <t>132kV - HV</t>
  </si>
  <si>
    <t>EHV - EHV</t>
  </si>
  <si>
    <t>EHV - HV</t>
  </si>
  <si>
    <t>Total number substations (operated by DNO)</t>
  </si>
  <si>
    <t>Σ substation maximum demands</t>
  </si>
  <si>
    <t xml:space="preserve">Σ substation firm capacities </t>
  </si>
  <si>
    <t xml:space="preserve">Σ substation maximum demands / Σ substation firm capacities </t>
  </si>
  <si>
    <t>Changes in utilisation of highly loaded substations due to projected expenditure levels</t>
  </si>
  <si>
    <t>Number of substations loaded &gt;=80% of firm capacity</t>
  </si>
  <si>
    <t>Σ substation maximum demands for substations loaded &gt;=80% of firm capacity</t>
  </si>
  <si>
    <t>Σ substation firm capacities for substations loaded &gt;=80% of firm capacity</t>
  </si>
  <si>
    <t xml:space="preserve">% Loading of substations which are operating at &gt;=80% of firm capacity  = Σ demand /Σ firm capacity </t>
  </si>
  <si>
    <t>Number of substations loaded above 100% of firm capacity</t>
  </si>
  <si>
    <t>Number of DNO substations requiring reinforcement within 5 yrs</t>
  </si>
  <si>
    <t>General reinforcement projects</t>
  </si>
  <si>
    <t>Scheme details</t>
  </si>
  <si>
    <t>DPCR4 Expenditure</t>
  </si>
  <si>
    <t>DPCR5 Expenditure</t>
  </si>
  <si>
    <t>Utilisation</t>
  </si>
  <si>
    <t>(N-2) scheme?</t>
  </si>
  <si>
    <t>Scheme description</t>
  </si>
  <si>
    <t>Named scheme</t>
  </si>
  <si>
    <t>Primary Voltage</t>
  </si>
  <si>
    <t>Secondary Voltage</t>
  </si>
  <si>
    <t>Limiting 
Factor</t>
  </si>
  <si>
    <t>Forecast year in which substation demand will reach substation/group firm capacity</t>
  </si>
  <si>
    <t>MVA of additional firm capacity to be installed</t>
  </si>
  <si>
    <t>Total cost of project</t>
  </si>
  <si>
    <t>Total cost of project in DPCR5 period</t>
  </si>
  <si>
    <t>Historic and forecast max demand (MVA)</t>
  </si>
  <si>
    <t>Substation/Group Total
Capability</t>
  </si>
  <si>
    <t>Substation/group firm capacity under single circuit outage conditions</t>
  </si>
  <si>
    <t>Substation/Group Maximum Demand</t>
  </si>
  <si>
    <t>Season of critical loading condition</t>
  </si>
  <si>
    <t>Brief description of work involved, substations affected, assets installed/replaced etc.</t>
  </si>
  <si>
    <t>(Unique name)</t>
  </si>
  <si>
    <t>(kV)</t>
  </si>
  <si>
    <t>(a-j)</t>
  </si>
  <si>
    <t>(Year)</t>
  </si>
  <si>
    <t>(MVA)</t>
  </si>
  <si>
    <t>Season</t>
  </si>
  <si>
    <t>(Y/N)</t>
  </si>
  <si>
    <t>(Description)</t>
  </si>
  <si>
    <t>LR6 - Fault levels</t>
  </si>
  <si>
    <t>Fault level system measures</t>
  </si>
  <si>
    <t>As at 31st March 2010</t>
  </si>
  <si>
    <t>As at 31st March 2015</t>
  </si>
  <si>
    <t>132kV</t>
  </si>
  <si>
    <t>EHV</t>
  </si>
  <si>
    <t>No. of switchboards</t>
  </si>
  <si>
    <t>No. of switchboards @ &gt;95% of F.L.</t>
  </si>
  <si>
    <t>No. of switchboards having fault level 'operational restrictions'</t>
  </si>
  <si>
    <t>Number of fault level schemes</t>
  </si>
  <si>
    <t>No. of schemes</t>
  </si>
  <si>
    <t>Switchboards</t>
  </si>
  <si>
    <t>Transformers</t>
  </si>
  <si>
    <t>Other</t>
  </si>
  <si>
    <t>Fault level reinforcement</t>
  </si>
  <si>
    <t>Fault level reinforcement:</t>
  </si>
  <si>
    <t xml:space="preserve">LV </t>
  </si>
  <si>
    <t xml:space="preserve">EHV </t>
  </si>
  <si>
    <t xml:space="preserve">132kV </t>
  </si>
  <si>
    <t>Total expenditure</t>
  </si>
  <si>
    <t>NL1 - Condition based expenditure</t>
  </si>
  <si>
    <t>Total condition based replacement</t>
  </si>
  <si>
    <t>Asset Categories</t>
  </si>
  <si>
    <t>DPCR 4</t>
  </si>
  <si>
    <t>DPCR 5</t>
  </si>
  <si>
    <t>Metered LV Services</t>
  </si>
  <si>
    <t>Overhead</t>
  </si>
  <si>
    <t>Underground</t>
  </si>
  <si>
    <t>Un-metered LV Services</t>
  </si>
  <si>
    <t>Overhead mains</t>
  </si>
  <si>
    <t>Underground mains</t>
  </si>
  <si>
    <t>Switchgear (incl other plant &amp; equipment)</t>
  </si>
  <si>
    <t>Overhead lines</t>
  </si>
  <si>
    <t>Submarine</t>
  </si>
  <si>
    <t xml:space="preserve">Transformers </t>
  </si>
  <si>
    <t>Substation</t>
  </si>
  <si>
    <t>Submarine cables</t>
  </si>
  <si>
    <t>Total non-load replacement (£m)</t>
  </si>
  <si>
    <t>Proactive condition based replacement (non fault)</t>
  </si>
  <si>
    <t>Total proactive condition based replacement (£m)</t>
  </si>
  <si>
    <t>Reactive condition-based replacement (fault)</t>
  </si>
  <si>
    <t>Total reactive condition based replacement (£m)</t>
  </si>
  <si>
    <t>Overhead line refurbishment / replacement</t>
  </si>
  <si>
    <t>2014/015</t>
  </si>
  <si>
    <t>LV Mains</t>
  </si>
  <si>
    <t>Refurbishment</t>
  </si>
  <si>
    <t>Full rebuild</t>
  </si>
  <si>
    <t>Undergrounding</t>
  </si>
  <si>
    <t>Covered Conductor</t>
  </si>
  <si>
    <t>Pole replacement only (i.e. D poles)</t>
  </si>
  <si>
    <t>Total OHL expenditure (£m)</t>
  </si>
  <si>
    <t>EHV - Pole line</t>
  </si>
  <si>
    <t>EHV - Tower line</t>
  </si>
  <si>
    <t>Fittings only</t>
  </si>
  <si>
    <t>Reconductoring</t>
  </si>
  <si>
    <t>Tower Refurbishment</t>
  </si>
  <si>
    <t>EHV Total</t>
  </si>
  <si>
    <t>132kV - Pole Line</t>
  </si>
  <si>
    <t>132kV - Tower line</t>
  </si>
  <si>
    <t>132 kV Total</t>
  </si>
  <si>
    <t xml:space="preserve">LV Services - Split of activities </t>
  </si>
  <si>
    <t>LV Services - metered only</t>
  </si>
  <si>
    <t>OHL</t>
  </si>
  <si>
    <t>Service Replacement</t>
  </si>
  <si>
    <t>Cut out Replacement</t>
  </si>
  <si>
    <t>UG</t>
  </si>
  <si>
    <t>NL9 - Legal and safety</t>
  </si>
  <si>
    <t>Legal and Safety</t>
  </si>
  <si>
    <t>ESQCR</t>
  </si>
  <si>
    <t>ESQCR 43-8 Clearance</t>
  </si>
  <si>
    <t>ESQCR tree continuity</t>
  </si>
  <si>
    <t>ESQCR Other</t>
  </si>
  <si>
    <t>CNI</t>
  </si>
  <si>
    <t>Black Start</t>
  </si>
  <si>
    <t>Emergency Batteries</t>
  </si>
  <si>
    <t>Critical National Infrastructure</t>
  </si>
  <si>
    <t>Site Security</t>
  </si>
  <si>
    <t>Asbestos clearance</t>
  </si>
  <si>
    <t>Safety climbing devices</t>
  </si>
  <si>
    <t>Rising mains and laterals</t>
  </si>
  <si>
    <t>Retrofit ABSD &amp; Earthing theft &amp; Replace 0.025 OH conductor</t>
  </si>
  <si>
    <t>Fire Prevention</t>
  </si>
  <si>
    <t>ESQCR 43-8 Safety Clearance Expenditure</t>
  </si>
  <si>
    <t>Horizontal</t>
  </si>
  <si>
    <t>132 kV</t>
  </si>
  <si>
    <t>Vertical</t>
  </si>
  <si>
    <t>Horizontal - Detailed Information</t>
  </si>
  <si>
    <t>Sites affected as at April 2005</t>
  </si>
  <si>
    <t>No of sites resolved 05/06 - 07/08</t>
  </si>
  <si>
    <t>Sites affected as at April 2008</t>
  </si>
  <si>
    <t>No of sites to be resolved 08/09 - 09/10</t>
  </si>
  <si>
    <t>No of sites to be resolved in DPCR5</t>
  </si>
  <si>
    <t>Sites affected as at April 2015</t>
  </si>
  <si>
    <t>05/06 - 07/08</t>
  </si>
  <si>
    <t>08/09-09/10</t>
  </si>
  <si>
    <t>No of sites resolved</t>
  </si>
  <si>
    <t>Actual Solutions (#)</t>
  </si>
  <si>
    <t>Forecast Solutions (#)</t>
  </si>
  <si>
    <t>Shrouding</t>
  </si>
  <si>
    <t>Diversions</t>
  </si>
  <si>
    <t>Under-grounding</t>
  </si>
  <si>
    <t>Covered conductors</t>
  </si>
  <si>
    <t>As part of other planned work</t>
  </si>
  <si>
    <t>No of spans changed</t>
  </si>
  <si>
    <t>Total Cost £m</t>
  </si>
  <si>
    <t>Expenditure £m</t>
  </si>
  <si>
    <t>Forecast Solutions (£m)</t>
  </si>
  <si>
    <t>Total unit Cost £k/per span</t>
  </si>
  <si>
    <t>Unit cost £k/span</t>
  </si>
  <si>
    <t>Forecast Unit cost £k/span</t>
  </si>
  <si>
    <t>Vertical - Detailed Information</t>
  </si>
  <si>
    <t>Rebuild</t>
  </si>
  <si>
    <t>Derogation</t>
  </si>
  <si>
    <t>C2 - Unit costs</t>
  </si>
  <si>
    <t xml:space="preserve">New build </t>
  </si>
  <si>
    <t>Replacement</t>
  </si>
  <si>
    <t>Direct costs</t>
  </si>
  <si>
    <t>Cost including indirects (absorbed costs in T2A)</t>
  </si>
  <si>
    <t>(£k)</t>
  </si>
  <si>
    <t>km</t>
  </si>
  <si>
    <t>Each</t>
  </si>
  <si>
    <t>HV network switchgear</t>
  </si>
  <si>
    <t>Primary</t>
  </si>
  <si>
    <t>Distribution</t>
  </si>
  <si>
    <t>IP Appendix 6 Table 5 Reductions to EHV</t>
  </si>
  <si>
    <t>IP Appendix 7 Reductions to EHV</t>
  </si>
  <si>
    <t>Appendix 6 Table 5 EHV &amp; 132</t>
  </si>
  <si>
    <t>Appendix 7 Table 18</t>
  </si>
  <si>
    <t>LV/HV</t>
  </si>
  <si>
    <t>Regulatory Reporting Pack (RRP)</t>
  </si>
  <si>
    <t>Electricity Distribution Industry Activity Costs - individual DNO input</t>
  </si>
  <si>
    <t>Cash typical costs (excluding disallowed related party margins)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</si>
  <si>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</si>
  <si>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</si>
  <si>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</si>
  <si>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</si>
  <si>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</si>
  <si>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</si>
  <si>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</si>
  <si>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</si>
  <si>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</si>
  <si>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</si>
  <si>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Pension deficit repair payments by related parties (note 2)</t>
  </si>
  <si>
    <t>Non activity costs and reconciling amounts (note 3)</t>
  </si>
  <si>
    <t>Total Annual Operating &amp; Capital Expenditure per Regulatory Accounts</t>
  </si>
  <si>
    <t>Direct activities</t>
  </si>
  <si>
    <t>Indirect activities</t>
  </si>
  <si>
    <t>Year ended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</si>
  <si>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</si>
  <si>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</si>
  <si>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</si>
  <si>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</si>
  <si>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</si>
  <si>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</si>
  <si>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</si>
  <si>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</si>
  <si>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</si>
  <si>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</si>
  <si>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</si>
  <si>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</si>
  <si>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</si>
  <si>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</si>
  <si>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</si>
  <si>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</si>
  <si>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</si>
  <si>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</si>
  <si>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</si>
  <si>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</si>
  <si>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</si>
  <si>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£'m</t>
  </si>
  <si>
    <t>31 March 2008</t>
  </si>
  <si>
    <t>Adjustments on T4.3</t>
  </si>
  <si>
    <t>31 March 2007</t>
  </si>
  <si>
    <t>31 March 2006</t>
  </si>
  <si>
    <t>Notes</t>
  </si>
  <si>
    <t xml:space="preserve">The individual activities are defined in the Electricity Distribution Price Control Review Price control cost reporting rules: Instructions and Guidance April 2008 </t>
  </si>
  <si>
    <t>Pension deficit payments made by a related party and not charged in the regulatory accounts of the DNO</t>
  </si>
  <si>
    <t>Non-activity costs include Ofgem licence fee, Shetland Balancing Costs (SHEPD only), Scottish Electricity Settlements run-off (Scottish DNOs only) and proceeds of asset sales; and reconciling amounts, e.g. intra-group recharges treated as de minimis costs</t>
  </si>
  <si>
    <t>Total Annual Operating &amp; Capital Expenditure per Regulatory Accounts has been adjusted, where appropriate, to include intangible fixed assets and customer contributions, the latter may be reported within Creditors as deferred income</t>
  </si>
  <si>
    <t>This information has not been audited.</t>
  </si>
  <si>
    <t>Inspections &amp; Maintenance, Tree Cutting and Fault Costs</t>
  </si>
  <si>
    <t>Inspections &amp; Maintenance</t>
  </si>
  <si>
    <t>Fault Costs</t>
  </si>
  <si>
    <t>Memorandum Information - Scottish DNOs 132kV</t>
  </si>
  <si>
    <t>Cash typicals</t>
  </si>
  <si>
    <t>Atypicals</t>
  </si>
  <si>
    <t>Inspection and Maintenance</t>
  </si>
  <si>
    <t xml:space="preserve">Inspections </t>
  </si>
  <si>
    <t xml:space="preserve">Maintenance </t>
  </si>
  <si>
    <t xml:space="preserve">Total </t>
  </si>
  <si>
    <t>LV Services</t>
  </si>
  <si>
    <t>Overhead Mains</t>
  </si>
  <si>
    <t>Underground Mains - Consac</t>
  </si>
  <si>
    <t>Underground Mains - Non Consac</t>
  </si>
  <si>
    <t xml:space="preserve">HV </t>
  </si>
  <si>
    <t>Underground Cables</t>
  </si>
  <si>
    <t>Switchgear, Transformers, Substation</t>
  </si>
  <si>
    <t>Underground - Pressure assisted</t>
  </si>
  <si>
    <t>Underground - Non Pressure assisted</t>
  </si>
  <si>
    <t>Submarine cables - all voltages</t>
  </si>
  <si>
    <t>Non-QoS Faults</t>
  </si>
  <si>
    <t>Substation electricity</t>
  </si>
  <si>
    <t>Diesel generation costs (permanent emergency back up on islands)</t>
  </si>
  <si>
    <t>Third party cable damage - recoveries</t>
  </si>
  <si>
    <t>Dismantlement</t>
  </si>
  <si>
    <t>Fault costs allocated to Opex and Capex</t>
  </si>
  <si>
    <t>Fault opex</t>
  </si>
  <si>
    <t>Fault capex</t>
  </si>
  <si>
    <t>Total Fault Costs</t>
  </si>
  <si>
    <t>Total Tree Cutting</t>
  </si>
  <si>
    <t>NEW AND REPLACEMENT ASSETS (EXCL. FAULTS)</t>
  </si>
  <si>
    <t>Load Related New Connections &amp; Reinforcement</t>
  </si>
  <si>
    <t>Direct Costs only</t>
  </si>
  <si>
    <t>New Connections (carried out by DNO/RP)</t>
  </si>
  <si>
    <t>New Connections (carried out by Third Parties)</t>
  </si>
  <si>
    <t>Customer Specific Reinforcement - Chargeable</t>
  </si>
  <si>
    <t>Customer Specific Reinforcement - Non Chargeable</t>
  </si>
  <si>
    <t>General Reinforcement</t>
  </si>
  <si>
    <t>Fault Level Reinforcement</t>
  </si>
  <si>
    <t>Non Relevant Distributed Generation</t>
  </si>
  <si>
    <t>New Connections &amp; Customer Specific Reinforcement:</t>
  </si>
  <si>
    <t>General Reinforcement:</t>
  </si>
  <si>
    <t>Total Direct Costs excluding Reallocations</t>
  </si>
  <si>
    <t xml:space="preserve">Direct Cost Reallocation </t>
  </si>
  <si>
    <t>Total Costs including Reallocations</t>
  </si>
  <si>
    <t>Customer Contributions (-ve)</t>
  </si>
  <si>
    <t>Total Costs less Capital Contributions</t>
  </si>
  <si>
    <t>Condition based</t>
  </si>
  <si>
    <t>Non-fault Related</t>
  </si>
  <si>
    <t>Fault Related</t>
  </si>
  <si>
    <t xml:space="preserve">Total
</t>
  </si>
  <si>
    <t>Underground Mains</t>
  </si>
  <si>
    <t>Submarine Cables</t>
  </si>
  <si>
    <t>Total Non-load replacement</t>
  </si>
  <si>
    <t>Total Net Non-load replacement</t>
  </si>
  <si>
    <t>Non-load related (other)</t>
  </si>
  <si>
    <t>Quality of Service</t>
  </si>
  <si>
    <t>Safety</t>
  </si>
  <si>
    <t>Environment</t>
  </si>
  <si>
    <t>Visual Amenity</t>
  </si>
  <si>
    <t>Resilience</t>
  </si>
  <si>
    <t>Operational IT &amp; Telecoms - BT 21CN</t>
  </si>
  <si>
    <t>Operational IT &amp; Telecoms - other</t>
  </si>
  <si>
    <t>Non - rechargeable diversions</t>
  </si>
  <si>
    <t>Total Non-load related (other non-fault)</t>
  </si>
  <si>
    <t>Total Net Non-load related (other non-fault)</t>
  </si>
  <si>
    <t>Total Non-load related expenditure (direct costs)</t>
  </si>
  <si>
    <t>Total Net Non-load replacement (Direct Costs)</t>
  </si>
  <si>
    <t xml:space="preserve">          Non-operational </t>
  </si>
  <si>
    <t>Owned by DNO</t>
  </si>
  <si>
    <t>Owned by related party</t>
  </si>
  <si>
    <t>Vehicles</t>
  </si>
  <si>
    <t>Plant &amp; Machinery</t>
  </si>
  <si>
    <t>Small Tools &amp; Equipment</t>
  </si>
  <si>
    <t>Office Equipment</t>
  </si>
  <si>
    <t>Non-operational property</t>
  </si>
  <si>
    <t>IT Non-operational Capital Expenditure</t>
  </si>
  <si>
    <t>Telecoms Non-operational Capital Expenditures</t>
  </si>
  <si>
    <t>Total Non-operational New Assets &amp; Replacement</t>
  </si>
  <si>
    <t>Regulatory Reporting Pack</t>
  </si>
  <si>
    <t>MISCELLANEOUS</t>
  </si>
  <si>
    <t>Non-activity based costs (excluded from Table 2.2)(enter as positive)</t>
  </si>
  <si>
    <t>Pass through Costs</t>
  </si>
  <si>
    <t>Transmission exit charges</t>
  </si>
  <si>
    <t>Wheeled units imported</t>
  </si>
  <si>
    <t>Network rates</t>
  </si>
  <si>
    <t>Ofgem licence fee</t>
  </si>
  <si>
    <t>Shetland Balancing Costs (SHEPD only)</t>
  </si>
  <si>
    <t>Scottish Electricity Settlements run-off (Scottish DNOs only)</t>
  </si>
  <si>
    <t>Costs inside scope of DPCR4 allowances</t>
  </si>
  <si>
    <t>Guaranteed standard of performance compensation payments</t>
  </si>
  <si>
    <t>Ex-gratia compensation payments</t>
  </si>
  <si>
    <t>Bad debt expense (net of recoveries)</t>
  </si>
  <si>
    <t>Costs outside scope of DPCR4 allowances</t>
  </si>
  <si>
    <t>(Profit)/loss on sale of fixed assets and scrap[(-ve)/+ve]</t>
  </si>
  <si>
    <t>Statutory Depreciation on operational assets</t>
  </si>
  <si>
    <t>Pension deficit repair payments</t>
  </si>
  <si>
    <t>Total Non-Activity Based Costs</t>
  </si>
  <si>
    <t>OTHER ITEMS adjusting RAV</t>
  </si>
  <si>
    <t>Proceeds of sale of assets and scrap (not recorded on Table 2.2)</t>
  </si>
  <si>
    <t>Cash proceeds received on sale of:</t>
  </si>
  <si>
    <t>Operational assets (-ve)</t>
  </si>
  <si>
    <t>Sales of scrap (-ve)</t>
  </si>
  <si>
    <t>Non-operational assets (-ve)</t>
  </si>
  <si>
    <t>ANALYSIS OF ASSET DISPOSALS</t>
  </si>
  <si>
    <t>Cost</t>
  </si>
  <si>
    <t>Depn.</t>
  </si>
  <si>
    <t>Net Book Value</t>
  </si>
  <si>
    <t>Net Sales Proceeds</t>
  </si>
  <si>
    <t>(Profit) / Loss on Disposal</t>
  </si>
  <si>
    <t>Asset Owner</t>
  </si>
  <si>
    <t>Asset Type</t>
  </si>
  <si>
    <t>OK</t>
  </si>
  <si>
    <t>Use of System Bad Debts</t>
  </si>
  <si>
    <t>previously allowed</t>
  </si>
  <si>
    <t>Costs incurred (excluding VAT)</t>
  </si>
  <si>
    <t>Receipts/(recoveries)</t>
  </si>
  <si>
    <t>Total Use of System Bad Debts</t>
  </si>
  <si>
    <t>Salary sacrifice schemes (including flexible benefit schemes)</t>
  </si>
  <si>
    <t>Direct capex</t>
  </si>
  <si>
    <t>Direct opex, faults &amp; Non-op capex</t>
  </si>
  <si>
    <t>Indirect costs</t>
  </si>
  <si>
    <t>All Other non-distrib'n activities</t>
  </si>
  <si>
    <t>Salary element sacrificed by employee(-ve)</t>
  </si>
  <si>
    <t>Additional employer pension contributions (+ve)</t>
  </si>
  <si>
    <t>Lane rentals analysis: including logged up costs (see below):</t>
  </si>
  <si>
    <t>Non-load non-fault new &amp; replacement assets</t>
  </si>
  <si>
    <t>Inspectns &amp; Maint. (exc. Tree Cutting)</t>
  </si>
  <si>
    <t>Fines and penalties</t>
  </si>
  <si>
    <t>Road occupation costs</t>
  </si>
  <si>
    <t>Permit scheme costs</t>
  </si>
  <si>
    <t>Congestion charges</t>
  </si>
  <si>
    <t>Total per Table 2.2</t>
  </si>
  <si>
    <t>Uncertain Costs (included in table 2.2 costs)</t>
  </si>
  <si>
    <t>Road Occupation &amp; Permit Scheme Costs included within Lane Rentals, previously agreed in writing with Ofgem to be treated as logged up costs:</t>
  </si>
  <si>
    <t>Costs previously agreed with Ofgem in writing for additional security</t>
  </si>
  <si>
    <t>Miscellaneous costs (included in table 2.2 costs)</t>
  </si>
  <si>
    <t>Pension administration costs (reported in HR &amp; Non-op training)</t>
  </si>
  <si>
    <t>Expenditure replacing Pressure Assisted cables</t>
  </si>
  <si>
    <t>Undergrounding in National Parks / AONB - direct costs</t>
  </si>
  <si>
    <t>EHV/132kV</t>
  </si>
  <si>
    <t>Undergrounding in National Parks / AONB - indirect costs</t>
  </si>
  <si>
    <t>Total Undergrounding in National Parks / AONB</t>
  </si>
  <si>
    <t>Network Data</t>
  </si>
  <si>
    <t>QUALITY OF SERVICE</t>
  </si>
  <si>
    <t>Historical data</t>
  </si>
  <si>
    <t>For Future years</t>
  </si>
  <si>
    <t xml:space="preserve">Customer Numbers </t>
  </si>
  <si>
    <t>Millions</t>
  </si>
  <si>
    <t>Total CIs (Excluding EE)</t>
  </si>
  <si>
    <t>CIs</t>
  </si>
  <si>
    <t>Total CMLs (Excluding EE)</t>
  </si>
  <si>
    <t>CMLs</t>
  </si>
  <si>
    <t>NETWORK ACTIVITY INDICATORS</t>
  </si>
  <si>
    <t>CONNECTIONS</t>
  </si>
  <si>
    <t>Number of new connections</t>
  </si>
  <si>
    <t>EHV (Includes 132kV)</t>
  </si>
  <si>
    <t>No. Connections</t>
  </si>
  <si>
    <t>DG</t>
  </si>
  <si>
    <t xml:space="preserve">Total Connected Distributed Generation </t>
  </si>
  <si>
    <t>DEMANDS</t>
  </si>
  <si>
    <t xml:space="preserve">System Maximum Demand </t>
  </si>
  <si>
    <t>System Maximum Demand (Weather corrected)</t>
  </si>
  <si>
    <t>Units Distributed</t>
  </si>
  <si>
    <t>LOSSES</t>
  </si>
  <si>
    <t xml:space="preserve">Units of distribution losses </t>
  </si>
  <si>
    <t>(GWh)</t>
  </si>
  <si>
    <t xml:space="preserve">Losses </t>
  </si>
  <si>
    <t>(%)</t>
  </si>
  <si>
    <t>SYSTEM PARAMETERS</t>
  </si>
  <si>
    <t>Distribution Circuit Length - Overhead (km)</t>
  </si>
  <si>
    <t>Circuit km</t>
  </si>
  <si>
    <t>Distribution Circuit Length - Underground (km)</t>
  </si>
  <si>
    <t>Distribution Circuit Length - Total (km)</t>
  </si>
  <si>
    <t xml:space="preserve">Number of Substations and Switching Stations </t>
  </si>
  <si>
    <t>No. Subs</t>
  </si>
  <si>
    <t>EHV ground mounted</t>
  </si>
  <si>
    <t>EHV pole mounted</t>
  </si>
  <si>
    <t>HV ground mounted</t>
  </si>
  <si>
    <t>HV pole mounted</t>
  </si>
  <si>
    <t>Summary of Revenue</t>
  </si>
  <si>
    <t>Allowed Demand Revenue (ADt)</t>
  </si>
  <si>
    <t>Base Demand Revenue  (BRt)</t>
  </si>
  <si>
    <t>Pass through Items (PTt)</t>
  </si>
  <si>
    <t>Incentive Revenue (Ipt)</t>
  </si>
  <si>
    <t>Correction Factor (KDt)</t>
  </si>
  <si>
    <t>Allowed Demand Revenue (Adt)</t>
  </si>
  <si>
    <t>Regulated Demand Revenue (RDt)</t>
  </si>
  <si>
    <t>Net Movement on Revenue Provisions</t>
  </si>
  <si>
    <t>Over/Under Recovery</t>
  </si>
  <si>
    <t>Allowed Network Generation Revenue (AGt)</t>
  </si>
  <si>
    <t>Incentivised Generation (IGt)</t>
  </si>
  <si>
    <t>Registered Power Zones (RPZt)</t>
  </si>
  <si>
    <t>Correction Factor (KGt)</t>
  </si>
  <si>
    <t>Network Generation Revenue (RGt)</t>
  </si>
  <si>
    <t>Metering Revenue</t>
  </si>
  <si>
    <t>Legacy Basic Meter Asset Provision Revenue</t>
  </si>
  <si>
    <t>Basic Meter Operation Revenue</t>
  </si>
  <si>
    <t>Excluded Services and Revenue Outside of Price Control</t>
  </si>
  <si>
    <t>Excluded Services</t>
  </si>
  <si>
    <t>Revenue Outside of Price Control</t>
  </si>
  <si>
    <t>De Minimis Revenue</t>
  </si>
  <si>
    <t>DNO reported Unit Cost (£)</t>
  </si>
  <si>
    <t>Unit cost used in MEAV calculation (£)</t>
  </si>
  <si>
    <t>Closing DCPR asset Balance (units)</t>
  </si>
  <si>
    <t>MEAV (£)</t>
  </si>
  <si>
    <t>Sum of direct and indriect replacement unit cost from FBPQ C2</t>
  </si>
  <si>
    <t>PB power numbers, if available</t>
  </si>
  <si>
    <t>Is DNO Unit cost if avaliable, otherwise PB power unit cost</t>
  </si>
  <si>
    <t>Closing asset balance from FBPQ V4</t>
  </si>
  <si>
    <t>Unit cost used in MEAV calculation*Closing DCPR asset Balance (units)</t>
  </si>
  <si>
    <t>DATA</t>
  </si>
  <si>
    <t>MEAV  - LV, LV/HV, HV, EHV, 132kV split</t>
  </si>
  <si>
    <t>Sum of MEAV of asset classified in voltage tier</t>
  </si>
  <si>
    <t>% of Total</t>
  </si>
  <si>
    <t>103. Units distributed (GWh) from RRP table 5.1</t>
  </si>
  <si>
    <t>Units distributed (GWh) from RRP table 5.1</t>
  </si>
  <si>
    <t>Units distributed at LV</t>
  </si>
  <si>
    <t>Units distributed at HV</t>
  </si>
  <si>
    <t>Units distributed at EHV+</t>
  </si>
  <si>
    <t>Losses</t>
  </si>
  <si>
    <t>104. Estimated line loss adjustment factors relative to LV</t>
  </si>
  <si>
    <t>LV services</t>
  </si>
  <si>
    <t>Units (GWh) flowing through each level, loss-adjusted to LV</t>
  </si>
  <si>
    <t>Units (kWh) flowing through each level, loss-adjusted to LV</t>
  </si>
  <si>
    <t>Choice of LR1 data source</t>
  </si>
  <si>
    <t>Total Net Capex 2005/06 -2014/15 LV, LV/HV, HV, EHV, 132kV split</t>
  </si>
  <si>
    <t>LR1</t>
  </si>
  <si>
    <t>LR1 opt 3</t>
  </si>
  <si>
    <t>Connection/Reinforcement/Replacement Capex LV, HV, EHV, 132kV split</t>
  </si>
  <si>
    <t>Connections Capex 2005/06 -2014/15 (£m)</t>
  </si>
  <si>
    <t>General reinforcement Capex 2005/06 -2014/15 (£m)</t>
  </si>
  <si>
    <t>Fault reinforcement Capex 2005/06 -2014/15 (£m)</t>
  </si>
  <si>
    <t>Connections spend minus customer contributions (from FBPQ LR1)</t>
  </si>
  <si>
    <t>(from FBPQ LR4)</t>
  </si>
  <si>
    <t>(from FBPQ LR6)</t>
  </si>
  <si>
    <t>Replacement Capex 2005/06 -2014/15 (£m)</t>
  </si>
  <si>
    <t>ESQCR 2005/06 -2014/15 (£m)</t>
  </si>
  <si>
    <t xml:space="preserve"> (from FBPQ NL1)</t>
  </si>
  <si>
    <t>(from FBPQ NL9)</t>
  </si>
  <si>
    <t>Connection/Reinforcement/Replacement Capex LV, LV/HV, HV, EHV, 132kV split</t>
  </si>
  <si>
    <t>allocated in proportion to repex</t>
  </si>
  <si>
    <t>NL1 + NL9</t>
  </si>
  <si>
    <t>HV/LV sub/trans costs</t>
  </si>
  <si>
    <t>LV/HV/(LV/HV+HV) %</t>
  </si>
  <si>
    <t>LR1 (opt3) variant</t>
  </si>
  <si>
    <t>Cell Ref: B16</t>
  </si>
  <si>
    <t>Connections spend minus customer contributions (from FBPQ LR1 v5 opt3)</t>
  </si>
  <si>
    <t>Cell Ref B36</t>
  </si>
  <si>
    <t>LR1 variant</t>
  </si>
  <si>
    <t>Step 1 - extract total activity costs from cost report</t>
  </si>
  <si>
    <t>Step 2. Identify costs included in price control revenues to be allocated by MEAV</t>
  </si>
  <si>
    <t>Step 3.  Allocate costs not directly atttibutable to network tiers to network tiers using MEAV</t>
  </si>
  <si>
    <t>Step 4.  Sum directly attributed and allocated costs</t>
  </si>
  <si>
    <t>Step 5. Divide cost by units flowing - effectively adjust the cost because of electricity lost as it flows through the network meaning that there is more cost in the lower tiers</t>
  </si>
  <si>
    <t>Step 6.   Adjust costs so that they are aligned with the definition of opex in the allowed price control revenues</t>
  </si>
  <si>
    <t>Costs extracted from RRP Tables</t>
  </si>
  <si>
    <t>Cost drivers - lookup from "Calc-Drivers"</t>
  </si>
  <si>
    <t>Allocation of "Unallocated" costs by cost driver to network tiers</t>
  </si>
  <si>
    <t>Sum of allocated and "unallocated" costs</t>
  </si>
  <si>
    <t>Sum of allocated and "unallocated" costs expressed per unit throughput (p/kWh)</t>
  </si>
  <si>
    <t>Proportion of costs allocated to Opex and Capex</t>
  </si>
  <si>
    <t>Operating costs = sum of allocated and unallocated multiplied by 1 minus capitalised proprtion</t>
  </si>
  <si>
    <t>Opex only on p/kWh throughput</t>
  </si>
  <si>
    <t>Total activity cost - from RRP 1.3</t>
  </si>
  <si>
    <t>Costs allocated to network tiers in RRP - from 2.3 and 2.4</t>
  </si>
  <si>
    <t>Unallocated costs = Total - costs allocated to network tiers</t>
  </si>
  <si>
    <t>Insert name of cost driver</t>
  </si>
  <si>
    <t>Proportion of cost allocated to each network tier</t>
  </si>
  <si>
    <t>% Cost capitalised (from DCPR settlement - same for all DNOs)</t>
  </si>
  <si>
    <t>Capex</t>
  </si>
  <si>
    <t>Opex</t>
  </si>
  <si>
    <t>LV Service</t>
  </si>
  <si>
    <t>Direct activities - From RRP 2.2 Detailed Cost Matrix</t>
  </si>
  <si>
    <t>MEAV</t>
  </si>
  <si>
    <t>Indirect activities - From RRP 2.2 Detailed Cost Matrix</t>
  </si>
  <si>
    <t>Do not allocate</t>
  </si>
  <si>
    <t>Other Costs from full activitty cost allocation</t>
  </si>
  <si>
    <t>Total all network tiers</t>
  </si>
  <si>
    <t>Total by network tiers</t>
  </si>
  <si>
    <t xml:space="preserve">% </t>
  </si>
  <si>
    <t>Vlookup Values:</t>
  </si>
  <si>
    <t>THESE % ARE USED TO ALLOCATE PRICE CONTROL OPEX</t>
  </si>
  <si>
    <t>Step 4.a. calculate proportion of cost classified as direct costs</t>
  </si>
  <si>
    <t>Total direct+other</t>
  </si>
  <si>
    <t>Total indirect</t>
  </si>
  <si>
    <t>% direct+other</t>
  </si>
  <si>
    <t>% indirect</t>
  </si>
  <si>
    <t>Drivers - LV, LV/HV, HV, EHV split</t>
  </si>
  <si>
    <t>Category</t>
  </si>
  <si>
    <t>Source</t>
  </si>
  <si>
    <t>Net Capex</t>
  </si>
  <si>
    <t>FBPQ capex - see "Calc Net capex"</t>
  </si>
  <si>
    <t>No. of Customers</t>
  </si>
  <si>
    <t>Assumption</t>
  </si>
  <si>
    <t>Network Length</t>
  </si>
  <si>
    <t>RRP table 5.1</t>
  </si>
  <si>
    <t>No. of Substations</t>
  </si>
  <si>
    <t>FBPQ capex - see "Calc MEAV"</t>
  </si>
  <si>
    <t>EHV only</t>
  </si>
  <si>
    <t>LV only</t>
  </si>
  <si>
    <t>HV only</t>
  </si>
  <si>
    <t>Step 1. Format price control allowed revenue data</t>
  </si>
  <si>
    <t>I) DPCR3 type presentation</t>
  </si>
  <si>
    <t>ii) DPCR4 type presentation</t>
  </si>
  <si>
    <t>Allowed revenue</t>
  </si>
  <si>
    <t>Opex (incl pensions after  57.7% capitalised)</t>
  </si>
  <si>
    <t>Quality Reward</t>
  </si>
  <si>
    <t>Present value of opening/closing RAV</t>
  </si>
  <si>
    <t>Total Opex</t>
  </si>
  <si>
    <t>Operating costs (excl pensions)</t>
  </si>
  <si>
    <t>Capital elements</t>
  </si>
  <si>
    <t>Capex (excl pensions)</t>
  </si>
  <si>
    <t>Pensions</t>
  </si>
  <si>
    <t>Capital incentive</t>
  </si>
  <si>
    <t>Capex incentive</t>
  </si>
  <si>
    <t>Sliding scale</t>
  </si>
  <si>
    <t>Sliding scale addn income</t>
  </si>
  <si>
    <t>Return</t>
  </si>
  <si>
    <t>Quality reward/Opex incentive &amp; Other Adjustments</t>
  </si>
  <si>
    <t>Total capital</t>
  </si>
  <si>
    <t>Total capital ex depreciation</t>
  </si>
  <si>
    <t>PV of allowed items</t>
  </si>
  <si>
    <t>Allocation of allowed revenue to:-</t>
  </si>
  <si>
    <t>TOTAL PV OVER 5 YEARS</t>
  </si>
  <si>
    <t>Excluded services revenue</t>
  </si>
  <si>
    <t>PV of total revenue</t>
  </si>
  <si>
    <t>PV of excluded service revenue</t>
  </si>
  <si>
    <t xml:space="preserve">Step 2. Allocate price control revenues to network tiers </t>
  </si>
  <si>
    <t>Hence DPCR4 revenue made up of</t>
  </si>
  <si>
    <t>Total DPCR4</t>
  </si>
  <si>
    <t>Basis of allocation</t>
  </si>
  <si>
    <t>% used</t>
  </si>
  <si>
    <t>Operating costs</t>
  </si>
  <si>
    <t>Overall Opex split</t>
  </si>
  <si>
    <t>NET CAPEX SPLIT FROM "CALC -NET CAPEX" SHEET</t>
  </si>
  <si>
    <t>OVERALL OPEX SPLIT FROM "CALC DNO OPEX ALLOCATION" SHEET</t>
  </si>
  <si>
    <t>Step 3. Remove incentive revenue and pension deficit payment from allocations</t>
  </si>
  <si>
    <t>2007/08 allowed revenue source from page "summary allowed revenue"</t>
  </si>
  <si>
    <t>Base revenue</t>
  </si>
  <si>
    <t>Allowed pass through items</t>
  </si>
  <si>
    <t>Incentive revenue</t>
  </si>
  <si>
    <t>Total allowed income</t>
  </si>
  <si>
    <t>Under/over recovery</t>
  </si>
  <si>
    <t>Excluded</t>
  </si>
  <si>
    <t>Less incentive revenue</t>
  </si>
  <si>
    <t>Total revenue not to share</t>
  </si>
  <si>
    <t>Total revenue to share</t>
  </si>
  <si>
    <t>Step 2.b. Divide cost by units flowing - effectively adjust the cost because of electricity lost as it flows thorugh the network meaning that there is more cost in the lower tiers</t>
  </si>
  <si>
    <t>Split of Tariffs</t>
  </si>
  <si>
    <t>p/kWh</t>
  </si>
  <si>
    <t>Not to be split</t>
  </si>
  <si>
    <t>Income</t>
  </si>
  <si>
    <t>All LV Tariffs</t>
  </si>
  <si>
    <t>HV Tariffs</t>
  </si>
  <si>
    <t>EHV Tariffs</t>
  </si>
  <si>
    <t xml:space="preserve">% by network tier </t>
  </si>
  <si>
    <t>Unallocated</t>
  </si>
  <si>
    <t>Opex and transmission exit charges</t>
  </si>
  <si>
    <t>N/A</t>
  </si>
  <si>
    <t>Weighted Average</t>
  </si>
  <si>
    <t>Weighted Average (after incentive and pension deficit costs removed and weighted by units flowing)</t>
  </si>
  <si>
    <t>Direct cost %</t>
  </si>
  <si>
    <t>Take these data from the February 2005 Ofgem document, not the November 2004 final proposals.</t>
  </si>
  <si>
    <t>The relevant Ofgem document was at http://www.ofgem.gov.uk/Markets/RetMkts/Metrng/Metering/Documents1/9745-5405.pdf</t>
  </si>
  <si>
    <t>Boundary HVplus</t>
  </si>
  <si>
    <t>Boundary EHV</t>
  </si>
  <si>
    <t>Boundary 132kV/EHV</t>
  </si>
  <si>
    <t>Boundary 132kV</t>
  </si>
  <si>
    <t>Boundary 0000</t>
  </si>
  <si>
    <t>HV generation end user</t>
  </si>
  <si>
    <t>HV demand or LV Sub generation end user</t>
  </si>
  <si>
    <t>LV Sub demand or LV generation end user</t>
  </si>
  <si>
    <t>LV demand end user</t>
  </si>
  <si>
    <t>Network levels provided or bypassed by the DNO</t>
  </si>
  <si>
    <t>Weighted by units flowing</t>
  </si>
  <si>
    <t>All EHV</t>
  </si>
  <si>
    <t>Currently 1 for EHV</t>
  </si>
  <si>
    <t>Currently 1 for 132 kV</t>
  </si>
  <si>
    <t>EHV and 132 kV splits</t>
  </si>
  <si>
    <t>Use of different network levels</t>
  </si>
  <si>
    <t>Mains usage percentage</t>
  </si>
  <si>
    <t>EDCM method M MEAV</t>
  </si>
  <si>
    <t>Percentage of all EHV</t>
  </si>
  <si>
    <t>MEAV calculations</t>
  </si>
  <si>
    <t>EHV MEAV proportions</t>
  </si>
  <si>
    <t>Summary of allocation showing separate EHV levels</t>
  </si>
  <si>
    <t>Enter input data in blue shaded areas; do not change anything in yellow shaded areas</t>
  </si>
  <si>
    <t>Calc-Opex</t>
  </si>
  <si>
    <t>Calc-Allocation</t>
  </si>
  <si>
    <t>Calc-Summary</t>
  </si>
  <si>
    <t>EDCM discounts</t>
  </si>
  <si>
    <t>Intermediate step (uncapped discounts)</t>
  </si>
  <si>
    <t>Network levels bypassed by the DNO (all zero)</t>
  </si>
  <si>
    <t>Input data sheets</t>
  </si>
  <si>
    <t>Intermediate calculation sheets</t>
  </si>
  <si>
    <t>Final processing and results sheets</t>
  </si>
  <si>
    <t>Less transmission exit charges</t>
  </si>
  <si>
    <t>Use copy-paste to replace the entire contents of this sheet with your input data if applicable</t>
  </si>
  <si>
    <t>LR1 and LR1 (opt3) formula references</t>
  </si>
  <si>
    <t>Use copy-paste to replace the entire contents of this sheet with your input data if applicable (data were previously in Calc-Net capex)</t>
  </si>
  <si>
    <t>This workbook has been adapted by Reckon LLP on the instructions of the DCUSA Panel or one of its working groups.  Only the DCUSA Panel</t>
  </si>
  <si>
    <t>and its working groups have authority to approve this material as meeting their requirements.  Reckon LLP makes no representation about</t>
  </si>
  <si>
    <t>the suitability of this material for the purposes of complying with any licence conditions or furthering any relevant objective.</t>
  </si>
  <si>
    <t>DCP 117 additional annual income</t>
  </si>
  <si>
    <t>Mid West</t>
  </si>
  <si>
    <t>Finals</t>
  </si>
  <si>
    <t>-</t>
  </si>
  <si>
    <t>Index</t>
  </si>
  <si>
    <t/>
  </si>
  <si>
    <t>Increase/Reduction in max demand</t>
  </si>
  <si>
    <t>Increase/Reduction in units distributed</t>
  </si>
  <si>
    <t>0</t>
  </si>
  <si>
    <t>EDFE SPN</t>
  </si>
  <si>
    <t>Expenditure on DSM to avoid general reinforcement</t>
  </si>
  <si>
    <t>Planned reinforce-ment Year</t>
  </si>
  <si>
    <t>Banbury group, Brackley SCO</t>
  </si>
  <si>
    <t>c</t>
  </si>
  <si>
    <t>Installation of a third 132kV circuit. Costs split across East and West. Wayleaves only in DPCR5, construction in DPCR6.</t>
  </si>
  <si>
    <t>Bishops Castle 33/11kV Transformer reinforcement, switchgear automation</t>
  </si>
  <si>
    <t>33kV</t>
  </si>
  <si>
    <t>a</t>
  </si>
  <si>
    <t>Installation of an additional 6/12MVA transformer at Bishops Castle. Replacement of 11kV switchgear</t>
  </si>
  <si>
    <t>Bishops Castle-Priestweston Interconnection</t>
  </si>
  <si>
    <t>Construction of 33kV interconnector between Bishops Castle and Priestweston (10km)</t>
  </si>
  <si>
    <t>Bishops Cleeve 66/11kV reinforcement</t>
  </si>
  <si>
    <t>11kV</t>
  </si>
  <si>
    <t>Installation of second 66/11kV transformer and 66kV section switch</t>
  </si>
  <si>
    <t>Bixhead 33/11kV reinforcement</t>
  </si>
  <si>
    <t>Upgrading two transformers and installation of a crossbay CB between T1 &amp; T2.</t>
  </si>
  <si>
    <t>Bloxham 66/11kV reinforcement</t>
  </si>
  <si>
    <t>66kV</t>
  </si>
  <si>
    <t>a &amp; c</t>
  </si>
  <si>
    <t>Installation of a second 12/24MVA transformer</t>
  </si>
  <si>
    <t>Bodenham Second 66/11kV Transformer &amp; install 66kV bus section</t>
  </si>
  <si>
    <t>Commissioning of the transformer currently in position at Bodenham and installation of a 66kV bus-section circuit breaker.</t>
  </si>
  <si>
    <t xml:space="preserve">Bromyard 66kV Breaker </t>
  </si>
  <si>
    <t>g</t>
  </si>
  <si>
    <t>Installation of a 66kV mesh circuit breaker</t>
  </si>
  <si>
    <t>Cheadle 33/11kV reinforcement</t>
  </si>
  <si>
    <t>Replacement of transformers with 12/24MVA units.</t>
  </si>
  <si>
    <t>Chipping Sod - P2/5, Hammerley Down circuit</t>
  </si>
  <si>
    <t>j</t>
  </si>
  <si>
    <t>Rebuilding overhead line - 7km</t>
  </si>
  <si>
    <t>Chipping Sodbury 33kV Reinforcement</t>
  </si>
  <si>
    <t>Installation of 1 transformer BSP at Iron Acton. Includes 33kV connection and rebuild of Iron Acton - Alveston circuit</t>
  </si>
  <si>
    <t>Comet Bridge 33/11kV Reinforcement (aka Monkmoor or Spring Gardens)</t>
  </si>
  <si>
    <t xml:space="preserve">Installation of a new 33/11kV substation at Spring Gardens near existing primary site and dismantlement of Comet Bridge. </t>
  </si>
  <si>
    <t>Cotes Heath 33/11kV S/S reinforcement</t>
  </si>
  <si>
    <t>Installation of an additional transformer, 33kV crossbay and extension of 11kV board</t>
  </si>
  <si>
    <t>Cowhorn 33/11kV reinforcement</t>
  </si>
  <si>
    <t>Installation of third 12/24MVA transformer, 33kV crossbay and additional 11kV switchboard.</t>
  </si>
  <si>
    <t>Craven Arms reinforcement</t>
  </si>
  <si>
    <t>Upgrading T2 from 5MVA to 15MVA. Establishing a new 33kV bay at Ludlow and a new 33kV circuit (15km) to Craven Arms.</t>
  </si>
  <si>
    <t>Dudbridge 33/11kV reinforcement</t>
  </si>
  <si>
    <t>Upgrading at least 2 transformers to 12/24MVA and installation of a 33kV cross-bay.</t>
  </si>
  <si>
    <t>Dymock 66/11</t>
  </si>
  <si>
    <t>Option of installation of second transformer or strengthening 11kV interconnection</t>
  </si>
  <si>
    <t>Elmdon 132kV crossbay re-configuration</t>
  </si>
  <si>
    <t>Reinstallation of CB120 on cross-bay and associated protection modifications</t>
  </si>
  <si>
    <t>Endon reinforcement</t>
  </si>
  <si>
    <t>Upgrading transformers with 12/24 MVA units &amp; rationalisation of substation layout</t>
  </si>
  <si>
    <t>Evesham 66/11kV reinforcement</t>
  </si>
  <si>
    <t xml:space="preserve">Installation of an additional 66/11kV transformer and 11kV switch board </t>
  </si>
  <si>
    <t xml:space="preserve">Feckenham - Bevington dual circuit steel tower line uprating </t>
  </si>
  <si>
    <t>Uprating the Feckenham – Bevington - Evesham circuits using 200AAAC POPLAR conductor</t>
  </si>
  <si>
    <t>Forest Ring-Bixhead to Stowfield tee</t>
  </si>
  <si>
    <t>Rebuilding the Bixhead-Stowfield tee 33kV OHL</t>
  </si>
  <si>
    <t>Forsbrook/Meaford 33kV interconnection</t>
  </si>
  <si>
    <t>Reinforcement of 33kV interconnection between Meaford and Forsbrook BSP. Allows indefinite deferral of Meaford reinforcement.</t>
  </si>
  <si>
    <t>Gloucester / Iron Acton Z Route</t>
  </si>
  <si>
    <t xml:space="preserve">Rebuilding Z route and interconnection from Iron Acton to Cambridge Arms switching site </t>
  </si>
  <si>
    <t>Gnosall 11kV reinforcement</t>
  </si>
  <si>
    <t>Reinforcement of 11kV circuits to enable at least 5MVA transfers from High Offley</t>
  </si>
  <si>
    <t>Hereford - Ledbury 66kV OHL reinforcement</t>
  </si>
  <si>
    <t>Uprating line by rebuilding / refurbishment (19km)</t>
  </si>
  <si>
    <t>Hereford BSP GT3 replacement</t>
  </si>
  <si>
    <t>Complete reinstallation of GT3 (new transformer delivered to Upton Warren in 2008)</t>
  </si>
  <si>
    <t>Hereford South Additional Capacity</t>
  </si>
  <si>
    <t>Establishing new substation on reserved site (Wide Marsh Street)</t>
  </si>
  <si>
    <t>High Offley reinforcement</t>
  </si>
  <si>
    <t>Installation of additional transformer (10/15MVA)</t>
  </si>
  <si>
    <t>Hill Chorlton 33/11kV S/S reinforcement</t>
  </si>
  <si>
    <t>Uprating transformer to 7.5/15MVA and possible 11kV reinforcement / interconnection to Coates Heath.</t>
  </si>
  <si>
    <t>Hinksford 132kV reinforcement and 132kV siwtchgear replacement (new 2 switch crossbay)</t>
  </si>
  <si>
    <t>Replacement of 132kV switchgear, upgrading single switch crossbay to 2 switches. Removal of redundant plant. Re routing cables</t>
  </si>
  <si>
    <t>Hinstock 33/11kV S/S reinforcement</t>
  </si>
  <si>
    <t>Installation of additional 7.5/15MVA transformer or uprating existing units</t>
  </si>
  <si>
    <t>Hookgate 33/11kV S/S reinforcement</t>
  </si>
  <si>
    <t>Installation of an additional transformer or 11kV reinforcement</t>
  </si>
  <si>
    <t>Ironbridge - Halesfield &amp; Madeley 33kV Reinforcement</t>
  </si>
  <si>
    <t>Installation of new 33kV circuits from Ironbridge to Madeley and from Madeley to Halesfield. Installation of a 33kV crossbay at Madeley.</t>
  </si>
  <si>
    <t>Ketley BSP reinforcement</t>
  </si>
  <si>
    <t>Reinforcement of 33kV interconnection or 132/33kV reinforcement</t>
  </si>
  <si>
    <t>Knypersley-Goldenhill-Talke Cct reinforcement</t>
  </si>
  <si>
    <t>Uprating Knypersley-Goldenhill-Talke 33kV circuit (10km). Rebuilding 1.3km of OH and overlay 1.4km of UG cable.</t>
  </si>
  <si>
    <t>Ladywood / Winson Green SCO security</t>
  </si>
  <si>
    <t>Installation of third 132kV circuit from Bustleholm to Winson Green or Ladywood or 132kV interconnector from Ladywood to Summer Lane.</t>
  </si>
  <si>
    <t>Lichfield/Rugeley T group reinforcement (Lichfield - Burntwoodinterconnector)</t>
  </si>
  <si>
    <t>Unpicking Rugeley T circuit. 132kV Burntwood -Lichfield interconnection following route of redundant 33kV OHLs.</t>
  </si>
  <si>
    <t>Lower Chadnor</t>
  </si>
  <si>
    <t>11kV reinforcement</t>
  </si>
  <si>
    <t>Malehurst 33/11kV reinforcement</t>
  </si>
  <si>
    <t>Uprating two 7.5MVA transformers with two 12/24MVA units and replacement of 11kV switchboard</t>
  </si>
  <si>
    <t>Market Drayton 33/11kV reinforcement</t>
  </si>
  <si>
    <t>Installation of additional third transformer (12/24 MVA)</t>
  </si>
  <si>
    <t>Meaford West 33kV network Reinforcement (PHASE 2:Meaford - Hookgate (tee Market Drayton) 4th 33kV circuit)</t>
  </si>
  <si>
    <t>Establishment of 4th Meaford - Hookgate (tee Market Drayton) 33kV circuit</t>
  </si>
  <si>
    <t>Moreton 66/11kV reinforcement</t>
  </si>
  <si>
    <t>Uprating transformers at Moreton to 12/24MVA units and improving 11kV alternative supplies to Stow.</t>
  </si>
  <si>
    <t>New Birmingham City Centre primary Substation (site acquisition + preps only)</t>
  </si>
  <si>
    <t>New 132/11kV s/s in the eastside of the city centre to support new load and heavily loaded primaries. Acquire site in DPCR5</t>
  </si>
  <si>
    <t>New Whitfield-Knypersley 33kV cct</t>
  </si>
  <si>
    <t>Installation of additional (3rd) Whitfield-Knypersley 33kV circuit (at least 41MVA)</t>
  </si>
  <si>
    <t>Newcastle - Scot Hay 33kC cct  reinforcement</t>
  </si>
  <si>
    <t>Uprating Newcastle - Scot Hay 33kV circuit.  Approx 4km 200mm2 AAAC gives 41MVA capacity</t>
  </si>
  <si>
    <t>Newcastle 132/11kV Reinforcement</t>
  </si>
  <si>
    <t>Installation of 3rd 132/11kV transformer and 11kV s/board. Replacement of 132/33kV transformer and decommissioning redundant 33kV s/gear</t>
  </si>
  <si>
    <t>Newent reinforcement</t>
  </si>
  <si>
    <t>Upgrading double circuit 11kV line from Newent to Dymock to 66kV.  Installation of second 6/12MVA transformer at Newent and new 11kV switchboard</t>
  </si>
  <si>
    <t>Oldbury 132/11kV reinforcement</t>
  </si>
  <si>
    <t>Installation of additional transformer and possible upgrade of 11Kv interconnections</t>
  </si>
  <si>
    <t>Oldbury Group reinforcement</t>
  </si>
  <si>
    <t xml:space="preserve">Installation of a 132kV interconnection from Ocker Hill to Tividale. Installation of additional 132kV GIS switchgear required at Tividale. </t>
  </si>
  <si>
    <t>Pattingham 33kV crossbay re-configuration</t>
  </si>
  <si>
    <t>Installation of 33kV CB on crossbay and associated protection modifications</t>
  </si>
  <si>
    <t>Pontrilas voltage regulator</t>
  </si>
  <si>
    <t>Installation of pole mounted voltage regulators to support the 11kV network.</t>
  </si>
  <si>
    <t>Presteigne - Knighton 66kV new line</t>
  </si>
  <si>
    <t>Installation of second 66kV line between Presteigne and Kington</t>
  </si>
  <si>
    <t>Priestweston 33/11kV S/S reinforcement</t>
  </si>
  <si>
    <t>Installation of second 33/11kV transformer or 11kV interconnection.</t>
  </si>
  <si>
    <t>Quatt-Wribbenhall-Kinver 33kV ccts reinforcement</t>
  </si>
  <si>
    <t>Rebuilding Quatt-Wribbenhall - Kinver 33kV circuits</t>
  </si>
  <si>
    <t>Quedgeley Primary</t>
  </si>
  <si>
    <t>Installation of new Quedgeley 132/11kV substation</t>
  </si>
  <si>
    <t>Rugeley GSP reinforcement</t>
  </si>
  <si>
    <t>Installation of new GSP near Burntwood. Discussions with NG still ongoing on options (3rd SGT and circuit or new GSP)</t>
  </si>
  <si>
    <t>Selly Oak reinforcement</t>
  </si>
  <si>
    <t>Installation of additional transformer and 11kV switchgear section</t>
  </si>
  <si>
    <t>Shifnal primary reinforcement</t>
  </si>
  <si>
    <t>Uprating 2 x 5MVA transformers with 7.5/15MVA units</t>
  </si>
  <si>
    <t>Shrewsbury - Harlescott 33kV reinforcement</t>
  </si>
  <si>
    <t>f</t>
  </si>
  <si>
    <t xml:space="preserve">Construction of new 33kV OHL between Shrewsbury and Harlescott.  </t>
  </si>
  <si>
    <t>Shrewsbury 132/33kV Grid Transformer Reinforcement</t>
  </si>
  <si>
    <t>Installation of a third 132/33kV transformer (90MVA).  Transfer of assets from NG in 2010</t>
  </si>
  <si>
    <t>Snedshill 33/11kV reinforcement</t>
  </si>
  <si>
    <t>Uprating 20MVA TX at Snedshill to 20/40MVA unit.  Installation of 33kV s/gear at Ketley BSP.  Rectify Snedshill 11kV s/gear restrictions.</t>
  </si>
  <si>
    <t>St. Weonards reinforcement</t>
  </si>
  <si>
    <t>Stafford Grid</t>
  </si>
  <si>
    <t>Uprating 30MVA transformer for 60MVA, commission second winding of 60MVA Transformer and extend switchboard</t>
  </si>
  <si>
    <t>Stagefields 132/11kV reinforcement (switchboard extension) + reinforcement</t>
  </si>
  <si>
    <t>Installation of third 132/11kV transformer and additional 11kV switchgear</t>
  </si>
  <si>
    <t>Stockton and Cleobury Mortimer Reinforcement</t>
  </si>
  <si>
    <t>Installation of a crossbay at Cleobury Mortimer, a 33kV circuit from the Ludlow – Stockton 33kV circuit to Cleobury Mortimer tee, and 2 x 7.5/15MVA transformers at Cleobury Mortimer.</t>
  </si>
  <si>
    <t>Stowfield reinforcement</t>
  </si>
  <si>
    <t>Installation of interposing transformer to address phasing conflict. 11kV interconnection capacity to be reinforced.</t>
  </si>
  <si>
    <t>Summer Lane 132/11kV Reinforcement</t>
  </si>
  <si>
    <t xml:space="preserve">132kV mesh re-configuration. </t>
  </si>
  <si>
    <t xml:space="preserve">Tean 33/11kV reinforcement </t>
  </si>
  <si>
    <t>Installation of 11kV interconnector from Cheadle and uprating transformers from 2 x 5MVA to 2 x 12/24MVA units</t>
  </si>
  <si>
    <t>Walsall 132kV reconfiguration (to unpick temporary Bentley GT2 feeder tee to Walsall GT4)</t>
  </si>
  <si>
    <t>Unpick tee and prepare for link into 132kV feeder bay (403)</t>
  </si>
  <si>
    <t>Weir Hill Roushill group reinforcement 
Roushill 33/11kV Substation &amp; Rowton, harlescott, Malehurst, etc 33kV Ring</t>
  </si>
  <si>
    <t>b</t>
  </si>
  <si>
    <t>Transfer Roushill demand to Spring Gardens. Extension of the 33kV circuits from Roushill to the Rowton - Harlescott 33kV circuit.</t>
  </si>
  <si>
    <t>Whitfield - Endon 33kV Works (Whit End)</t>
  </si>
  <si>
    <t>f,j</t>
  </si>
  <si>
    <t>Reinforcement of circuit to 41MVA. Reconfiguration of circuits to teed transformer feeders.</t>
  </si>
  <si>
    <t>Whitfield 132kV group network reinforcement</t>
  </si>
  <si>
    <t>Installation of third 132kV circuit from Cellarhead to Whitfield or additional circuit from Cellarhead to supply SP Manweb directly, offloading the Cellarhead to Whitfield circuits.</t>
  </si>
  <si>
    <t>Whitfield 33/11kV reinforcement</t>
  </si>
  <si>
    <t>Uprating transformers to 2 x 12/24 units</t>
  </si>
  <si>
    <t>CAUTION - THIS PACK DOES NOT BALANCE</t>
  </si>
  <si>
    <t xml:space="preserve">          Load Related New Connections &amp; Reinforcement</t>
  </si>
  <si>
    <t xml:space="preserve">          Non-load related replacement (Condition based)</t>
  </si>
  <si>
    <t>Operational Land</t>
  </si>
  <si>
    <t xml:space="preserve">Operational Plant &amp; Machinery </t>
  </si>
  <si>
    <t>Scrap Metal</t>
  </si>
  <si>
    <t>LV Control centre costs (where it remotely controls LV network)</t>
  </si>
  <si>
    <t>April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</si>
</sst>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,&quot; m&quot;"/>
    <numFmt numFmtId="166" formatCode="_(??0.0%_);[Red]\(??0.0%\);"/>
    <numFmt numFmtId="167" formatCode="_-* #,##0_-;\-* #,##0_-;_-* &quot;-&quot;??_-;_-@_-"/>
    <numFmt numFmtId="168" formatCode="_(??0.000%_);[Red]\(??0.000%\);_(???_%_)"/>
    <numFmt numFmtId="169" formatCode="\ _(??0.0%_);[Red]\ \(??0.0%\);;@"/>
    <numFmt numFmtId="170" formatCode="0.000"/>
    <numFmt numFmtId="171" formatCode="0.0"/>
    <numFmt numFmtId="172" formatCode="#,##0_);[Red]\(#,##0\);\-"/>
    <numFmt numFmtId="173" formatCode="0;\(0\)"/>
    <numFmt numFmtId="174" formatCode="0;[Red]\(0\);\-"/>
    <numFmt numFmtId="175" formatCode="#,##0.0_);[Red]\(#,##0.0\);\-"/>
    <numFmt numFmtId="176" formatCode="_(* #,##0.0_);_(* \(#,##0.0\);_(* &quot;-&quot;?_);_(@_)"/>
    <numFmt numFmtId="177" formatCode="#,##0.000"/>
  </numFmts>
  <fonts count="65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Genev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b/>
      <sz val="15"/>
      <name val="Calibri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CG Omega"/>
      <family val="2"/>
    </font>
    <font>
      <b/>
      <sz val="10"/>
      <name val="CG Omega"/>
      <family val="2"/>
    </font>
    <font>
      <sz val="10"/>
      <name val="CG Omega"/>
      <family val="2"/>
    </font>
    <font>
      <sz val="10"/>
      <color indexed="12"/>
      <name val="CG Omega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6"/>
      <name val="Arial"/>
      <family val="2"/>
    </font>
    <font>
      <b/>
      <sz val="20"/>
      <name val="CG Omega"/>
      <family val="2"/>
    </font>
    <font>
      <b/>
      <sz val="14"/>
      <name val="Arial"/>
      <family val="2"/>
    </font>
    <font>
      <b/>
      <sz val="16"/>
      <name val="CG Omega"/>
      <family val="2"/>
    </font>
    <font>
      <b/>
      <sz val="14"/>
      <name val="CG Omega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G Omega"/>
      <family val="2"/>
    </font>
    <font>
      <b/>
      <sz val="11"/>
      <color indexed="8"/>
      <name val="CG Omega"/>
      <family val="2"/>
    </font>
    <font>
      <sz val="11"/>
      <color indexed="12"/>
      <name val="CG Omega"/>
      <family val="2"/>
    </font>
    <font>
      <b/>
      <sz val="11"/>
      <name val="CG Omega"/>
      <family val="2"/>
    </font>
    <font>
      <sz val="10"/>
      <color indexed="56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sz val="9"/>
      <name val="CG Omega"/>
      <family val="2"/>
    </font>
    <font>
      <b/>
      <sz val="9"/>
      <name val="CG Omega"/>
      <family val="2"/>
    </font>
    <font>
      <sz val="10"/>
      <color indexed="10"/>
      <name val="CG Omega"/>
      <family val="2"/>
    </font>
    <font>
      <b/>
      <sz val="12"/>
      <name val="CG Omega"/>
      <family val="2"/>
    </font>
    <font>
      <sz val="11"/>
      <color indexed="10"/>
      <name val="CG Omega"/>
      <family val="2"/>
    </font>
    <font>
      <b/>
      <sz val="11"/>
      <color indexed="12"/>
      <name val="CG Omega"/>
      <family val="2"/>
    </font>
    <font>
      <sz val="10"/>
      <color indexed="30"/>
      <name val="CG Omega"/>
      <family val="2"/>
    </font>
    <font>
      <sz val="10"/>
      <color indexed="8"/>
      <name val="CG Omeg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88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2" fillId="0" borderId="0"/>
    <xf numFmtId="0" fontId="28" fillId="0" borderId="0">
      <alignment vertical="top"/>
    </xf>
    <xf numFmtId="0" fontId="35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35" fillId="0" borderId="0" applyFont="0" applyFill="0" applyBorder="0" applyAlignment="0" applyProtection="0"/>
    <xf numFmtId="0" fontId="35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" fillId="0" borderId="0"/>
  </cellStyleXfs>
  <cellXfs count="1826">
    <xf numFmtId="0" fontId="0" fillId="0" borderId="0" xfId="0"/>
    <xf numFmtId="0" fontId="20" fillId="0" borderId="0" xfId="0" applyFont="1" applyAlignment="1"/>
    <xf numFmtId="0" fontId="22" fillId="0" borderId="0" xfId="0" applyFont="1" applyAlignment="1"/>
    <xf numFmtId="0" fontId="22" fillId="0" borderId="0" xfId="0" quotePrefix="1" applyFont="1" applyAlignment="1"/>
    <xf numFmtId="2" fontId="2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9" borderId="0" xfId="0" applyFont="1" applyFill="1" applyAlignment="1">
      <alignment horizontal="center" vertical="center" wrapText="1"/>
    </xf>
    <xf numFmtId="10" fontId="22" fillId="12" borderId="0" xfId="1" applyNumberFormat="1" applyFont="1" applyFill="1" applyAlignment="1" applyProtection="1">
      <alignment horizontal="center"/>
      <protection locked="0"/>
    </xf>
    <xf numFmtId="166" fontId="22" fillId="12" borderId="0" xfId="0" quotePrefix="1" applyNumberFormat="1" applyFont="1" applyFill="1" applyAlignment="1" applyProtection="1">
      <alignment horizontal="center"/>
      <protection locked="0"/>
    </xf>
    <xf numFmtId="166" fontId="22" fillId="12" borderId="0" xfId="0" applyNumberFormat="1" applyFont="1" applyFill="1" applyAlignment="1" applyProtection="1">
      <alignment horizontal="center"/>
      <protection locked="0"/>
    </xf>
    <xf numFmtId="0" fontId="22" fillId="11" borderId="0" xfId="2" applyNumberFormat="1" applyFont="1" applyFill="1" applyAlignment="1" applyProtection="1">
      <alignment horizontal="center" vertical="center"/>
      <protection locked="0"/>
    </xf>
    <xf numFmtId="167" fontId="22" fillId="11" borderId="0" xfId="2" applyNumberFormat="1" applyFont="1" applyFill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168" fontId="22" fillId="11" borderId="0" xfId="0" applyNumberFormat="1" applyFont="1" applyFill="1" applyAlignment="1" applyProtection="1">
      <alignment horizontal="center" vertical="center"/>
      <protection locked="0"/>
    </xf>
    <xf numFmtId="0" fontId="20" fillId="9" borderId="0" xfId="0" applyFont="1" applyFill="1" applyAlignment="1">
      <alignment horizontal="left" vertical="center"/>
    </xf>
    <xf numFmtId="164" fontId="22" fillId="0" borderId="0" xfId="1" applyNumberFormat="1" applyFont="1" applyAlignment="1"/>
    <xf numFmtId="165" fontId="22" fillId="0" borderId="0" xfId="1" applyNumberFormat="1" applyFont="1" applyAlignment="1"/>
    <xf numFmtId="17" fontId="22" fillId="0" borderId="0" xfId="0" quotePrefix="1" applyNumberFormat="1" applyFont="1" applyAlignment="1"/>
    <xf numFmtId="0" fontId="20" fillId="9" borderId="0" xfId="0" applyFont="1" applyFill="1" applyAlignment="1">
      <alignment horizontal="center" vertical="center"/>
    </xf>
    <xf numFmtId="0" fontId="22" fillId="0" borderId="10" xfId="0" applyFont="1" applyBorder="1" applyAlignment="1"/>
    <xf numFmtId="0" fontId="22" fillId="0" borderId="12" xfId="0" applyFont="1" applyBorder="1" applyAlignment="1"/>
    <xf numFmtId="0" fontId="22" fillId="0" borderId="0" xfId="0" applyFont="1" applyBorder="1" applyAlignment="1"/>
    <xf numFmtId="0" fontId="22" fillId="0" borderId="17" xfId="0" applyFont="1" applyBorder="1" applyAlignment="1"/>
    <xf numFmtId="0" fontId="22" fillId="0" borderId="16" xfId="0" applyFont="1" applyBorder="1" applyAlignment="1"/>
    <xf numFmtId="0" fontId="22" fillId="0" borderId="18" xfId="0" applyFont="1" applyBorder="1" applyAlignment="1"/>
    <xf numFmtId="0" fontId="22" fillId="0" borderId="19" xfId="0" applyFont="1" applyBorder="1" applyAlignment="1"/>
    <xf numFmtId="0" fontId="22" fillId="0" borderId="20" xfId="0" applyFont="1" applyBorder="1" applyAlignment="1"/>
    <xf numFmtId="0" fontId="0" fillId="13" borderId="0" xfId="0" applyFill="1" applyBorder="1"/>
    <xf numFmtId="0" fontId="0" fillId="13" borderId="19" xfId="0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13" xfId="0" applyFont="1" applyBorder="1" applyAlignment="1"/>
    <xf numFmtId="0" fontId="22" fillId="0" borderId="14" xfId="0" applyFont="1" applyBorder="1" applyAlignment="1"/>
    <xf numFmtId="0" fontId="22" fillId="0" borderId="15" xfId="0" applyFont="1" applyBorder="1" applyAlignment="1"/>
    <xf numFmtId="0" fontId="22" fillId="0" borderId="15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49" fontId="22" fillId="10" borderId="0" xfId="0" applyNumberFormat="1" applyFont="1" applyFill="1" applyAlignment="1" applyProtection="1">
      <alignment horizontal="left" vertical="center"/>
      <protection locked="0"/>
    </xf>
    <xf numFmtId="169" fontId="22" fillId="14" borderId="0" xfId="0" applyNumberFormat="1" applyFont="1" applyFill="1" applyAlignment="1">
      <alignment horizontal="center" vertical="center"/>
    </xf>
    <xf numFmtId="0" fontId="21" fillId="0" borderId="0" xfId="0" applyFont="1" applyAlignment="1"/>
    <xf numFmtId="165" fontId="22" fillId="14" borderId="0" xfId="1" applyNumberFormat="1" applyFont="1" applyFill="1" applyAlignment="1"/>
    <xf numFmtId="164" fontId="22" fillId="14" borderId="0" xfId="1" applyNumberFormat="1" applyFont="1" applyFill="1" applyAlignment="1"/>
    <xf numFmtId="0" fontId="22" fillId="0" borderId="0" xfId="0" applyFont="1"/>
    <xf numFmtId="0" fontId="20" fillId="15" borderId="0" xfId="0" applyFont="1" applyFill="1" applyAlignment="1">
      <alignment horizontal="left" vertical="center"/>
    </xf>
    <xf numFmtId="169" fontId="22" fillId="16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169" fontId="22" fillId="17" borderId="0" xfId="1" applyNumberFormat="1" applyFont="1" applyFill="1" applyAlignment="1" applyProtection="1">
      <alignment horizontal="center" vertical="center"/>
    </xf>
    <xf numFmtId="170" fontId="25" fillId="18" borderId="0" xfId="2" applyNumberFormat="1" applyFont="1" applyFill="1"/>
    <xf numFmtId="170" fontId="25" fillId="18" borderId="0" xfId="2" applyNumberFormat="1" applyFont="1" applyFill="1" applyAlignment="1">
      <alignment vertical="center"/>
    </xf>
    <xf numFmtId="170" fontId="25" fillId="0" borderId="19" xfId="2" applyNumberFormat="1" applyFont="1" applyBorder="1"/>
    <xf numFmtId="170" fontId="25" fillId="0" borderId="19" xfId="2" applyNumberFormat="1" applyFont="1" applyBorder="1" applyAlignment="1">
      <alignment vertical="center"/>
    </xf>
    <xf numFmtId="170" fontId="25" fillId="11" borderId="0" xfId="2" applyNumberFormat="1" applyFont="1" applyFill="1" applyBorder="1"/>
    <xf numFmtId="170" fontId="25" fillId="11" borderId="0" xfId="2" applyNumberFormat="1" applyFont="1" applyFill="1" applyBorder="1" applyAlignment="1">
      <alignment vertical="center"/>
    </xf>
    <xf numFmtId="170" fontId="25" fillId="0" borderId="0" xfId="2" applyNumberFormat="1" applyFont="1"/>
    <xf numFmtId="170" fontId="25" fillId="0" borderId="0" xfId="2" applyNumberFormat="1" applyFont="1" applyAlignment="1">
      <alignment vertical="center"/>
    </xf>
    <xf numFmtId="170" fontId="25" fillId="11" borderId="11" xfId="2" applyNumberFormat="1" applyFont="1" applyFill="1" applyBorder="1"/>
    <xf numFmtId="170" fontId="25" fillId="11" borderId="11" xfId="2" applyNumberFormat="1" applyFont="1" applyFill="1" applyBorder="1" applyAlignment="1">
      <alignment vertical="center"/>
    </xf>
    <xf numFmtId="170" fontId="25" fillId="0" borderId="0" xfId="0" applyNumberFormat="1" applyFont="1"/>
    <xf numFmtId="170" fontId="25" fillId="0" borderId="0" xfId="0" applyNumberFormat="1" applyFont="1" applyAlignment="1">
      <alignment vertical="center"/>
    </xf>
    <xf numFmtId="170" fontId="25" fillId="19" borderId="0" xfId="2" applyNumberFormat="1" applyFont="1" applyFill="1"/>
    <xf numFmtId="170" fontId="25" fillId="19" borderId="0" xfId="2" applyNumberFormat="1" applyFont="1" applyFill="1" applyAlignment="1">
      <alignment vertical="center"/>
    </xf>
    <xf numFmtId="170" fontId="25" fillId="11" borderId="11" xfId="0" applyNumberFormat="1" applyFont="1" applyFill="1" applyBorder="1"/>
    <xf numFmtId="170" fontId="25" fillId="11" borderId="11" xfId="0" applyNumberFormat="1" applyFont="1" applyFill="1" applyBorder="1" applyAlignment="1">
      <alignment vertical="center"/>
    </xf>
    <xf numFmtId="170" fontId="25" fillId="18" borderId="0" xfId="0" applyNumberFormat="1" applyFont="1" applyFill="1"/>
    <xf numFmtId="170" fontId="25" fillId="18" borderId="0" xfId="0" applyNumberFormat="1" applyFont="1" applyFill="1" applyAlignment="1">
      <alignment vertical="center"/>
    </xf>
    <xf numFmtId="0" fontId="0" fillId="20" borderId="0" xfId="0" applyFill="1"/>
    <xf numFmtId="171" fontId="0" fillId="20" borderId="0" xfId="0" applyNumberFormat="1" applyFill="1"/>
    <xf numFmtId="171" fontId="0" fillId="0" borderId="0" xfId="0" applyNumberFormat="1"/>
    <xf numFmtId="171" fontId="0" fillId="20" borderId="0" xfId="0" applyNumberFormat="1" applyFill="1" applyAlignment="1">
      <alignment horizontal="right"/>
    </xf>
    <xf numFmtId="0" fontId="26" fillId="20" borderId="0" xfId="0" applyFont="1" applyFill="1"/>
    <xf numFmtId="171" fontId="26" fillId="20" borderId="0" xfId="0" applyNumberFormat="1" applyFont="1" applyFill="1"/>
    <xf numFmtId="170" fontId="0" fillId="20" borderId="0" xfId="0" applyNumberFormat="1" applyFill="1"/>
    <xf numFmtId="0" fontId="26" fillId="0" borderId="0" xfId="0" applyFont="1"/>
    <xf numFmtId="0" fontId="19" fillId="0" borderId="0" xfId="67" applyAlignment="1" applyProtection="1"/>
    <xf numFmtId="0" fontId="0" fillId="0" borderId="0" xfId="0" applyAlignment="1">
      <alignment vertical="center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0" fontId="26" fillId="0" borderId="34" xfId="69" applyFont="1" applyBorder="1" applyAlignment="1" applyProtection="1">
      <alignment horizontal="center" vertical="center" wrapText="1"/>
    </xf>
    <xf numFmtId="0" fontId="26" fillId="0" borderId="35" xfId="69" applyFont="1" applyBorder="1" applyAlignment="1" applyProtection="1">
      <alignment horizontal="center" vertical="center" wrapText="1"/>
    </xf>
    <xf numFmtId="0" fontId="26" fillId="0" borderId="36" xfId="69" applyFont="1" applyBorder="1" applyAlignment="1" applyProtection="1">
      <alignment horizontal="center" vertical="center" wrapText="1"/>
    </xf>
    <xf numFmtId="0" fontId="26" fillId="0" borderId="37" xfId="69" applyFont="1" applyBorder="1" applyAlignment="1" applyProtection="1">
      <alignment horizontal="center" vertical="center" wrapText="1"/>
    </xf>
    <xf numFmtId="0" fontId="26" fillId="0" borderId="38" xfId="69" applyFont="1" applyBorder="1" applyAlignment="1" applyProtection="1">
      <alignment horizontal="center" vertical="center" wrapText="1"/>
    </xf>
    <xf numFmtId="0" fontId="26" fillId="0" borderId="39" xfId="69" applyFont="1" applyBorder="1" applyAlignment="1" applyProtection="1">
      <alignment horizontal="center" vertical="center" wrapText="1"/>
    </xf>
    <xf numFmtId="0" fontId="26" fillId="0" borderId="40" xfId="69" applyFont="1" applyBorder="1" applyAlignment="1" applyProtection="1">
      <alignment horizontal="center" vertical="center" wrapText="1"/>
    </xf>
    <xf numFmtId="1" fontId="30" fillId="0" borderId="27" xfId="68" applyNumberFormat="1" applyFont="1" applyFill="1" applyBorder="1" applyAlignment="1" applyProtection="1">
      <alignment vertical="center"/>
    </xf>
    <xf numFmtId="0" fontId="29" fillId="0" borderId="0" xfId="68" applyFont="1" applyBorder="1" applyAlignment="1" applyProtection="1">
      <alignment vertical="center"/>
    </xf>
    <xf numFmtId="0" fontId="30" fillId="0" borderId="0" xfId="68" applyFont="1" applyBorder="1" applyAlignment="1" applyProtection="1">
      <alignment vertical="center"/>
    </xf>
    <xf numFmtId="1" fontId="30" fillId="0" borderId="24" xfId="68" applyNumberFormat="1" applyFont="1" applyFill="1" applyBorder="1" applyAlignment="1" applyProtection="1">
      <alignment horizontal="center" vertical="center"/>
    </xf>
    <xf numFmtId="1" fontId="30" fillId="0" borderId="41" xfId="68" applyNumberFormat="1" applyFont="1" applyFill="1" applyBorder="1" applyAlignment="1" applyProtection="1">
      <alignment horizontal="center" vertical="center"/>
    </xf>
    <xf numFmtId="1" fontId="30" fillId="0" borderId="42" xfId="68" applyNumberFormat="1" applyFont="1" applyFill="1" applyBorder="1" applyAlignment="1" applyProtection="1">
      <alignment horizontal="center" vertical="center"/>
    </xf>
    <xf numFmtId="1" fontId="30" fillId="0" borderId="43" xfId="68" applyNumberFormat="1" applyFont="1" applyFill="1" applyBorder="1" applyAlignment="1" applyProtection="1">
      <alignment horizontal="center" vertical="center"/>
    </xf>
    <xf numFmtId="1" fontId="30" fillId="0" borderId="29" xfId="68" applyNumberFormat="1" applyFont="1" applyFill="1" applyBorder="1" applyAlignment="1" applyProtection="1">
      <alignment horizontal="center" vertical="center"/>
    </xf>
    <xf numFmtId="1" fontId="30" fillId="0" borderId="44" xfId="68" applyNumberFormat="1" applyFont="1" applyFill="1" applyBorder="1" applyAlignment="1" applyProtection="1">
      <alignment horizontal="center" vertical="center"/>
    </xf>
    <xf numFmtId="1" fontId="30" fillId="0" borderId="45" xfId="68" applyNumberFormat="1" applyFont="1" applyFill="1" applyBorder="1" applyAlignment="1" applyProtection="1">
      <alignment horizontal="center" vertical="center"/>
    </xf>
    <xf numFmtId="1" fontId="30" fillId="0" borderId="16" xfId="68" applyNumberFormat="1" applyFont="1" applyFill="1" applyBorder="1" applyAlignment="1" applyProtection="1">
      <alignment horizontal="center" vertical="center"/>
    </xf>
    <xf numFmtId="171" fontId="30" fillId="0" borderId="29" xfId="68" applyNumberFormat="1" applyFont="1" applyFill="1" applyBorder="1" applyAlignment="1" applyProtection="1">
      <alignment horizontal="center" vertical="center"/>
    </xf>
    <xf numFmtId="0" fontId="30" fillId="0" borderId="27" xfId="68" applyFont="1" applyBorder="1" applyAlignment="1" applyProtection="1">
      <alignment vertical="center"/>
    </xf>
    <xf numFmtId="172" fontId="29" fillId="21" borderId="38" xfId="68" applyNumberFormat="1" applyFont="1" applyFill="1" applyBorder="1" applyAlignment="1" applyProtection="1">
      <alignment horizontal="center"/>
    </xf>
    <xf numFmtId="172" fontId="30" fillId="0" borderId="46" xfId="68" applyNumberFormat="1" applyFont="1" applyFill="1" applyBorder="1" applyAlignment="1" applyProtection="1">
      <alignment horizontal="center"/>
    </xf>
    <xf numFmtId="172" fontId="30" fillId="0" borderId="47" xfId="68" applyNumberFormat="1" applyFont="1" applyFill="1" applyBorder="1" applyAlignment="1" applyProtection="1">
      <alignment horizontal="center"/>
    </xf>
    <xf numFmtId="171" fontId="31" fillId="22" borderId="38" xfId="68" applyNumberFormat="1" applyFont="1" applyFill="1" applyBorder="1" applyAlignment="1" applyProtection="1">
      <alignment horizontal="center"/>
      <protection locked="0"/>
    </xf>
    <xf numFmtId="172" fontId="30" fillId="0" borderId="10" xfId="68" applyNumberFormat="1" applyFont="1" applyFill="1" applyBorder="1" applyAlignment="1" applyProtection="1">
      <alignment horizontal="center"/>
    </xf>
    <xf numFmtId="172" fontId="29" fillId="0" borderId="29" xfId="68" applyNumberFormat="1" applyFont="1" applyFill="1" applyBorder="1" applyAlignment="1" applyProtection="1">
      <alignment horizontal="center"/>
    </xf>
    <xf numFmtId="172" fontId="30" fillId="0" borderId="44" xfId="68" applyNumberFormat="1" applyFont="1" applyFill="1" applyBorder="1" applyAlignment="1" applyProtection="1">
      <alignment horizontal="center"/>
    </xf>
    <xf numFmtId="172" fontId="30" fillId="0" borderId="45" xfId="68" applyNumberFormat="1" applyFont="1" applyFill="1" applyBorder="1" applyAlignment="1" applyProtection="1">
      <alignment horizontal="center"/>
    </xf>
    <xf numFmtId="172" fontId="30" fillId="0" borderId="16" xfId="68" applyNumberFormat="1" applyFont="1" applyFill="1" applyBorder="1" applyAlignment="1" applyProtection="1">
      <alignment horizontal="center"/>
    </xf>
    <xf numFmtId="171" fontId="30" fillId="0" borderId="29" xfId="68" applyNumberFormat="1" applyFont="1" applyFill="1" applyBorder="1" applyAlignment="1" applyProtection="1">
      <alignment horizontal="center"/>
      <protection locked="0"/>
    </xf>
    <xf numFmtId="1" fontId="29" fillId="0" borderId="30" xfId="68" applyNumberFormat="1" applyFont="1" applyBorder="1" applyAlignment="1" applyProtection="1">
      <alignment vertical="center"/>
    </xf>
    <xf numFmtId="1" fontId="29" fillId="0" borderId="31" xfId="68" applyNumberFormat="1" applyFont="1" applyBorder="1" applyAlignment="1" applyProtection="1">
      <alignment vertical="center"/>
    </xf>
    <xf numFmtId="172" fontId="31" fillId="0" borderId="33" xfId="68" applyNumberFormat="1" applyFont="1" applyFill="1" applyBorder="1" applyAlignment="1" applyProtection="1">
      <alignment horizontal="center"/>
    </xf>
    <xf numFmtId="172" fontId="30" fillId="0" borderId="48" xfId="68" applyNumberFormat="1" applyFont="1" applyFill="1" applyBorder="1" applyAlignment="1" applyProtection="1">
      <alignment horizontal="center"/>
    </xf>
    <xf numFmtId="172" fontId="30" fillId="0" borderId="49" xfId="68" applyNumberFormat="1" applyFont="1" applyFill="1" applyBorder="1" applyAlignment="1" applyProtection="1">
      <alignment horizontal="center"/>
    </xf>
    <xf numFmtId="172" fontId="30" fillId="0" borderId="50" xfId="68" applyNumberFormat="1" applyFont="1" applyFill="1" applyBorder="1" applyAlignment="1" applyProtection="1">
      <alignment horizontal="center"/>
    </xf>
    <xf numFmtId="172" fontId="30" fillId="0" borderId="33" xfId="68" applyNumberFormat="1" applyFont="1" applyFill="1" applyBorder="1" applyAlignment="1" applyProtection="1">
      <alignment horizontal="center"/>
    </xf>
    <xf numFmtId="171" fontId="31" fillId="0" borderId="33" xfId="68" applyNumberFormat="1" applyFont="1" applyFill="1" applyBorder="1" applyAlignment="1" applyProtection="1">
      <alignment horizontal="center"/>
      <protection locked="0"/>
    </xf>
    <xf numFmtId="0" fontId="30" fillId="0" borderId="21" xfId="68" applyFont="1" applyBorder="1" applyAlignment="1" applyProtection="1">
      <alignment vertical="center"/>
    </xf>
    <xf numFmtId="0" fontId="29" fillId="0" borderId="22" xfId="68" applyFont="1" applyBorder="1" applyAlignment="1" applyProtection="1">
      <alignment vertical="center"/>
    </xf>
    <xf numFmtId="0" fontId="30" fillId="0" borderId="0" xfId="70" applyFont="1" applyAlignment="1" applyProtection="1">
      <alignment vertical="center"/>
    </xf>
    <xf numFmtId="172" fontId="29" fillId="0" borderId="24" xfId="68" applyNumberFormat="1" applyFont="1" applyFill="1" applyBorder="1" applyAlignment="1" applyProtection="1">
      <alignment horizontal="center"/>
    </xf>
    <xf numFmtId="172" fontId="30" fillId="0" borderId="41" xfId="68" applyNumberFormat="1" applyFont="1" applyFill="1" applyBorder="1" applyAlignment="1" applyProtection="1">
      <alignment horizontal="center"/>
    </xf>
    <xf numFmtId="172" fontId="30" fillId="0" borderId="42" xfId="68" applyNumberFormat="1" applyFont="1" applyFill="1" applyBorder="1" applyAlignment="1" applyProtection="1">
      <alignment horizontal="center"/>
    </xf>
    <xf numFmtId="172" fontId="30" fillId="0" borderId="43" xfId="68" applyNumberFormat="1" applyFont="1" applyFill="1" applyBorder="1" applyAlignment="1" applyProtection="1">
      <alignment horizontal="center"/>
    </xf>
    <xf numFmtId="171" fontId="30" fillId="0" borderId="24" xfId="68" applyNumberFormat="1" applyFont="1" applyFill="1" applyBorder="1" applyAlignment="1" applyProtection="1">
      <alignment horizontal="center"/>
      <protection locked="0"/>
    </xf>
    <xf numFmtId="171" fontId="31" fillId="0" borderId="33" xfId="68" applyNumberFormat="1" applyFont="1" applyFill="1" applyBorder="1" applyAlignment="1" applyProtection="1">
      <alignment horizontal="center"/>
    </xf>
    <xf numFmtId="0" fontId="32" fillId="0" borderId="0" xfId="0" applyFont="1" applyAlignment="1">
      <alignment vertical="center"/>
    </xf>
    <xf numFmtId="0" fontId="19" fillId="0" borderId="0" xfId="67" applyAlignment="1" applyProtection="1">
      <alignment vertical="center"/>
    </xf>
    <xf numFmtId="0" fontId="25" fillId="0" borderId="0" xfId="0" applyFont="1" applyAlignment="1">
      <alignment vertical="center"/>
    </xf>
    <xf numFmtId="0" fontId="25" fillId="0" borderId="0" xfId="69" applyFont="1" applyAlignment="1" applyProtection="1">
      <alignment vertical="center"/>
    </xf>
    <xf numFmtId="0" fontId="32" fillId="0" borderId="0" xfId="69" applyFont="1" applyAlignment="1" applyProtection="1">
      <alignment vertical="center"/>
    </xf>
    <xf numFmtId="0" fontId="25" fillId="0" borderId="0" xfId="69" applyFont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32" fillId="0" borderId="52" xfId="69" applyFont="1" applyBorder="1" applyAlignment="1" applyProtection="1">
      <alignment horizontal="centerContinuous" vertical="center"/>
    </xf>
    <xf numFmtId="0" fontId="32" fillId="0" borderId="53" xfId="69" applyFont="1" applyBorder="1" applyAlignment="1" applyProtection="1">
      <alignment horizontal="centerContinuous" vertical="center"/>
    </xf>
    <xf numFmtId="0" fontId="25" fillId="0" borderId="54" xfId="69" applyFont="1" applyBorder="1" applyAlignment="1" applyProtection="1">
      <alignment horizontal="centerContinuous" vertical="center"/>
    </xf>
    <xf numFmtId="0" fontId="25" fillId="0" borderId="53" xfId="69" applyFont="1" applyBorder="1" applyAlignment="1" applyProtection="1">
      <alignment horizontal="centerContinuous" vertical="center"/>
    </xf>
    <xf numFmtId="0" fontId="32" fillId="0" borderId="55" xfId="69" applyFont="1" applyBorder="1" applyAlignment="1" applyProtection="1">
      <alignment horizontal="centerContinuous" vertical="center"/>
    </xf>
    <xf numFmtId="0" fontId="32" fillId="0" borderId="56" xfId="69" applyFont="1" applyBorder="1" applyAlignment="1" applyProtection="1">
      <alignment horizontal="centerContinuous" vertical="center"/>
    </xf>
    <xf numFmtId="0" fontId="32" fillId="0" borderId="57" xfId="69" applyFont="1" applyBorder="1" applyAlignment="1" applyProtection="1">
      <alignment horizontal="centerContinuous" vertical="center"/>
    </xf>
    <xf numFmtId="0" fontId="32" fillId="0" borderId="58" xfId="69" applyFont="1" applyBorder="1" applyAlignment="1" applyProtection="1">
      <alignment horizontal="center" vertical="center" wrapText="1"/>
    </xf>
    <xf numFmtId="0" fontId="32" fillId="0" borderId="60" xfId="69" applyFont="1" applyBorder="1" applyAlignment="1" applyProtection="1">
      <alignment horizontal="center" vertical="center" wrapText="1"/>
    </xf>
    <xf numFmtId="0" fontId="32" fillId="0" borderId="59" xfId="69" applyFont="1" applyBorder="1" applyAlignment="1" applyProtection="1">
      <alignment horizontal="center" vertical="center" wrapText="1"/>
    </xf>
    <xf numFmtId="0" fontId="32" fillId="0" borderId="20" xfId="69" applyFont="1" applyBorder="1" applyAlignment="1" applyProtection="1">
      <alignment horizontal="center" vertical="center" wrapText="1"/>
    </xf>
    <xf numFmtId="0" fontId="32" fillId="0" borderId="46" xfId="69" applyFont="1" applyBorder="1" applyAlignment="1" applyProtection="1">
      <alignment horizontal="center" vertical="center" wrapText="1"/>
    </xf>
    <xf numFmtId="0" fontId="32" fillId="0" borderId="47" xfId="69" applyFont="1" applyBorder="1" applyAlignment="1" applyProtection="1">
      <alignment horizontal="center" vertical="center" wrapText="1"/>
    </xf>
    <xf numFmtId="0" fontId="32" fillId="0" borderId="61" xfId="69" applyFont="1" applyBorder="1" applyAlignment="1" applyProtection="1">
      <alignment horizontal="center" vertical="center" wrapText="1"/>
    </xf>
    <xf numFmtId="0" fontId="25" fillId="0" borderId="27" xfId="69" applyFont="1" applyBorder="1" applyAlignment="1" applyProtection="1">
      <alignment vertical="center"/>
    </xf>
    <xf numFmtId="0" fontId="25" fillId="0" borderId="62" xfId="69" applyNumberFormat="1" applyFont="1" applyBorder="1" applyAlignment="1" applyProtection="1">
      <alignment horizontal="center" vertical="center" wrapText="1"/>
    </xf>
    <xf numFmtId="171" fontId="2" fillId="0" borderId="58" xfId="69" applyNumberFormat="1" applyFont="1" applyFill="1" applyBorder="1" applyAlignment="1" applyProtection="1">
      <alignment horizontal="center" vertical="center"/>
    </xf>
    <xf numFmtId="171" fontId="2" fillId="0" borderId="20" xfId="69" applyNumberFormat="1" applyFont="1" applyFill="1" applyBorder="1" applyAlignment="1" applyProtection="1">
      <alignment horizontal="center" vertical="center"/>
    </xf>
    <xf numFmtId="171" fontId="2" fillId="0" borderId="59" xfId="69" applyNumberFormat="1" applyFont="1" applyFill="1" applyBorder="1" applyAlignment="1" applyProtection="1">
      <alignment horizontal="center" vertical="center"/>
    </xf>
    <xf numFmtId="171" fontId="2" fillId="0" borderId="60" xfId="69" applyNumberFormat="1" applyFont="1" applyFill="1" applyBorder="1" applyAlignment="1" applyProtection="1">
      <alignment horizontal="center" vertical="center"/>
    </xf>
    <xf numFmtId="43" fontId="2" fillId="0" borderId="0" xfId="2" applyFont="1" applyAlignment="1" applyProtection="1">
      <alignment vertical="center"/>
    </xf>
    <xf numFmtId="171" fontId="2" fillId="21" borderId="46" xfId="69" applyNumberFormat="1" applyFont="1" applyFill="1" applyBorder="1" applyAlignment="1" applyProtection="1">
      <alignment horizontal="center" vertical="center"/>
    </xf>
    <xf numFmtId="171" fontId="2" fillId="21" borderId="47" xfId="69" applyNumberFormat="1" applyFont="1" applyFill="1" applyBorder="1" applyAlignment="1" applyProtection="1">
      <alignment horizontal="center" vertical="center"/>
    </xf>
    <xf numFmtId="171" fontId="2" fillId="21" borderId="61" xfId="69" applyNumberFormat="1" applyFont="1" applyFill="1" applyBorder="1" applyAlignment="1" applyProtection="1">
      <alignment horizontal="center" vertical="center"/>
    </xf>
    <xf numFmtId="43" fontId="0" fillId="0" borderId="0" xfId="2" applyFont="1" applyAlignment="1" applyProtection="1">
      <alignment vertical="center"/>
    </xf>
    <xf numFmtId="164" fontId="2" fillId="21" borderId="61" xfId="1" applyNumberFormat="1" applyFont="1" applyFill="1" applyBorder="1" applyAlignment="1" applyProtection="1">
      <alignment horizontal="center" vertical="center"/>
    </xf>
    <xf numFmtId="171" fontId="2" fillId="0" borderId="46" xfId="69" applyNumberFormat="1" applyFont="1" applyFill="1" applyBorder="1" applyAlignment="1" applyProtection="1">
      <alignment horizontal="center" vertical="center"/>
    </xf>
    <xf numFmtId="171" fontId="2" fillId="0" borderId="12" xfId="69" applyNumberFormat="1" applyFont="1" applyFill="1" applyBorder="1" applyAlignment="1" applyProtection="1">
      <alignment horizontal="center" vertical="center"/>
    </xf>
    <xf numFmtId="171" fontId="2" fillId="0" borderId="61" xfId="69" applyNumberFormat="1" applyFont="1" applyFill="1" applyBorder="1" applyAlignment="1" applyProtection="1">
      <alignment horizontal="center" vertical="center"/>
    </xf>
    <xf numFmtId="171" fontId="2" fillId="0" borderId="47" xfId="69" applyNumberFormat="1" applyFont="1" applyFill="1" applyBorder="1" applyAlignment="1" applyProtection="1">
      <alignment horizontal="center" vertical="center"/>
    </xf>
    <xf numFmtId="0" fontId="25" fillId="0" borderId="27" xfId="69" applyFont="1" applyBorder="1" applyAlignment="1" applyProtection="1">
      <alignment vertical="center" wrapText="1"/>
    </xf>
    <xf numFmtId="171" fontId="26" fillId="21" borderId="46" xfId="69" applyNumberFormat="1" applyFont="1" applyFill="1" applyBorder="1" applyAlignment="1" applyProtection="1">
      <alignment horizontal="center" vertical="center"/>
    </xf>
    <xf numFmtId="171" fontId="26" fillId="21" borderId="47" xfId="69" applyNumberFormat="1" applyFont="1" applyFill="1" applyBorder="1" applyAlignment="1" applyProtection="1">
      <alignment horizontal="center" vertical="center"/>
    </xf>
    <xf numFmtId="171" fontId="26" fillId="21" borderId="61" xfId="69" applyNumberFormat="1" applyFont="1" applyFill="1" applyBorder="1" applyAlignment="1" applyProtection="1">
      <alignment horizontal="center" vertical="center"/>
    </xf>
    <xf numFmtId="171" fontId="26" fillId="21" borderId="12" xfId="69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vertical="center" wrapText="1"/>
    </xf>
    <xf numFmtId="0" fontId="25" fillId="0" borderId="63" xfId="69" applyNumberFormat="1" applyFont="1" applyBorder="1" applyAlignment="1" applyProtection="1">
      <alignment horizontal="center" vertical="center" wrapText="1"/>
    </xf>
    <xf numFmtId="171" fontId="26" fillId="21" borderId="36" xfId="69" applyNumberFormat="1" applyFont="1" applyFill="1" applyBorder="1" applyAlignment="1" applyProtection="1">
      <alignment horizontal="center" vertical="center"/>
    </xf>
    <xf numFmtId="171" fontId="26" fillId="21" borderId="35" xfId="69" applyNumberFormat="1" applyFont="1" applyFill="1" applyBorder="1" applyAlignment="1" applyProtection="1">
      <alignment horizontal="center" vertical="center"/>
    </xf>
    <xf numFmtId="171" fontId="26" fillId="21" borderId="39" xfId="69" applyNumberFormat="1" applyFont="1" applyFill="1" applyBorder="1" applyAlignment="1" applyProtection="1">
      <alignment horizontal="center" vertical="center"/>
    </xf>
    <xf numFmtId="171" fontId="26" fillId="21" borderId="34" xfId="69" applyNumberFormat="1" applyFont="1" applyFill="1" applyBorder="1" applyAlignment="1" applyProtection="1">
      <alignment horizontal="center" vertical="center"/>
    </xf>
    <xf numFmtId="171" fontId="2" fillId="21" borderId="36" xfId="69" applyNumberFormat="1" applyFont="1" applyFill="1" applyBorder="1" applyAlignment="1" applyProtection="1">
      <alignment horizontal="center" vertical="center"/>
    </xf>
    <xf numFmtId="171" fontId="2" fillId="21" borderId="35" xfId="69" applyNumberFormat="1" applyFont="1" applyFill="1" applyBorder="1" applyAlignment="1" applyProtection="1">
      <alignment horizontal="center" vertical="center"/>
    </xf>
    <xf numFmtId="171" fontId="2" fillId="21" borderId="39" xfId="69" applyNumberFormat="1" applyFont="1" applyFill="1" applyBorder="1" applyAlignment="1" applyProtection="1">
      <alignment horizontal="center" vertical="center"/>
    </xf>
    <xf numFmtId="164" fontId="2" fillId="21" borderId="39" xfId="1" applyNumberFormat="1" applyFont="1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/>
    </xf>
    <xf numFmtId="0" fontId="25" fillId="0" borderId="62" xfId="69" applyFont="1" applyFill="1" applyBorder="1" applyAlignment="1" applyProtection="1">
      <alignment horizontal="center" vertical="center"/>
    </xf>
    <xf numFmtId="0" fontId="25" fillId="0" borderId="64" xfId="69" applyFont="1" applyFill="1" applyBorder="1" applyAlignment="1" applyProtection="1">
      <alignment horizontal="center" vertical="center"/>
    </xf>
    <xf numFmtId="0" fontId="25" fillId="0" borderId="19" xfId="69" applyFont="1" applyFill="1" applyBorder="1" applyAlignment="1" applyProtection="1">
      <alignment horizontal="center" vertical="center"/>
    </xf>
    <xf numFmtId="0" fontId="25" fillId="0" borderId="65" xfId="69" applyFont="1" applyFill="1" applyBorder="1" applyAlignment="1" applyProtection="1">
      <alignment horizontal="center" vertical="center"/>
    </xf>
    <xf numFmtId="0" fontId="32" fillId="0" borderId="44" xfId="69" applyFont="1" applyBorder="1" applyAlignment="1" applyProtection="1">
      <alignment horizontal="left" vertical="center" wrapText="1"/>
    </xf>
    <xf numFmtId="171" fontId="2" fillId="22" borderId="46" xfId="69" applyNumberFormat="1" applyFont="1" applyFill="1" applyBorder="1" applyAlignment="1" applyProtection="1">
      <alignment horizontal="center" vertical="center"/>
      <protection locked="0"/>
    </xf>
    <xf numFmtId="43" fontId="0" fillId="0" borderId="0" xfId="2" applyFont="1" applyProtection="1"/>
    <xf numFmtId="0" fontId="25" fillId="0" borderId="44" xfId="69" applyFont="1" applyBorder="1" applyAlignment="1" applyProtection="1">
      <alignment horizontal="left" vertical="center" wrapText="1"/>
    </xf>
    <xf numFmtId="171" fontId="33" fillId="22" borderId="46" xfId="69" applyNumberFormat="1" applyFont="1" applyFill="1" applyBorder="1" applyAlignment="1" applyProtection="1">
      <alignment horizontal="center" vertical="center"/>
      <protection locked="0"/>
    </xf>
    <xf numFmtId="171" fontId="33" fillId="22" borderId="12" xfId="69" applyNumberFormat="1" applyFont="1" applyFill="1" applyBorder="1" applyAlignment="1" applyProtection="1">
      <alignment horizontal="center" vertical="center"/>
      <protection locked="0"/>
    </xf>
    <xf numFmtId="171" fontId="33" fillId="22" borderId="61" xfId="69" applyNumberFormat="1" applyFont="1" applyFill="1" applyBorder="1" applyAlignment="1" applyProtection="1">
      <alignment horizontal="center" vertical="center"/>
      <protection locked="0"/>
    </xf>
    <xf numFmtId="171" fontId="33" fillId="22" borderId="47" xfId="69" applyNumberFormat="1" applyFont="1" applyFill="1" applyBorder="1" applyAlignment="1" applyProtection="1">
      <alignment horizontal="center" vertical="center"/>
      <protection locked="0"/>
    </xf>
    <xf numFmtId="0" fontId="25" fillId="0" borderId="62" xfId="69" applyNumberFormat="1" applyFont="1" applyBorder="1" applyAlignment="1" applyProtection="1">
      <alignment horizontal="center" vertical="center"/>
    </xf>
    <xf numFmtId="0" fontId="2" fillId="0" borderId="66" xfId="69" applyFont="1" applyBorder="1" applyAlignment="1" applyProtection="1">
      <alignment horizontal="center" vertical="center"/>
    </xf>
    <xf numFmtId="0" fontId="2" fillId="0" borderId="14" xfId="69" applyFont="1" applyBorder="1" applyAlignment="1" applyProtection="1">
      <alignment horizontal="center" vertical="center"/>
    </xf>
    <xf numFmtId="0" fontId="2" fillId="0" borderId="67" xfId="69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 wrapText="1"/>
    </xf>
    <xf numFmtId="0" fontId="25" fillId="0" borderId="27" xfId="69" applyFont="1" applyBorder="1" applyAlignment="1" applyProtection="1">
      <alignment horizontal="left" vertical="center" wrapText="1"/>
    </xf>
    <xf numFmtId="0" fontId="2" fillId="0" borderId="27" xfId="69" applyFont="1" applyBorder="1" applyAlignment="1" applyProtection="1">
      <alignment horizontal="center" vertical="center"/>
    </xf>
    <xf numFmtId="0" fontId="2" fillId="0" borderId="0" xfId="69" applyFont="1" applyBorder="1" applyAlignment="1" applyProtection="1">
      <alignment horizontal="center" vertical="center"/>
    </xf>
    <xf numFmtId="0" fontId="2" fillId="0" borderId="28" xfId="69" applyFont="1" applyBorder="1" applyAlignment="1" applyProtection="1">
      <alignment horizontal="center" vertical="center"/>
    </xf>
    <xf numFmtId="0" fontId="2" fillId="0" borderId="64" xfId="69" applyFont="1" applyBorder="1" applyProtection="1"/>
    <xf numFmtId="0" fontId="2" fillId="0" borderId="19" xfId="69" applyFont="1" applyBorder="1" applyProtection="1"/>
    <xf numFmtId="0" fontId="2" fillId="0" borderId="65" xfId="69" applyFont="1" applyBorder="1" applyProtection="1"/>
    <xf numFmtId="0" fontId="32" fillId="0" borderId="30" xfId="69" applyFont="1" applyBorder="1" applyAlignment="1" applyProtection="1">
      <alignment horizontal="left" vertical="center" wrapText="1"/>
    </xf>
    <xf numFmtId="43" fontId="34" fillId="0" borderId="0" xfId="2" applyFont="1" applyProtection="1"/>
    <xf numFmtId="43" fontId="2" fillId="0" borderId="0" xfId="2" applyFont="1" applyAlignment="1" applyProtection="1">
      <alignment horizontal="center" vertical="center"/>
    </xf>
    <xf numFmtId="43" fontId="26" fillId="0" borderId="52" xfId="2" applyFont="1" applyBorder="1" applyAlignment="1" applyProtection="1">
      <alignment horizontal="centerContinuous" vertical="center"/>
    </xf>
    <xf numFmtId="43" fontId="26" fillId="0" borderId="53" xfId="2" applyFont="1" applyBorder="1" applyAlignment="1" applyProtection="1">
      <alignment horizontal="centerContinuous" vertical="center"/>
    </xf>
    <xf numFmtId="43" fontId="2" fillId="0" borderId="54" xfId="2" applyFont="1" applyBorder="1" applyAlignment="1" applyProtection="1">
      <alignment horizontal="centerContinuous" vertical="center"/>
    </xf>
    <xf numFmtId="43" fontId="2" fillId="0" borderId="53" xfId="2" applyFont="1" applyBorder="1" applyAlignment="1" applyProtection="1">
      <alignment horizontal="centerContinuous" vertical="center"/>
    </xf>
    <xf numFmtId="43" fontId="26" fillId="0" borderId="58" xfId="2" applyFont="1" applyBorder="1" applyAlignment="1" applyProtection="1">
      <alignment horizontal="center" vertical="center" wrapText="1"/>
    </xf>
    <xf numFmtId="43" fontId="26" fillId="0" borderId="60" xfId="2" applyFont="1" applyBorder="1" applyAlignment="1" applyProtection="1">
      <alignment horizontal="center" vertical="center" wrapText="1"/>
    </xf>
    <xf numFmtId="43" fontId="26" fillId="0" borderId="59" xfId="2" applyFont="1" applyBorder="1" applyAlignment="1" applyProtection="1">
      <alignment horizontal="center" vertical="center" wrapText="1"/>
    </xf>
    <xf numFmtId="43" fontId="26" fillId="0" borderId="20" xfId="2" applyFont="1" applyBorder="1" applyAlignment="1" applyProtection="1">
      <alignment horizontal="center" vertical="center" wrapText="1"/>
    </xf>
    <xf numFmtId="0" fontId="32" fillId="0" borderId="44" xfId="69" applyFont="1" applyBorder="1" applyAlignment="1" applyProtection="1">
      <alignment vertical="center"/>
    </xf>
    <xf numFmtId="0" fontId="32" fillId="0" borderId="16" xfId="69" applyFont="1" applyBorder="1" applyAlignment="1" applyProtection="1">
      <alignment horizontal="center" vertical="center"/>
    </xf>
    <xf numFmtId="43" fontId="26" fillId="0" borderId="66" xfId="2" applyFont="1" applyBorder="1" applyAlignment="1" applyProtection="1">
      <alignment horizontal="center" vertical="center"/>
    </xf>
    <xf numFmtId="43" fontId="26" fillId="0" borderId="14" xfId="2" applyFont="1" applyBorder="1" applyAlignment="1" applyProtection="1">
      <alignment horizontal="center" vertical="center"/>
    </xf>
    <xf numFmtId="43" fontId="26" fillId="0" borderId="67" xfId="2" applyFont="1" applyBorder="1" applyAlignment="1" applyProtection="1">
      <alignment horizontal="center" vertical="center"/>
    </xf>
    <xf numFmtId="43" fontId="2" fillId="0" borderId="14" xfId="2" applyFont="1" applyBorder="1" applyAlignment="1" applyProtection="1">
      <alignment horizontal="center" vertical="center"/>
    </xf>
    <xf numFmtId="43" fontId="2" fillId="0" borderId="67" xfId="2" applyFont="1" applyBorder="1" applyAlignment="1" applyProtection="1">
      <alignment horizontal="center" vertical="center"/>
    </xf>
    <xf numFmtId="43" fontId="0" fillId="0" borderId="0" xfId="2" applyFont="1" applyBorder="1" applyProtection="1"/>
    <xf numFmtId="0" fontId="25" fillId="0" borderId="16" xfId="69" applyNumberFormat="1" applyFont="1" applyBorder="1" applyAlignment="1" applyProtection="1">
      <alignment horizontal="center" vertical="center" wrapText="1"/>
    </xf>
    <xf numFmtId="43" fontId="26" fillId="0" borderId="27" xfId="2" applyFont="1" applyBorder="1" applyAlignment="1" applyProtection="1">
      <alignment horizontal="center" vertical="center"/>
    </xf>
    <xf numFmtId="43" fontId="26" fillId="0" borderId="0" xfId="2" applyFont="1" applyBorder="1" applyAlignment="1" applyProtection="1">
      <alignment horizontal="center" vertical="center"/>
    </xf>
    <xf numFmtId="43" fontId="26" fillId="0" borderId="28" xfId="2" applyFont="1" applyBorder="1" applyAlignment="1" applyProtection="1">
      <alignment horizontal="center" vertical="center"/>
    </xf>
    <xf numFmtId="43" fontId="2" fillId="0" borderId="0" xfId="2" applyFont="1" applyBorder="1" applyAlignment="1" applyProtection="1">
      <alignment horizontal="center" vertical="center"/>
    </xf>
    <xf numFmtId="43" fontId="2" fillId="0" borderId="28" xfId="2" applyFont="1" applyBorder="1" applyAlignment="1" applyProtection="1">
      <alignment horizontal="center" vertical="center"/>
    </xf>
    <xf numFmtId="1" fontId="33" fillId="22" borderId="46" xfId="69" applyNumberFormat="1" applyFont="1" applyFill="1" applyBorder="1" applyAlignment="1" applyProtection="1">
      <alignment horizontal="center" vertical="center"/>
      <protection locked="0"/>
    </xf>
    <xf numFmtId="1" fontId="33" fillId="22" borderId="12" xfId="69" applyNumberFormat="1" applyFont="1" applyFill="1" applyBorder="1" applyAlignment="1" applyProtection="1">
      <alignment horizontal="center" vertical="center"/>
      <protection locked="0"/>
    </xf>
    <xf numFmtId="1" fontId="33" fillId="22" borderId="61" xfId="69" applyNumberFormat="1" applyFont="1" applyFill="1" applyBorder="1" applyAlignment="1" applyProtection="1">
      <alignment horizontal="center" vertical="center"/>
      <protection locked="0"/>
    </xf>
    <xf numFmtId="1" fontId="33" fillId="22" borderId="47" xfId="69" applyNumberFormat="1" applyFont="1" applyFill="1" applyBorder="1" applyAlignment="1" applyProtection="1">
      <alignment horizontal="center" vertical="center"/>
      <protection locked="0"/>
    </xf>
    <xf numFmtId="1" fontId="26" fillId="0" borderId="27" xfId="69" applyNumberFormat="1" applyFont="1" applyBorder="1" applyAlignment="1" applyProtection="1">
      <alignment horizontal="center" vertical="center"/>
    </xf>
    <xf numFmtId="1" fontId="26" fillId="0" borderId="0" xfId="69" applyNumberFormat="1" applyFont="1" applyBorder="1" applyAlignment="1" applyProtection="1">
      <alignment horizontal="center" vertical="center"/>
    </xf>
    <xf numFmtId="1" fontId="26" fillId="0" borderId="28" xfId="69" applyNumberFormat="1" applyFont="1" applyBorder="1" applyAlignment="1" applyProtection="1">
      <alignment horizontal="center" vertical="center"/>
    </xf>
    <xf numFmtId="1" fontId="2" fillId="0" borderId="0" xfId="69" applyNumberFormat="1" applyFont="1" applyBorder="1" applyAlignment="1" applyProtection="1">
      <alignment horizontal="center" vertical="center"/>
    </xf>
    <xf numFmtId="1" fontId="2" fillId="0" borderId="28" xfId="69" applyNumberFormat="1" applyFont="1" applyBorder="1" applyAlignment="1" applyProtection="1">
      <alignment horizontal="center" vertical="center"/>
    </xf>
    <xf numFmtId="0" fontId="25" fillId="0" borderId="44" xfId="69" applyFont="1" applyBorder="1" applyAlignment="1" applyProtection="1">
      <alignment horizontal="left" vertical="center"/>
    </xf>
    <xf numFmtId="1" fontId="33" fillId="22" borderId="68" xfId="69" applyNumberFormat="1" applyFont="1" applyFill="1" applyBorder="1" applyAlignment="1" applyProtection="1">
      <alignment horizontal="center" vertical="center"/>
      <protection locked="0"/>
    </xf>
    <xf numFmtId="1" fontId="33" fillId="22" borderId="15" xfId="69" applyNumberFormat="1" applyFont="1" applyFill="1" applyBorder="1" applyAlignment="1" applyProtection="1">
      <alignment horizontal="center" vertical="center"/>
      <protection locked="0"/>
    </xf>
    <xf numFmtId="1" fontId="33" fillId="22" borderId="69" xfId="69" applyNumberFormat="1" applyFont="1" applyFill="1" applyBorder="1" applyAlignment="1" applyProtection="1">
      <alignment horizontal="center" vertical="center"/>
      <protection locked="0"/>
    </xf>
    <xf numFmtId="1" fontId="33" fillId="22" borderId="70" xfId="69" applyNumberFormat="1" applyFont="1" applyFill="1" applyBorder="1" applyAlignment="1" applyProtection="1">
      <alignment horizontal="center" vertical="center"/>
      <protection locked="0"/>
    </xf>
    <xf numFmtId="1" fontId="26" fillId="21" borderId="46" xfId="69" applyNumberFormat="1" applyFont="1" applyFill="1" applyBorder="1" applyAlignment="1" applyProtection="1">
      <alignment horizontal="center" vertical="center"/>
    </xf>
    <xf numFmtId="1" fontId="26" fillId="21" borderId="47" xfId="69" applyNumberFormat="1" applyFont="1" applyFill="1" applyBorder="1" applyAlignment="1" applyProtection="1">
      <alignment horizontal="center" vertical="center"/>
    </xf>
    <xf numFmtId="1" fontId="26" fillId="21" borderId="61" xfId="69" applyNumberFormat="1" applyFont="1" applyFill="1" applyBorder="1" applyAlignment="1" applyProtection="1">
      <alignment horizontal="center" vertical="center"/>
    </xf>
    <xf numFmtId="1" fontId="26" fillId="21" borderId="12" xfId="69" applyNumberFormat="1" applyFont="1" applyFill="1" applyBorder="1" applyAlignment="1" applyProtection="1">
      <alignment horizontal="center" vertical="center"/>
    </xf>
    <xf numFmtId="43" fontId="34" fillId="0" borderId="0" xfId="2" applyFont="1" applyBorder="1" applyProtection="1"/>
    <xf numFmtId="0" fontId="32" fillId="0" borderId="48" xfId="69" applyFont="1" applyBorder="1" applyAlignment="1" applyProtection="1">
      <alignment horizontal="left" vertical="center" wrapText="1"/>
    </xf>
    <xf numFmtId="0" fontId="25" fillId="0" borderId="50" xfId="69" applyNumberFormat="1" applyFont="1" applyBorder="1" applyAlignment="1" applyProtection="1">
      <alignment horizontal="center" vertical="center" wrapText="1"/>
    </xf>
    <xf numFmtId="1" fontId="26" fillId="21" borderId="36" xfId="69" applyNumberFormat="1" applyFont="1" applyFill="1" applyBorder="1" applyAlignment="1" applyProtection="1">
      <alignment horizontal="center" vertical="center"/>
    </xf>
    <xf numFmtId="1" fontId="26" fillId="21" borderId="35" xfId="69" applyNumberFormat="1" applyFont="1" applyFill="1" applyBorder="1" applyAlignment="1" applyProtection="1">
      <alignment horizontal="center" vertical="center"/>
    </xf>
    <xf numFmtId="1" fontId="26" fillId="21" borderId="39" xfId="69" applyNumberFormat="1" applyFont="1" applyFill="1" applyBorder="1" applyAlignment="1" applyProtection="1">
      <alignment horizontal="center" vertical="center"/>
    </xf>
    <xf numFmtId="1" fontId="26" fillId="21" borderId="34" xfId="69" applyNumberFormat="1" applyFont="1" applyFill="1" applyBorder="1" applyAlignment="1" applyProtection="1">
      <alignment horizontal="center" vertical="center"/>
    </xf>
    <xf numFmtId="0" fontId="32" fillId="0" borderId="0" xfId="69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center" vertical="center"/>
    </xf>
    <xf numFmtId="0" fontId="32" fillId="0" borderId="0" xfId="69" applyFont="1" applyAlignment="1" applyProtection="1">
      <alignment horizontal="left" vertical="center" wrapText="1"/>
    </xf>
    <xf numFmtId="0" fontId="25" fillId="0" borderId="0" xfId="69" applyNumberFormat="1" applyFont="1" applyAlignment="1" applyProtection="1">
      <alignment horizontal="center" vertical="center" wrapText="1"/>
    </xf>
    <xf numFmtId="43" fontId="2" fillId="0" borderId="0" xfId="2" applyFont="1" applyFill="1" applyAlignment="1" applyProtection="1">
      <alignment horizontal="center" vertical="center"/>
    </xf>
    <xf numFmtId="43" fontId="26" fillId="0" borderId="55" xfId="2" applyFont="1" applyBorder="1" applyAlignment="1" applyProtection="1">
      <alignment horizontal="centerContinuous" vertical="center"/>
    </xf>
    <xf numFmtId="43" fontId="26" fillId="0" borderId="56" xfId="2" applyFont="1" applyBorder="1" applyAlignment="1" applyProtection="1">
      <alignment horizontal="centerContinuous" vertical="center"/>
    </xf>
    <xf numFmtId="43" fontId="26" fillId="0" borderId="57" xfId="2" applyFont="1" applyBorder="1" applyAlignment="1" applyProtection="1">
      <alignment horizontal="centerContinuous" vertical="center"/>
    </xf>
    <xf numFmtId="43" fontId="26" fillId="0" borderId="46" xfId="2" applyFont="1" applyBorder="1" applyAlignment="1" applyProtection="1">
      <alignment horizontal="center" vertical="center" wrapText="1"/>
    </xf>
    <xf numFmtId="43" fontId="26" fillId="0" borderId="47" xfId="2" applyFont="1" applyBorder="1" applyAlignment="1" applyProtection="1">
      <alignment horizontal="center" vertical="center" wrapText="1"/>
    </xf>
    <xf numFmtId="43" fontId="26" fillId="0" borderId="61" xfId="2" applyFont="1" applyBorder="1" applyAlignment="1" applyProtection="1">
      <alignment horizontal="center" vertical="center" wrapText="1"/>
    </xf>
    <xf numFmtId="0" fontId="32" fillId="0" borderId="27" xfId="69" applyFont="1" applyBorder="1" applyAlignment="1" applyProtection="1">
      <alignment vertical="center" wrapText="1"/>
    </xf>
    <xf numFmtId="0" fontId="32" fillId="0" borderId="13" xfId="69" applyFont="1" applyBorder="1" applyAlignment="1" applyProtection="1">
      <alignment horizontal="center" vertical="center"/>
    </xf>
    <xf numFmtId="43" fontId="2" fillId="0" borderId="66" xfId="2" applyFont="1" applyBorder="1" applyAlignment="1" applyProtection="1">
      <alignment horizontal="center" vertical="center"/>
    </xf>
    <xf numFmtId="0" fontId="32" fillId="0" borderId="27" xfId="69" applyFont="1" applyBorder="1" applyAlignment="1" applyProtection="1">
      <alignment horizontal="left" vertical="center"/>
    </xf>
    <xf numFmtId="0" fontId="25" fillId="0" borderId="16" xfId="69" applyFont="1" applyFill="1" applyBorder="1" applyAlignment="1" applyProtection="1">
      <alignment horizontal="center" vertical="center"/>
    </xf>
    <xf numFmtId="43" fontId="2" fillId="0" borderId="64" xfId="2" applyFont="1" applyFill="1" applyBorder="1" applyAlignment="1" applyProtection="1">
      <alignment horizontal="center" vertical="center"/>
    </xf>
    <xf numFmtId="43" fontId="2" fillId="0" borderId="19" xfId="2" applyFont="1" applyFill="1" applyBorder="1" applyAlignment="1" applyProtection="1">
      <alignment horizontal="center" vertical="center"/>
    </xf>
    <xf numFmtId="43" fontId="2" fillId="0" borderId="65" xfId="2" applyFont="1" applyFill="1" applyBorder="1" applyAlignment="1" applyProtection="1">
      <alignment horizontal="center" vertical="center"/>
    </xf>
    <xf numFmtId="43" fontId="2" fillId="0" borderId="64" xfId="2" applyFont="1" applyBorder="1" applyAlignment="1" applyProtection="1">
      <alignment horizontal="center" vertical="center"/>
    </xf>
    <xf numFmtId="43" fontId="2" fillId="0" borderId="19" xfId="2" applyFont="1" applyBorder="1" applyAlignment="1" applyProtection="1">
      <alignment horizontal="center" vertical="center"/>
    </xf>
    <xf numFmtId="43" fontId="2" fillId="0" borderId="65" xfId="2" applyFont="1" applyBorder="1" applyAlignment="1" applyProtection="1">
      <alignment horizontal="center" vertical="center"/>
    </xf>
    <xf numFmtId="171" fontId="2" fillId="21" borderId="12" xfId="69" applyNumberFormat="1" applyFont="1" applyFill="1" applyBorder="1" applyAlignment="1" applyProtection="1">
      <alignment horizontal="center" vertical="center"/>
    </xf>
    <xf numFmtId="0" fontId="25" fillId="0" borderId="16" xfId="69" applyNumberFormat="1" applyFont="1" applyBorder="1" applyAlignment="1" applyProtection="1">
      <alignment horizontal="center" vertical="center"/>
    </xf>
    <xf numFmtId="0" fontId="2" fillId="0" borderId="71" xfId="69" applyFont="1" applyBorder="1" applyAlignment="1" applyProtection="1">
      <alignment horizontal="center" vertical="center"/>
    </xf>
    <xf numFmtId="0" fontId="2" fillId="0" borderId="11" xfId="69" applyFont="1" applyBorder="1" applyAlignment="1" applyProtection="1">
      <alignment horizontal="center" vertical="center"/>
    </xf>
    <xf numFmtId="0" fontId="2" fillId="0" borderId="40" xfId="69" applyFont="1" applyBorder="1" applyAlignment="1" applyProtection="1">
      <alignment horizontal="center" vertical="center"/>
    </xf>
    <xf numFmtId="0" fontId="2" fillId="0" borderId="71" xfId="69" applyFont="1" applyFill="1" applyBorder="1" applyAlignment="1" applyProtection="1">
      <alignment horizontal="center" vertical="center"/>
    </xf>
    <xf numFmtId="171" fontId="33" fillId="23" borderId="46" xfId="69" applyNumberFormat="1" applyFont="1" applyFill="1" applyBorder="1" applyAlignment="1" applyProtection="1">
      <alignment horizontal="center" vertical="center"/>
    </xf>
    <xf numFmtId="171" fontId="33" fillId="23" borderId="12" xfId="69" applyNumberFormat="1" applyFont="1" applyFill="1" applyBorder="1" applyAlignment="1" applyProtection="1">
      <alignment horizontal="center" vertical="center"/>
    </xf>
    <xf numFmtId="164" fontId="26" fillId="21" borderId="61" xfId="1" applyNumberFormat="1" applyFont="1" applyFill="1" applyBorder="1" applyAlignment="1" applyProtection="1">
      <alignment horizontal="center" vertical="center"/>
    </xf>
    <xf numFmtId="171" fontId="33" fillId="23" borderId="36" xfId="69" applyNumberFormat="1" applyFont="1" applyFill="1" applyBorder="1" applyAlignment="1" applyProtection="1">
      <alignment horizontal="center" vertical="center"/>
    </xf>
    <xf numFmtId="171" fontId="33" fillId="23" borderId="34" xfId="69" applyNumberFormat="1" applyFont="1" applyFill="1" applyBorder="1" applyAlignment="1" applyProtection="1">
      <alignment horizontal="center" vertical="center"/>
    </xf>
    <xf numFmtId="171" fontId="33" fillId="22" borderId="34" xfId="69" applyNumberFormat="1" applyFont="1" applyFill="1" applyBorder="1" applyAlignment="1" applyProtection="1">
      <alignment horizontal="center" vertical="center"/>
      <protection locked="0"/>
    </xf>
    <xf numFmtId="171" fontId="33" fillId="22" borderId="39" xfId="69" applyNumberFormat="1" applyFont="1" applyFill="1" applyBorder="1" applyAlignment="1" applyProtection="1">
      <alignment horizontal="center" vertical="center"/>
      <protection locked="0"/>
    </xf>
    <xf numFmtId="171" fontId="33" fillId="22" borderId="35" xfId="69" applyNumberFormat="1" applyFont="1" applyFill="1" applyBorder="1" applyAlignment="1" applyProtection="1">
      <alignment horizontal="center" vertical="center"/>
      <protection locked="0"/>
    </xf>
    <xf numFmtId="43" fontId="2" fillId="0" borderId="0" xfId="2" applyFont="1" applyProtection="1"/>
    <xf numFmtId="0" fontId="0" fillId="0" borderId="0" xfId="0" applyProtection="1"/>
    <xf numFmtId="0" fontId="34" fillId="0" borderId="0" xfId="0" applyFont="1" applyProtection="1"/>
    <xf numFmtId="0" fontId="2" fillId="0" borderId="64" xfId="69" applyFont="1" applyBorder="1" applyAlignment="1" applyProtection="1">
      <alignment horizontal="center" vertical="center"/>
    </xf>
    <xf numFmtId="0" fontId="2" fillId="0" borderId="19" xfId="69" applyFont="1" applyBorder="1" applyAlignment="1" applyProtection="1">
      <alignment horizontal="center" vertical="center"/>
    </xf>
    <xf numFmtId="0" fontId="2" fillId="0" borderId="65" xfId="69" applyFont="1" applyBorder="1" applyAlignment="1" applyProtection="1">
      <alignment horizontal="center" vertical="center"/>
    </xf>
    <xf numFmtId="164" fontId="26" fillId="21" borderId="39" xfId="1" applyNumberFormat="1" applyFont="1" applyFill="1" applyBorder="1" applyAlignment="1" applyProtection="1">
      <alignment horizontal="center" vertical="center"/>
    </xf>
    <xf numFmtId="0" fontId="25" fillId="0" borderId="62" xfId="69" applyFont="1" applyBorder="1" applyAlignment="1" applyProtection="1">
      <alignment horizontal="center" vertical="center"/>
    </xf>
    <xf numFmtId="0" fontId="2" fillId="0" borderId="0" xfId="69" applyFont="1" applyAlignment="1" applyProtection="1">
      <alignment horizontal="center" vertical="center"/>
    </xf>
    <xf numFmtId="171" fontId="2" fillId="21" borderId="58" xfId="69" applyNumberFormat="1" applyFont="1" applyFill="1" applyBorder="1" applyAlignment="1" applyProtection="1">
      <alignment horizontal="center" vertical="center"/>
    </xf>
    <xf numFmtId="171" fontId="2" fillId="21" borderId="60" xfId="69" applyNumberFormat="1" applyFont="1" applyFill="1" applyBorder="1" applyAlignment="1" applyProtection="1">
      <alignment horizontal="center" vertical="center"/>
    </xf>
    <xf numFmtId="171" fontId="2" fillId="21" borderId="59" xfId="69" applyNumberFormat="1" applyFont="1" applyFill="1" applyBorder="1" applyAlignment="1" applyProtection="1">
      <alignment horizontal="center" vertical="center"/>
    </xf>
    <xf numFmtId="164" fontId="2" fillId="21" borderId="59" xfId="1" applyNumberFormat="1" applyFont="1" applyFill="1" applyBorder="1" applyAlignment="1" applyProtection="1">
      <alignment horizontal="center" vertical="center"/>
    </xf>
    <xf numFmtId="0" fontId="25" fillId="0" borderId="30" xfId="69" applyFont="1" applyBorder="1" applyAlignment="1" applyProtection="1">
      <alignment horizontal="left" vertical="center" wrapText="1"/>
    </xf>
    <xf numFmtId="0" fontId="25" fillId="0" borderId="63" xfId="69" applyFont="1" applyBorder="1" applyAlignment="1" applyProtection="1">
      <alignment horizontal="center" vertical="center"/>
    </xf>
    <xf numFmtId="171" fontId="2" fillId="0" borderId="36" xfId="69" applyNumberFormat="1" applyFont="1" applyFill="1" applyBorder="1" applyAlignment="1" applyProtection="1">
      <alignment horizontal="center" vertical="center"/>
    </xf>
    <xf numFmtId="171" fontId="2" fillId="0" borderId="34" xfId="69" applyNumberFormat="1" applyFont="1" applyFill="1" applyBorder="1" applyAlignment="1" applyProtection="1">
      <alignment horizontal="center" vertical="center"/>
    </xf>
    <xf numFmtId="171" fontId="2" fillId="0" borderId="39" xfId="69" applyNumberFormat="1" applyFont="1" applyFill="1" applyBorder="1" applyAlignment="1" applyProtection="1">
      <alignment horizontal="center" vertical="center"/>
    </xf>
    <xf numFmtId="171" fontId="2" fillId="0" borderId="35" xfId="69" applyNumberFormat="1" applyFont="1" applyFill="1" applyBorder="1" applyAlignment="1" applyProtection="1">
      <alignment horizontal="center" vertical="center"/>
    </xf>
    <xf numFmtId="0" fontId="25" fillId="0" borderId="0" xfId="69" applyFont="1" applyBorder="1" applyAlignment="1" applyProtection="1">
      <alignment vertical="center"/>
    </xf>
    <xf numFmtId="0" fontId="25" fillId="0" borderId="0" xfId="69" applyFont="1" applyBorder="1" applyAlignment="1" applyProtection="1">
      <alignment horizontal="center" vertical="center"/>
    </xf>
    <xf numFmtId="0" fontId="36" fillId="24" borderId="0" xfId="71" applyFont="1" applyFill="1" applyBorder="1" applyAlignment="1" applyProtection="1"/>
    <xf numFmtId="0" fontId="28" fillId="24" borderId="0" xfId="72" applyFont="1" applyFill="1" applyBorder="1" applyAlignment="1" applyProtection="1"/>
    <xf numFmtId="0" fontId="28" fillId="24" borderId="0" xfId="72" applyFont="1" applyFill="1" applyBorder="1" applyAlignment="1" applyProtection="1">
      <alignment horizontal="center"/>
    </xf>
    <xf numFmtId="0" fontId="28" fillId="24" borderId="0" xfId="72" applyFont="1" applyFill="1" applyBorder="1" applyAlignment="1" applyProtection="1">
      <alignment horizontal="center" vertical="center"/>
    </xf>
    <xf numFmtId="0" fontId="2" fillId="24" borderId="0" xfId="72" applyFill="1" applyBorder="1" applyAlignment="1" applyProtection="1">
      <alignment horizontal="center" vertical="center"/>
    </xf>
    <xf numFmtId="0" fontId="37" fillId="24" borderId="0" xfId="72" applyFont="1" applyFill="1" applyBorder="1" applyAlignment="1" applyProtection="1">
      <alignment horizontal="center" vertical="center"/>
    </xf>
    <xf numFmtId="0" fontId="2" fillId="24" borderId="0" xfId="72" applyFill="1" applyBorder="1" applyAlignment="1" applyProtection="1"/>
    <xf numFmtId="0" fontId="35" fillId="24" borderId="0" xfId="71" applyFill="1" applyBorder="1" applyProtection="1"/>
    <xf numFmtId="0" fontId="38" fillId="24" borderId="0" xfId="72" applyFont="1" applyFill="1" applyBorder="1" applyAlignment="1" applyProtection="1">
      <alignment horizontal="left"/>
    </xf>
    <xf numFmtId="0" fontId="2" fillId="24" borderId="0" xfId="72" applyFill="1" applyBorder="1" applyAlignment="1" applyProtection="1">
      <alignment horizontal="center"/>
    </xf>
    <xf numFmtId="0" fontId="38" fillId="24" borderId="31" xfId="72" applyFont="1" applyFill="1" applyBorder="1" applyAlignment="1" applyProtection="1">
      <alignment horizontal="left"/>
    </xf>
    <xf numFmtId="0" fontId="2" fillId="24" borderId="31" xfId="72" applyFill="1" applyBorder="1" applyAlignment="1" applyProtection="1"/>
    <xf numFmtId="0" fontId="2" fillId="24" borderId="31" xfId="72" applyFill="1" applyBorder="1" applyAlignment="1" applyProtection="1">
      <alignment horizontal="center"/>
    </xf>
    <xf numFmtId="0" fontId="2" fillId="24" borderId="31" xfId="72" applyFill="1" applyBorder="1" applyAlignment="1" applyProtection="1">
      <alignment horizontal="center" vertical="center"/>
    </xf>
    <xf numFmtId="0" fontId="35" fillId="24" borderId="31" xfId="71" applyFill="1" applyBorder="1" applyProtection="1"/>
    <xf numFmtId="0" fontId="2" fillId="0" borderId="0" xfId="72" applyProtection="1"/>
    <xf numFmtId="0" fontId="2" fillId="0" borderId="0" xfId="72" applyAlignment="1" applyProtection="1">
      <alignment horizontal="center"/>
    </xf>
    <xf numFmtId="0" fontId="2" fillId="0" borderId="0" xfId="72" applyAlignment="1" applyProtection="1">
      <alignment horizontal="center" vertical="center"/>
    </xf>
    <xf numFmtId="0" fontId="35" fillId="0" borderId="0" xfId="71" applyProtection="1"/>
    <xf numFmtId="0" fontId="26" fillId="0" borderId="0" xfId="72" applyFont="1" applyProtection="1"/>
    <xf numFmtId="0" fontId="26" fillId="0" borderId="52" xfId="72" applyFont="1" applyBorder="1" applyAlignment="1" applyProtection="1">
      <alignment horizontal="centerContinuous" vertical="center"/>
    </xf>
    <xf numFmtId="0" fontId="26" fillId="0" borderId="53" xfId="72" applyFont="1" applyBorder="1" applyAlignment="1" applyProtection="1">
      <alignment horizontal="centerContinuous" vertical="center"/>
    </xf>
    <xf numFmtId="0" fontId="2" fillId="0" borderId="54" xfId="72" applyBorder="1" applyAlignment="1" applyProtection="1">
      <alignment horizontal="centerContinuous" vertical="center"/>
    </xf>
    <xf numFmtId="0" fontId="2" fillId="0" borderId="53" xfId="72" applyBorder="1" applyAlignment="1" applyProtection="1">
      <alignment horizontal="centerContinuous" vertical="center"/>
    </xf>
    <xf numFmtId="0" fontId="26" fillId="0" borderId="55" xfId="72" applyFont="1" applyBorder="1" applyAlignment="1" applyProtection="1">
      <alignment horizontal="centerContinuous" vertical="center"/>
    </xf>
    <xf numFmtId="0" fontId="26" fillId="0" borderId="56" xfId="72" applyFont="1" applyBorder="1" applyAlignment="1" applyProtection="1">
      <alignment horizontal="centerContinuous" vertical="center"/>
    </xf>
    <xf numFmtId="0" fontId="26" fillId="0" borderId="57" xfId="72" applyFont="1" applyBorder="1" applyAlignment="1" applyProtection="1">
      <alignment horizontal="centerContinuous" vertical="center"/>
    </xf>
    <xf numFmtId="0" fontId="26" fillId="0" borderId="58" xfId="72" applyFont="1" applyBorder="1" applyAlignment="1" applyProtection="1">
      <alignment horizontal="center" vertical="center" wrapText="1"/>
    </xf>
    <xf numFmtId="0" fontId="26" fillId="0" borderId="60" xfId="72" applyFont="1" applyBorder="1" applyAlignment="1" applyProtection="1">
      <alignment horizontal="center" vertical="center" wrapText="1"/>
    </xf>
    <xf numFmtId="0" fontId="26" fillId="0" borderId="59" xfId="72" applyFont="1" applyBorder="1" applyAlignment="1" applyProtection="1">
      <alignment horizontal="center" vertical="center" wrapText="1"/>
    </xf>
    <xf numFmtId="0" fontId="26" fillId="0" borderId="20" xfId="72" applyFont="1" applyBorder="1" applyAlignment="1" applyProtection="1">
      <alignment horizontal="center" vertical="center" wrapText="1"/>
    </xf>
    <xf numFmtId="0" fontId="26" fillId="0" borderId="46" xfId="72" applyFont="1" applyBorder="1" applyAlignment="1" applyProtection="1">
      <alignment horizontal="center" vertical="center" wrapText="1"/>
    </xf>
    <xf numFmtId="0" fontId="26" fillId="0" borderId="47" xfId="72" applyFont="1" applyBorder="1" applyAlignment="1" applyProtection="1">
      <alignment horizontal="center" vertical="center" wrapText="1"/>
    </xf>
    <xf numFmtId="0" fontId="26" fillId="0" borderId="61" xfId="72" applyFont="1" applyBorder="1" applyAlignment="1" applyProtection="1">
      <alignment horizontal="center" vertical="center" wrapText="1"/>
    </xf>
    <xf numFmtId="0" fontId="2" fillId="0" borderId="27" xfId="72" applyBorder="1" applyProtection="1"/>
    <xf numFmtId="0" fontId="2" fillId="0" borderId="62" xfId="72" applyNumberFormat="1" applyFont="1" applyBorder="1" applyAlignment="1" applyProtection="1">
      <alignment horizontal="center" wrapText="1"/>
    </xf>
    <xf numFmtId="171" fontId="2" fillId="25" borderId="20" xfId="72" applyNumberFormat="1" applyFont="1" applyFill="1" applyBorder="1" applyAlignment="1" applyProtection="1">
      <alignment horizontal="center" vertical="center"/>
    </xf>
    <xf numFmtId="171" fontId="2" fillId="25" borderId="59" xfId="72" applyNumberFormat="1" applyFont="1" applyFill="1" applyBorder="1" applyAlignment="1" applyProtection="1">
      <alignment horizontal="center" vertical="center"/>
    </xf>
    <xf numFmtId="171" fontId="2" fillId="25" borderId="60" xfId="72" applyNumberFormat="1" applyFont="1" applyFill="1" applyBorder="1" applyAlignment="1" applyProtection="1">
      <alignment horizontal="center" vertical="center"/>
    </xf>
    <xf numFmtId="171" fontId="2" fillId="21" borderId="46" xfId="72" applyNumberFormat="1" applyFill="1" applyBorder="1" applyAlignment="1" applyProtection="1">
      <alignment horizontal="center" vertical="center"/>
    </xf>
    <xf numFmtId="171" fontId="2" fillId="21" borderId="47" xfId="72" applyNumberFormat="1" applyFill="1" applyBorder="1" applyAlignment="1" applyProtection="1">
      <alignment horizontal="center" vertical="center"/>
    </xf>
    <xf numFmtId="171" fontId="2" fillId="21" borderId="61" xfId="72" applyNumberFormat="1" applyFill="1" applyBorder="1" applyAlignment="1" applyProtection="1">
      <alignment horizontal="center" vertical="center"/>
    </xf>
    <xf numFmtId="171" fontId="2" fillId="25" borderId="58" xfId="72" applyNumberFormat="1" applyFont="1" applyFill="1" applyBorder="1" applyAlignment="1" applyProtection="1">
      <alignment horizontal="center" vertical="center"/>
    </xf>
    <xf numFmtId="0" fontId="2" fillId="0" borderId="27" xfId="72" applyFill="1" applyBorder="1" applyProtection="1"/>
    <xf numFmtId="171" fontId="26" fillId="21" borderId="46" xfId="72" applyNumberFormat="1" applyFont="1" applyFill="1" applyBorder="1" applyAlignment="1" applyProtection="1">
      <alignment horizontal="center" vertical="center"/>
    </xf>
    <xf numFmtId="171" fontId="26" fillId="21" borderId="47" xfId="72" applyNumberFormat="1" applyFont="1" applyFill="1" applyBorder="1" applyAlignment="1" applyProtection="1">
      <alignment horizontal="center" vertical="center"/>
    </xf>
    <xf numFmtId="171" fontId="26" fillId="21" borderId="61" xfId="72" applyNumberFormat="1" applyFont="1" applyFill="1" applyBorder="1" applyAlignment="1" applyProtection="1">
      <alignment horizontal="center" vertical="center"/>
    </xf>
    <xf numFmtId="171" fontId="26" fillId="21" borderId="12" xfId="72" applyNumberFormat="1" applyFont="1" applyFill="1" applyBorder="1" applyAlignment="1" applyProtection="1">
      <alignment horizontal="center" vertical="center"/>
    </xf>
    <xf numFmtId="171" fontId="33" fillId="22" borderId="46" xfId="72" applyNumberFormat="1" applyFont="1" applyFill="1" applyBorder="1" applyAlignment="1" applyProtection="1">
      <alignment horizontal="center" vertical="center"/>
      <protection locked="0"/>
    </xf>
    <xf numFmtId="171" fontId="26" fillId="21" borderId="68" xfId="72" applyNumberFormat="1" applyFont="1" applyFill="1" applyBorder="1" applyAlignment="1" applyProtection="1">
      <alignment horizontal="center" vertical="center"/>
    </xf>
    <xf numFmtId="171" fontId="26" fillId="21" borderId="15" xfId="72" applyNumberFormat="1" applyFont="1" applyFill="1" applyBorder="1" applyAlignment="1" applyProtection="1">
      <alignment horizontal="center" vertical="center"/>
    </xf>
    <xf numFmtId="171" fontId="26" fillId="21" borderId="69" xfId="72" applyNumberFormat="1" applyFont="1" applyFill="1" applyBorder="1" applyAlignment="1" applyProtection="1">
      <alignment horizontal="center" vertical="center"/>
    </xf>
    <xf numFmtId="171" fontId="26" fillId="21" borderId="70" xfId="72" applyNumberFormat="1" applyFont="1" applyFill="1" applyBorder="1" applyAlignment="1" applyProtection="1">
      <alignment horizontal="center" vertical="center"/>
    </xf>
    <xf numFmtId="0" fontId="2" fillId="0" borderId="30" xfId="72" applyBorder="1" applyProtection="1"/>
    <xf numFmtId="0" fontId="2" fillId="0" borderId="63" xfId="72" applyNumberFormat="1" applyFont="1" applyBorder="1" applyAlignment="1" applyProtection="1">
      <alignment horizontal="center" wrapText="1"/>
    </xf>
    <xf numFmtId="171" fontId="2" fillId="0" borderId="36" xfId="72" applyNumberFormat="1" applyFont="1" applyFill="1" applyBorder="1" applyAlignment="1" applyProtection="1">
      <alignment horizontal="center" vertical="center"/>
    </xf>
    <xf numFmtId="171" fontId="2" fillId="0" borderId="34" xfId="72" applyNumberFormat="1" applyFont="1" applyFill="1" applyBorder="1" applyAlignment="1" applyProtection="1">
      <alignment horizontal="center" vertical="center"/>
    </xf>
    <xf numFmtId="171" fontId="2" fillId="0" borderId="39" xfId="72" applyNumberFormat="1" applyFont="1" applyFill="1" applyBorder="1" applyAlignment="1" applyProtection="1">
      <alignment horizontal="center" vertical="center"/>
    </xf>
    <xf numFmtId="171" fontId="2" fillId="0" borderId="35" xfId="72" applyNumberFormat="1" applyFont="1" applyFill="1" applyBorder="1" applyAlignment="1" applyProtection="1">
      <alignment horizontal="center" vertical="center"/>
    </xf>
    <xf numFmtId="171" fontId="2" fillId="23" borderId="46" xfId="72" applyNumberFormat="1" applyFill="1" applyBorder="1" applyAlignment="1" applyProtection="1">
      <alignment horizontal="center" vertical="center"/>
    </xf>
    <xf numFmtId="171" fontId="2" fillId="23" borderId="47" xfId="72" applyNumberFormat="1" applyFill="1" applyBorder="1" applyAlignment="1" applyProtection="1">
      <alignment horizontal="center" vertical="center"/>
    </xf>
    <xf numFmtId="171" fontId="2" fillId="23" borderId="61" xfId="72" applyNumberFormat="1" applyFill="1" applyBorder="1" applyAlignment="1" applyProtection="1">
      <alignment horizontal="center" vertical="center"/>
    </xf>
    <xf numFmtId="164" fontId="2" fillId="23" borderId="61" xfId="1" applyNumberFormat="1" applyFont="1" applyFill="1" applyBorder="1" applyAlignment="1" applyProtection="1">
      <alignment horizontal="center" vertical="center"/>
    </xf>
    <xf numFmtId="0" fontId="26" fillId="0" borderId="41" xfId="72" applyFont="1" applyBorder="1" applyProtection="1"/>
    <xf numFmtId="0" fontId="2" fillId="0" borderId="51" xfId="72" applyBorder="1" applyAlignment="1" applyProtection="1">
      <alignment horizontal="center"/>
    </xf>
    <xf numFmtId="0" fontId="2" fillId="0" borderId="58" xfId="72" applyBorder="1" applyProtection="1"/>
    <xf numFmtId="0" fontId="26" fillId="0" borderId="59" xfId="72" applyFont="1" applyBorder="1" applyAlignment="1" applyProtection="1">
      <alignment horizontal="center" vertical="center"/>
    </xf>
    <xf numFmtId="171" fontId="33" fillId="22" borderId="12" xfId="72" applyNumberFormat="1" applyFont="1" applyFill="1" applyBorder="1" applyAlignment="1" applyProtection="1">
      <alignment horizontal="center" vertical="center"/>
      <protection locked="0"/>
    </xf>
    <xf numFmtId="171" fontId="33" fillId="22" borderId="61" xfId="72" applyNumberFormat="1" applyFont="1" applyFill="1" applyBorder="1" applyAlignment="1" applyProtection="1">
      <alignment horizontal="center" vertical="center"/>
      <protection locked="0"/>
    </xf>
    <xf numFmtId="171" fontId="33" fillId="22" borderId="47" xfId="72" applyNumberFormat="1" applyFont="1" applyFill="1" applyBorder="1" applyAlignment="1" applyProtection="1">
      <alignment horizontal="center" vertical="center"/>
      <protection locked="0"/>
    </xf>
    <xf numFmtId="171" fontId="26" fillId="21" borderId="36" xfId="72" applyNumberFormat="1" applyFont="1" applyFill="1" applyBorder="1" applyAlignment="1" applyProtection="1">
      <alignment horizontal="center" vertical="center"/>
    </xf>
    <xf numFmtId="171" fontId="26" fillId="21" borderId="34" xfId="72" applyNumberFormat="1" applyFont="1" applyFill="1" applyBorder="1" applyAlignment="1" applyProtection="1">
      <alignment horizontal="center" vertical="center"/>
    </xf>
    <xf numFmtId="171" fontId="26" fillId="21" borderId="39" xfId="72" applyNumberFormat="1" applyFont="1" applyFill="1" applyBorder="1" applyAlignment="1" applyProtection="1">
      <alignment horizontal="center" vertical="center"/>
    </xf>
    <xf numFmtId="171" fontId="26" fillId="21" borderId="35" xfId="72" applyNumberFormat="1" applyFont="1" applyFill="1" applyBorder="1" applyAlignment="1" applyProtection="1">
      <alignment horizontal="center" vertical="center"/>
    </xf>
    <xf numFmtId="171" fontId="2" fillId="21" borderId="36" xfId="72" applyNumberFormat="1" applyFill="1" applyBorder="1" applyAlignment="1" applyProtection="1">
      <alignment horizontal="center" vertical="center"/>
    </xf>
    <xf numFmtId="171" fontId="2" fillId="21" borderId="35" xfId="72" applyNumberFormat="1" applyFill="1" applyBorder="1" applyAlignment="1" applyProtection="1">
      <alignment horizontal="center" vertical="center"/>
    </xf>
    <xf numFmtId="171" fontId="2" fillId="21" borderId="39" xfId="72" applyNumberFormat="1" applyFill="1" applyBorder="1" applyAlignment="1" applyProtection="1">
      <alignment horizontal="center" vertical="center"/>
    </xf>
    <xf numFmtId="0" fontId="26" fillId="0" borderId="0" xfId="72" applyFont="1" applyFill="1" applyProtection="1"/>
    <xf numFmtId="0" fontId="2" fillId="0" borderId="0" xfId="72" applyNumberFormat="1" applyFont="1" applyAlignment="1" applyProtection="1">
      <alignment horizontal="center" wrapText="1"/>
    </xf>
    <xf numFmtId="0" fontId="2" fillId="0" borderId="0" xfId="72" applyFill="1" applyAlignment="1" applyProtection="1">
      <alignment horizontal="center" vertical="center"/>
    </xf>
    <xf numFmtId="0" fontId="26" fillId="0" borderId="27" xfId="72" applyFont="1" applyFill="1" applyBorder="1" applyAlignment="1" applyProtection="1">
      <alignment horizontal="left" indent="1"/>
    </xf>
    <xf numFmtId="0" fontId="2" fillId="0" borderId="16" xfId="72" applyFill="1" applyBorder="1" applyAlignment="1" applyProtection="1">
      <alignment horizontal="center"/>
    </xf>
    <xf numFmtId="0" fontId="2" fillId="0" borderId="64" xfId="72" applyFill="1" applyBorder="1" applyAlignment="1" applyProtection="1">
      <alignment horizontal="center" vertical="center"/>
    </xf>
    <xf numFmtId="0" fontId="2" fillId="0" borderId="19" xfId="72" applyFill="1" applyBorder="1" applyAlignment="1" applyProtection="1">
      <alignment horizontal="center" vertical="center"/>
    </xf>
    <xf numFmtId="0" fontId="2" fillId="0" borderId="65" xfId="72" applyFill="1" applyBorder="1" applyAlignment="1" applyProtection="1">
      <alignment horizontal="center" vertical="center"/>
    </xf>
    <xf numFmtId="0" fontId="2" fillId="0" borderId="64" xfId="72" applyBorder="1" applyAlignment="1" applyProtection="1">
      <alignment horizontal="center" vertical="center"/>
    </xf>
    <xf numFmtId="0" fontId="2" fillId="0" borderId="19" xfId="72" applyBorder="1" applyAlignment="1" applyProtection="1">
      <alignment horizontal="center" vertical="center"/>
    </xf>
    <xf numFmtId="0" fontId="2" fillId="0" borderId="65" xfId="72" applyBorder="1" applyAlignment="1" applyProtection="1">
      <alignment horizontal="center" vertical="center"/>
    </xf>
    <xf numFmtId="0" fontId="2" fillId="0" borderId="27" xfId="72" applyFill="1" applyBorder="1" applyAlignment="1" applyProtection="1">
      <alignment horizontal="left" wrapText="1" indent="2"/>
    </xf>
    <xf numFmtId="0" fontId="2" fillId="0" borderId="16" xfId="72" applyNumberFormat="1" applyFont="1" applyBorder="1" applyAlignment="1" applyProtection="1">
      <alignment horizontal="center" wrapText="1"/>
    </xf>
    <xf numFmtId="171" fontId="2" fillId="23" borderId="46" xfId="72" applyNumberFormat="1" applyFont="1" applyFill="1" applyBorder="1" applyAlignment="1" applyProtection="1">
      <alignment horizontal="center" vertical="center"/>
      <protection locked="0"/>
    </xf>
    <xf numFmtId="171" fontId="2" fillId="23" borderId="12" xfId="72" applyNumberFormat="1" applyFont="1" applyFill="1" applyBorder="1" applyAlignment="1" applyProtection="1">
      <alignment horizontal="center" vertical="center"/>
      <protection locked="0"/>
    </xf>
    <xf numFmtId="171" fontId="2" fillId="23" borderId="61" xfId="72" applyNumberFormat="1" applyFont="1" applyFill="1" applyBorder="1" applyAlignment="1" applyProtection="1">
      <alignment horizontal="center" vertical="center"/>
      <protection locked="0"/>
    </xf>
    <xf numFmtId="171" fontId="2" fillId="25" borderId="12" xfId="72" applyNumberFormat="1" applyFont="1" applyFill="1" applyBorder="1" applyAlignment="1" applyProtection="1">
      <alignment horizontal="center" vertical="center"/>
      <protection locked="0"/>
    </xf>
    <xf numFmtId="171" fontId="2" fillId="25" borderId="47" xfId="72" applyNumberFormat="1" applyFont="1" applyFill="1" applyBorder="1" applyAlignment="1" applyProtection="1">
      <alignment horizontal="center" vertical="center"/>
      <protection locked="0"/>
    </xf>
    <xf numFmtId="171" fontId="2" fillId="25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Alignment="1" applyProtection="1">
      <alignment horizontal="left" wrapText="1" indent="2"/>
    </xf>
    <xf numFmtId="171" fontId="2" fillId="21" borderId="12" xfId="72" applyNumberFormat="1" applyFill="1" applyBorder="1" applyAlignment="1" applyProtection="1">
      <alignment horizontal="center" vertical="center"/>
    </xf>
    <xf numFmtId="0" fontId="2" fillId="0" borderId="16" xfId="72" applyNumberFormat="1" applyBorder="1" applyAlignment="1" applyProtection="1">
      <alignment horizontal="center"/>
    </xf>
    <xf numFmtId="0" fontId="2" fillId="0" borderId="71" xfId="72" applyBorder="1" applyAlignment="1" applyProtection="1">
      <alignment horizontal="center" vertical="center"/>
    </xf>
    <xf numFmtId="0" fontId="2" fillId="0" borderId="11" xfId="72" applyBorder="1" applyAlignment="1" applyProtection="1">
      <alignment horizontal="center" vertical="center"/>
    </xf>
    <xf numFmtId="0" fontId="2" fillId="0" borderId="40" xfId="72" applyBorder="1" applyAlignment="1" applyProtection="1">
      <alignment horizontal="center" vertical="center"/>
    </xf>
    <xf numFmtId="0" fontId="2" fillId="0" borderId="71" xfId="72" applyFill="1" applyBorder="1" applyAlignment="1" applyProtection="1">
      <alignment horizontal="center" vertical="center"/>
    </xf>
    <xf numFmtId="0" fontId="26" fillId="0" borderId="30" xfId="72" applyFont="1" applyBorder="1" applyAlignment="1" applyProtection="1">
      <alignment horizontal="left" wrapText="1" indent="2"/>
    </xf>
    <xf numFmtId="0" fontId="2" fillId="0" borderId="50" xfId="72" applyNumberFormat="1" applyFont="1" applyBorder="1" applyAlignment="1" applyProtection="1">
      <alignment horizontal="center" wrapText="1"/>
    </xf>
    <xf numFmtId="171" fontId="2" fillId="21" borderId="34" xfId="72" applyNumberFormat="1" applyFill="1" applyBorder="1" applyAlignment="1" applyProtection="1">
      <alignment horizontal="center" vertical="center"/>
    </xf>
    <xf numFmtId="0" fontId="26" fillId="0" borderId="44" xfId="72" applyFont="1" applyBorder="1" applyProtection="1"/>
    <xf numFmtId="0" fontId="26" fillId="0" borderId="16" xfId="72" applyFont="1" applyBorder="1" applyAlignment="1" applyProtection="1">
      <alignment horizontal="center"/>
    </xf>
    <xf numFmtId="0" fontId="26" fillId="0" borderId="66" xfId="72" applyFont="1" applyBorder="1" applyAlignment="1" applyProtection="1">
      <alignment horizontal="center" vertical="center"/>
    </xf>
    <xf numFmtId="0" fontId="26" fillId="0" borderId="14" xfId="72" applyFont="1" applyBorder="1" applyAlignment="1" applyProtection="1">
      <alignment horizontal="center" vertical="center"/>
    </xf>
    <xf numFmtId="0" fontId="26" fillId="0" borderId="67" xfId="72" applyFont="1" applyBorder="1" applyAlignment="1" applyProtection="1">
      <alignment horizontal="center" vertical="center"/>
    </xf>
    <xf numFmtId="0" fontId="2" fillId="0" borderId="66" xfId="72" applyBorder="1" applyAlignment="1" applyProtection="1">
      <alignment horizontal="center" vertical="center"/>
    </xf>
    <xf numFmtId="0" fontId="2" fillId="0" borderId="14" xfId="72" applyBorder="1" applyAlignment="1" applyProtection="1">
      <alignment horizontal="center" vertical="center"/>
    </xf>
    <xf numFmtId="0" fontId="2" fillId="0" borderId="67" xfId="72" applyBorder="1" applyAlignment="1" applyProtection="1">
      <alignment horizontal="center" vertical="center"/>
    </xf>
    <xf numFmtId="0" fontId="35" fillId="0" borderId="0" xfId="71" applyBorder="1" applyProtection="1"/>
    <xf numFmtId="0" fontId="26" fillId="0" borderId="44" xfId="72" applyFont="1" applyBorder="1" applyAlignment="1" applyProtection="1">
      <alignment horizontal="left" indent="1"/>
    </xf>
    <xf numFmtId="0" fontId="26" fillId="0" borderId="27" xfId="72" applyFont="1" applyBorder="1" applyAlignment="1" applyProtection="1">
      <alignment horizontal="center" vertical="center"/>
    </xf>
    <xf numFmtId="0" fontId="26" fillId="0" borderId="0" xfId="72" applyFont="1" applyBorder="1" applyAlignment="1" applyProtection="1">
      <alignment horizontal="center" vertical="center"/>
    </xf>
    <xf numFmtId="0" fontId="26" fillId="0" borderId="28" xfId="72" applyFont="1" applyBorder="1" applyAlignment="1" applyProtection="1">
      <alignment horizontal="center" vertical="center"/>
    </xf>
    <xf numFmtId="0" fontId="2" fillId="0" borderId="27" xfId="72" applyBorder="1" applyAlignment="1" applyProtection="1">
      <alignment horizontal="center" vertical="center"/>
    </xf>
    <xf numFmtId="0" fontId="2" fillId="0" borderId="0" xfId="72" applyBorder="1" applyAlignment="1" applyProtection="1">
      <alignment horizontal="center" vertical="center"/>
    </xf>
    <xf numFmtId="0" fontId="2" fillId="0" borderId="28" xfId="72" applyBorder="1" applyAlignment="1" applyProtection="1">
      <alignment horizontal="center" vertical="center"/>
    </xf>
    <xf numFmtId="0" fontId="2" fillId="0" borderId="44" xfId="72" applyFont="1" applyBorder="1" applyAlignment="1" applyProtection="1">
      <alignment horizontal="left" indent="2"/>
    </xf>
    <xf numFmtId="1" fontId="2" fillId="21" borderId="46" xfId="72" applyNumberFormat="1" applyFont="1" applyFill="1" applyBorder="1" applyAlignment="1" applyProtection="1">
      <alignment horizontal="center" vertical="center"/>
      <protection locked="0"/>
    </xf>
    <xf numFmtId="1" fontId="2" fillId="21" borderId="12" xfId="72" applyNumberFormat="1" applyFont="1" applyFill="1" applyBorder="1" applyAlignment="1" applyProtection="1">
      <alignment horizontal="center" vertical="center"/>
      <protection locked="0"/>
    </xf>
    <xf numFmtId="1" fontId="2" fillId="21" borderId="61" xfId="72" applyNumberFormat="1" applyFont="1" applyFill="1" applyBorder="1" applyAlignment="1" applyProtection="1">
      <alignment horizontal="center" vertical="center"/>
      <protection locked="0"/>
    </xf>
    <xf numFmtId="1" fontId="2" fillId="21" borderId="47" xfId="72" applyNumberFormat="1" applyFont="1" applyFill="1" applyBorder="1" applyAlignment="1" applyProtection="1">
      <alignment horizontal="center" vertical="center"/>
      <protection locked="0"/>
    </xf>
    <xf numFmtId="0" fontId="2" fillId="0" borderId="27" xfId="72" applyFont="1" applyBorder="1" applyAlignment="1" applyProtection="1">
      <alignment horizontal="left" indent="2"/>
    </xf>
    <xf numFmtId="1" fontId="33" fillId="23" borderId="46" xfId="72" applyNumberFormat="1" applyFont="1" applyFill="1" applyBorder="1" applyAlignment="1" applyProtection="1">
      <alignment horizontal="center" vertical="center"/>
      <protection locked="0"/>
    </xf>
    <xf numFmtId="1" fontId="33" fillId="23" borderId="12" xfId="72" applyNumberFormat="1" applyFont="1" applyFill="1" applyBorder="1" applyAlignment="1" applyProtection="1">
      <alignment horizontal="center" vertical="center"/>
      <protection locked="0"/>
    </xf>
    <xf numFmtId="1" fontId="33" fillId="23" borderId="61" xfId="72" applyNumberFormat="1" applyFont="1" applyFill="1" applyBorder="1" applyAlignment="1" applyProtection="1">
      <alignment horizontal="center" vertical="center"/>
      <protection locked="0"/>
    </xf>
    <xf numFmtId="0" fontId="26" fillId="0" borderId="44" xfId="72" applyFont="1" applyFill="1" applyBorder="1" applyAlignment="1" applyProtection="1">
      <alignment horizontal="left" indent="1"/>
    </xf>
    <xf numFmtId="1" fontId="26" fillId="0" borderId="27" xfId="72" applyNumberFormat="1" applyFont="1" applyBorder="1" applyAlignment="1" applyProtection="1">
      <alignment horizontal="center" vertical="center"/>
    </xf>
    <xf numFmtId="1" fontId="26" fillId="0" borderId="0" xfId="72" applyNumberFormat="1" applyFont="1" applyBorder="1" applyAlignment="1" applyProtection="1">
      <alignment horizontal="center" vertical="center"/>
    </xf>
    <xf numFmtId="1" fontId="26" fillId="0" borderId="28" xfId="72" applyNumberFormat="1" applyFont="1" applyBorder="1" applyAlignment="1" applyProtection="1">
      <alignment horizontal="center" vertical="center"/>
    </xf>
    <xf numFmtId="1" fontId="2" fillId="0" borderId="27" xfId="72" applyNumberFormat="1" applyBorder="1" applyAlignment="1" applyProtection="1">
      <alignment horizontal="center" vertical="center"/>
    </xf>
    <xf numFmtId="1" fontId="2" fillId="0" borderId="0" xfId="72" applyNumberFormat="1" applyBorder="1" applyAlignment="1" applyProtection="1">
      <alignment horizontal="center" vertical="center"/>
    </xf>
    <xf numFmtId="1" fontId="2" fillId="0" borderId="28" xfId="72" applyNumberFormat="1" applyBorder="1" applyAlignment="1" applyProtection="1">
      <alignment horizontal="center" vertical="center"/>
    </xf>
    <xf numFmtId="0" fontId="2" fillId="0" borderId="44" xfId="72" applyFont="1" applyFill="1" applyBorder="1" applyAlignment="1" applyProtection="1">
      <alignment horizontal="left" indent="2"/>
    </xf>
    <xf numFmtId="0" fontId="2" fillId="0" borderId="27" xfId="72" applyFont="1" applyFill="1" applyBorder="1" applyAlignment="1" applyProtection="1">
      <alignment horizontal="left" indent="2"/>
    </xf>
    <xf numFmtId="1" fontId="2" fillId="23" borderId="46" xfId="72" applyNumberFormat="1" applyFont="1" applyFill="1" applyBorder="1" applyAlignment="1" applyProtection="1">
      <alignment horizontal="center" vertical="center"/>
      <protection locked="0"/>
    </xf>
    <xf numFmtId="1" fontId="2" fillId="23" borderId="12" xfId="72" applyNumberFormat="1" applyFont="1" applyFill="1" applyBorder="1" applyAlignment="1" applyProtection="1">
      <alignment horizontal="center" vertical="center"/>
      <protection locked="0"/>
    </xf>
    <xf numFmtId="1" fontId="2" fillId="23" borderId="61" xfId="72" applyNumberFormat="1" applyFont="1" applyFill="1" applyBorder="1" applyAlignment="1" applyProtection="1">
      <alignment horizontal="center" vertical="center"/>
      <protection locked="0"/>
    </xf>
    <xf numFmtId="1" fontId="2" fillId="0" borderId="27" xfId="72" applyNumberFormat="1" applyFont="1" applyBorder="1" applyAlignment="1" applyProtection="1">
      <alignment horizontal="center" vertical="center"/>
    </xf>
    <xf numFmtId="1" fontId="2" fillId="0" borderId="0" xfId="72" applyNumberFormat="1" applyFont="1" applyBorder="1" applyAlignment="1" applyProtection="1">
      <alignment horizontal="center" vertical="center"/>
    </xf>
    <xf numFmtId="1" fontId="2" fillId="0" borderId="28" xfId="72" applyNumberFormat="1" applyFont="1" applyBorder="1" applyAlignment="1" applyProtection="1">
      <alignment horizontal="center" vertical="center"/>
    </xf>
    <xf numFmtId="1" fontId="2" fillId="21" borderId="68" xfId="72" applyNumberFormat="1" applyFont="1" applyFill="1" applyBorder="1" applyAlignment="1" applyProtection="1">
      <alignment horizontal="center" vertical="center"/>
      <protection locked="0"/>
    </xf>
    <xf numFmtId="1" fontId="2" fillId="21" borderId="15" xfId="72" applyNumberFormat="1" applyFont="1" applyFill="1" applyBorder="1" applyAlignment="1" applyProtection="1">
      <alignment horizontal="center" vertical="center"/>
      <protection locked="0"/>
    </xf>
    <xf numFmtId="1" fontId="2" fillId="21" borderId="69" xfId="72" applyNumberFormat="1" applyFont="1" applyFill="1" applyBorder="1" applyAlignment="1" applyProtection="1">
      <alignment horizontal="center" vertical="center"/>
      <protection locked="0"/>
    </xf>
    <xf numFmtId="1" fontId="2" fillId="21" borderId="70" xfId="72" applyNumberFormat="1" applyFont="1" applyFill="1" applyBorder="1" applyAlignment="1" applyProtection="1">
      <alignment horizontal="center" vertical="center"/>
      <protection locked="0"/>
    </xf>
    <xf numFmtId="1" fontId="2" fillId="23" borderId="68" xfId="72" applyNumberFormat="1" applyFont="1" applyFill="1" applyBorder="1" applyAlignment="1" applyProtection="1">
      <alignment horizontal="center" vertical="center"/>
      <protection locked="0"/>
    </xf>
    <xf numFmtId="1" fontId="2" fillId="23" borderId="15" xfId="72" applyNumberFormat="1" applyFont="1" applyFill="1" applyBorder="1" applyAlignment="1" applyProtection="1">
      <alignment horizontal="center" vertical="center"/>
      <protection locked="0"/>
    </xf>
    <xf numFmtId="1" fontId="2" fillId="23" borderId="69" xfId="72" applyNumberFormat="1" applyFont="1" applyFill="1" applyBorder="1" applyAlignment="1" applyProtection="1">
      <alignment horizontal="center" vertical="center"/>
      <protection locked="0"/>
    </xf>
    <xf numFmtId="0" fontId="26" fillId="0" borderId="48" xfId="72" applyFont="1" applyBorder="1" applyAlignment="1" applyProtection="1">
      <alignment horizontal="left" wrapText="1" indent="1"/>
    </xf>
    <xf numFmtId="1" fontId="26" fillId="21" borderId="36" xfId="72" applyNumberFormat="1" applyFont="1" applyFill="1" applyBorder="1" applyAlignment="1" applyProtection="1">
      <alignment horizontal="center" vertical="center"/>
    </xf>
    <xf numFmtId="1" fontId="26" fillId="21" borderId="35" xfId="72" applyNumberFormat="1" applyFont="1" applyFill="1" applyBorder="1" applyAlignment="1" applyProtection="1">
      <alignment horizontal="center" vertical="center"/>
    </xf>
    <xf numFmtId="1" fontId="26" fillId="21" borderId="39" xfId="72" applyNumberFormat="1" applyFont="1" applyFill="1" applyBorder="1" applyAlignment="1" applyProtection="1">
      <alignment horizontal="center" vertical="center"/>
    </xf>
    <xf numFmtId="0" fontId="34" fillId="0" borderId="0" xfId="71" applyFont="1" applyBorder="1" applyProtection="1"/>
    <xf numFmtId="0" fontId="26" fillId="0" borderId="0" xfId="72" applyFont="1" applyBorder="1" applyAlignment="1" applyProtection="1">
      <alignment horizontal="left" wrapText="1" indent="1"/>
    </xf>
    <xf numFmtId="0" fontId="35" fillId="0" borderId="0" xfId="71" applyAlignment="1" applyProtection="1">
      <alignment horizontal="center"/>
    </xf>
    <xf numFmtId="0" fontId="2" fillId="0" borderId="0" xfId="72" applyFill="1" applyProtection="1"/>
    <xf numFmtId="0" fontId="26" fillId="0" borderId="65" xfId="72" applyFont="1" applyBorder="1" applyAlignment="1" applyProtection="1">
      <alignment horizontal="center" vertical="center" wrapText="1"/>
    </xf>
    <xf numFmtId="0" fontId="2" fillId="0" borderId="15" xfId="72" applyBorder="1" applyAlignment="1" applyProtection="1">
      <alignment horizontal="center" vertical="center"/>
    </xf>
    <xf numFmtId="0" fontId="26" fillId="0" borderId="44" xfId="72" applyFont="1" applyBorder="1" applyAlignment="1" applyProtection="1">
      <alignment horizontal="left" indent="2"/>
    </xf>
    <xf numFmtId="0" fontId="2" fillId="0" borderId="0" xfId="72" applyNumberFormat="1" applyFont="1" applyBorder="1" applyAlignment="1" applyProtection="1">
      <alignment horizontal="center" wrapText="1"/>
    </xf>
    <xf numFmtId="0" fontId="2" fillId="0" borderId="17" xfId="72" applyBorder="1" applyAlignment="1" applyProtection="1">
      <alignment horizontal="center" vertical="center"/>
    </xf>
    <xf numFmtId="1" fontId="33" fillId="22" borderId="46" xfId="72" applyNumberFormat="1" applyFont="1" applyFill="1" applyBorder="1" applyAlignment="1" applyProtection="1">
      <alignment horizontal="center" vertical="center"/>
      <protection locked="0"/>
    </xf>
    <xf numFmtId="1" fontId="33" fillId="22" borderId="12" xfId="72" applyNumberFormat="1" applyFont="1" applyFill="1" applyBorder="1" applyAlignment="1" applyProtection="1">
      <alignment horizontal="center" vertical="center"/>
      <protection locked="0"/>
    </xf>
    <xf numFmtId="1" fontId="33" fillId="22" borderId="61" xfId="72" applyNumberFormat="1" applyFont="1" applyFill="1" applyBorder="1" applyAlignment="1" applyProtection="1">
      <alignment horizontal="center" vertical="center"/>
      <protection locked="0"/>
    </xf>
    <xf numFmtId="1" fontId="33" fillId="22" borderId="47" xfId="72" applyNumberFormat="1" applyFont="1" applyFill="1" applyBorder="1" applyAlignment="1" applyProtection="1">
      <alignment horizontal="center" vertical="center"/>
      <protection locked="0"/>
    </xf>
    <xf numFmtId="1" fontId="33" fillId="22" borderId="40" xfId="72" applyNumberFormat="1" applyFont="1" applyFill="1" applyBorder="1" applyAlignment="1" applyProtection="1">
      <alignment horizontal="center" vertical="center"/>
      <protection locked="0"/>
    </xf>
    <xf numFmtId="1" fontId="2" fillId="25" borderId="46" xfId="72" applyNumberFormat="1" applyFont="1" applyFill="1" applyBorder="1" applyAlignment="1" applyProtection="1">
      <alignment horizontal="center" vertical="center"/>
      <protection locked="0"/>
    </xf>
    <xf numFmtId="1" fontId="2" fillId="25" borderId="47" xfId="72" applyNumberFormat="1" applyFont="1" applyFill="1" applyBorder="1" applyAlignment="1" applyProtection="1">
      <alignment horizontal="center" vertical="center"/>
      <protection locked="0"/>
    </xf>
    <xf numFmtId="1" fontId="2" fillId="25" borderId="40" xfId="72" applyNumberFormat="1" applyFont="1" applyFill="1" applyBorder="1" applyAlignment="1" applyProtection="1">
      <alignment horizontal="center" vertical="center"/>
      <protection locked="0"/>
    </xf>
    <xf numFmtId="1" fontId="2" fillId="0" borderId="17" xfId="72" applyNumberFormat="1" applyBorder="1" applyAlignment="1" applyProtection="1">
      <alignment horizontal="center" vertical="center"/>
    </xf>
    <xf numFmtId="1" fontId="33" fillId="22" borderId="68" xfId="72" applyNumberFormat="1" applyFont="1" applyFill="1" applyBorder="1" applyAlignment="1" applyProtection="1">
      <alignment horizontal="center" vertical="center"/>
      <protection locked="0"/>
    </xf>
    <xf numFmtId="1" fontId="33" fillId="22" borderId="15" xfId="72" applyNumberFormat="1" applyFont="1" applyFill="1" applyBorder="1" applyAlignment="1" applyProtection="1">
      <alignment horizontal="center" vertical="center"/>
      <protection locked="0"/>
    </xf>
    <xf numFmtId="1" fontId="33" fillId="22" borderId="69" xfId="72" applyNumberFormat="1" applyFont="1" applyFill="1" applyBorder="1" applyAlignment="1" applyProtection="1">
      <alignment horizontal="center" vertical="center"/>
      <protection locked="0"/>
    </xf>
    <xf numFmtId="1" fontId="33" fillId="22" borderId="70" xfId="72" applyNumberFormat="1" applyFont="1" applyFill="1" applyBorder="1" applyAlignment="1" applyProtection="1">
      <alignment horizontal="center" vertical="center"/>
      <protection locked="0"/>
    </xf>
    <xf numFmtId="1" fontId="33" fillId="22" borderId="67" xfId="72" applyNumberFormat="1" applyFont="1" applyFill="1" applyBorder="1" applyAlignment="1" applyProtection="1">
      <alignment horizontal="center" vertical="center"/>
      <protection locked="0"/>
    </xf>
    <xf numFmtId="1" fontId="33" fillId="23" borderId="68" xfId="72" applyNumberFormat="1" applyFont="1" applyFill="1" applyBorder="1" applyAlignment="1" applyProtection="1">
      <alignment horizontal="center" vertical="center"/>
      <protection locked="0"/>
    </xf>
    <xf numFmtId="1" fontId="33" fillId="23" borderId="15" xfId="72" applyNumberFormat="1" applyFont="1" applyFill="1" applyBorder="1" applyAlignment="1" applyProtection="1">
      <alignment horizontal="center" vertical="center"/>
      <protection locked="0"/>
    </xf>
    <xf numFmtId="1" fontId="33" fillId="23" borderId="69" xfId="72" applyNumberFormat="1" applyFont="1" applyFill="1" applyBorder="1" applyAlignment="1" applyProtection="1">
      <alignment horizontal="center" vertical="center"/>
      <protection locked="0"/>
    </xf>
    <xf numFmtId="1" fontId="2" fillId="25" borderId="68" xfId="72" applyNumberFormat="1" applyFont="1" applyFill="1" applyBorder="1" applyAlignment="1" applyProtection="1">
      <alignment horizontal="center" vertical="center"/>
      <protection locked="0"/>
    </xf>
    <xf numFmtId="1" fontId="26" fillId="21" borderId="72" xfId="72" applyNumberFormat="1" applyFont="1" applyFill="1" applyBorder="1" applyAlignment="1" applyProtection="1">
      <alignment horizontal="center" vertical="center"/>
    </xf>
    <xf numFmtId="0" fontId="26" fillId="0" borderId="0" xfId="72" applyFont="1" applyAlignment="1" applyProtection="1">
      <alignment horizontal="left" wrapText="1" indent="1"/>
    </xf>
    <xf numFmtId="1" fontId="2" fillId="25" borderId="38" xfId="72" applyNumberFormat="1" applyFont="1" applyFill="1" applyBorder="1" applyAlignment="1" applyProtection="1">
      <alignment horizontal="center" vertical="center"/>
      <protection locked="0"/>
    </xf>
    <xf numFmtId="1" fontId="2" fillId="25" borderId="73" xfId="72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Fill="1" applyBorder="1" applyProtection="1"/>
    <xf numFmtId="0" fontId="26" fillId="0" borderId="13" xfId="72" applyFont="1" applyBorder="1" applyAlignment="1" applyProtection="1">
      <alignment horizontal="center"/>
    </xf>
    <xf numFmtId="171" fontId="33" fillId="23" borderId="46" xfId="72" applyNumberFormat="1" applyFont="1" applyFill="1" applyBorder="1" applyAlignment="1" applyProtection="1">
      <alignment horizontal="center" vertical="center"/>
      <protection locked="0"/>
    </xf>
    <xf numFmtId="171" fontId="33" fillId="23" borderId="12" xfId="72" applyNumberFormat="1" applyFont="1" applyFill="1" applyBorder="1" applyAlignment="1" applyProtection="1">
      <alignment horizontal="center" vertical="center"/>
      <protection locked="0"/>
    </xf>
    <xf numFmtId="171" fontId="33" fillId="23" borderId="61" xfId="72" applyNumberFormat="1" applyFont="1" applyFill="1" applyBorder="1" applyAlignment="1" applyProtection="1">
      <alignment horizontal="center" vertical="center"/>
      <protection locked="0"/>
    </xf>
    <xf numFmtId="9" fontId="33" fillId="23" borderId="46" xfId="1" applyFont="1" applyFill="1" applyBorder="1" applyAlignment="1" applyProtection="1">
      <alignment horizontal="center" vertical="center"/>
      <protection locked="0"/>
    </xf>
    <xf numFmtId="9" fontId="33" fillId="23" borderId="12" xfId="1" applyFont="1" applyFill="1" applyBorder="1" applyAlignment="1" applyProtection="1">
      <alignment horizontal="center" vertical="center"/>
      <protection locked="0"/>
    </xf>
    <xf numFmtId="9" fontId="33" fillId="23" borderId="61" xfId="1" applyFont="1" applyFill="1" applyBorder="1" applyAlignment="1" applyProtection="1">
      <alignment horizontal="center" vertical="center"/>
      <protection locked="0"/>
    </xf>
    <xf numFmtId="9" fontId="33" fillId="22" borderId="12" xfId="1" applyFont="1" applyFill="1" applyBorder="1" applyAlignment="1" applyProtection="1">
      <alignment horizontal="center" vertical="center"/>
      <protection locked="0"/>
    </xf>
    <xf numFmtId="9" fontId="33" fillId="22" borderId="47" xfId="1" applyFont="1" applyFill="1" applyBorder="1" applyAlignment="1" applyProtection="1">
      <alignment horizontal="center" vertical="center"/>
      <protection locked="0"/>
    </xf>
    <xf numFmtId="9" fontId="33" fillId="22" borderId="61" xfId="1" applyFont="1" applyFill="1" applyBorder="1" applyAlignment="1" applyProtection="1">
      <alignment horizontal="center" vertical="center"/>
      <protection locked="0"/>
    </xf>
    <xf numFmtId="9" fontId="33" fillId="25" borderId="12" xfId="1" applyFont="1" applyFill="1" applyBorder="1" applyAlignment="1" applyProtection="1">
      <alignment horizontal="center" vertical="center"/>
      <protection locked="0"/>
    </xf>
    <xf numFmtId="9" fontId="33" fillId="25" borderId="47" xfId="1" applyFont="1" applyFill="1" applyBorder="1" applyAlignment="1" applyProtection="1">
      <alignment horizontal="center" vertical="center"/>
      <protection locked="0"/>
    </xf>
    <xf numFmtId="9" fontId="33" fillId="25" borderId="61" xfId="1" applyFont="1" applyFill="1" applyBorder="1" applyAlignment="1" applyProtection="1">
      <alignment horizontal="center" vertical="center"/>
      <protection locked="0"/>
    </xf>
    <xf numFmtId="171" fontId="33" fillId="23" borderId="46" xfId="1" applyNumberFormat="1" applyFont="1" applyFill="1" applyBorder="1" applyAlignment="1" applyProtection="1">
      <alignment horizontal="center" vertical="center"/>
      <protection locked="0"/>
    </xf>
    <xf numFmtId="171" fontId="33" fillId="23" borderId="12" xfId="1" applyNumberFormat="1" applyFont="1" applyFill="1" applyBorder="1" applyAlignment="1" applyProtection="1">
      <alignment horizontal="center" vertical="center"/>
      <protection locked="0"/>
    </xf>
    <xf numFmtId="171" fontId="33" fillId="23" borderId="61" xfId="1" applyNumberFormat="1" applyFont="1" applyFill="1" applyBorder="1" applyAlignment="1" applyProtection="1">
      <alignment horizontal="center" vertical="center"/>
      <protection locked="0"/>
    </xf>
    <xf numFmtId="171" fontId="33" fillId="22" borderId="12" xfId="1" applyNumberFormat="1" applyFont="1" applyFill="1" applyBorder="1" applyAlignment="1" applyProtection="1">
      <alignment horizontal="center" vertical="center"/>
      <protection locked="0"/>
    </xf>
    <xf numFmtId="171" fontId="33" fillId="22" borderId="47" xfId="1" applyNumberFormat="1" applyFont="1" applyFill="1" applyBorder="1" applyAlignment="1" applyProtection="1">
      <alignment horizontal="center" vertical="center"/>
      <protection locked="0"/>
    </xf>
    <xf numFmtId="171" fontId="33" fillId="22" borderId="61" xfId="1" applyNumberFormat="1" applyFont="1" applyFill="1" applyBorder="1" applyAlignment="1" applyProtection="1">
      <alignment horizontal="center" vertical="center"/>
      <protection locked="0"/>
    </xf>
    <xf numFmtId="0" fontId="26" fillId="0" borderId="27" xfId="72" applyFont="1" applyBorder="1" applyAlignment="1" applyProtection="1">
      <alignment horizontal="left" wrapText="1" indent="2"/>
    </xf>
    <xf numFmtId="171" fontId="33" fillId="22" borderId="68" xfId="72" applyNumberFormat="1" applyFont="1" applyFill="1" applyBorder="1" applyAlignment="1" applyProtection="1">
      <alignment horizontal="center" vertical="center"/>
      <protection locked="0"/>
    </xf>
    <xf numFmtId="171" fontId="33" fillId="22" borderId="15" xfId="72" applyNumberFormat="1" applyFont="1" applyFill="1" applyBorder="1" applyAlignment="1" applyProtection="1">
      <alignment horizontal="center" vertical="center"/>
      <protection locked="0"/>
    </xf>
    <xf numFmtId="171" fontId="33" fillId="22" borderId="69" xfId="72" applyNumberFormat="1" applyFont="1" applyFill="1" applyBorder="1" applyAlignment="1" applyProtection="1">
      <alignment horizontal="center" vertical="center"/>
      <protection locked="0"/>
    </xf>
    <xf numFmtId="171" fontId="2" fillId="21" borderId="15" xfId="72" applyNumberFormat="1" applyFill="1" applyBorder="1" applyAlignment="1" applyProtection="1">
      <alignment horizontal="center" vertical="center"/>
    </xf>
    <xf numFmtId="171" fontId="2" fillId="21" borderId="70" xfId="72" applyNumberFormat="1" applyFill="1" applyBorder="1" applyAlignment="1" applyProtection="1">
      <alignment horizontal="center" vertical="center"/>
    </xf>
    <xf numFmtId="171" fontId="2" fillId="21" borderId="69" xfId="72" applyNumberFormat="1" applyFill="1" applyBorder="1" applyAlignment="1" applyProtection="1">
      <alignment horizontal="center" vertical="center"/>
    </xf>
    <xf numFmtId="0" fontId="26" fillId="0" borderId="48" xfId="72" applyFont="1" applyFill="1" applyBorder="1" applyAlignment="1" applyProtection="1">
      <alignment horizontal="left" wrapText="1" indent="2"/>
    </xf>
    <xf numFmtId="0" fontId="2" fillId="0" borderId="49" xfId="72" applyNumberFormat="1" applyFont="1" applyBorder="1" applyAlignment="1" applyProtection="1">
      <alignment horizontal="center" wrapText="1"/>
    </xf>
    <xf numFmtId="171" fontId="2" fillId="25" borderId="35" xfId="72" applyNumberFormat="1" applyFont="1" applyFill="1" applyBorder="1" applyAlignment="1" applyProtection="1">
      <alignment horizontal="center" vertical="center"/>
      <protection locked="0"/>
    </xf>
    <xf numFmtId="171" fontId="2" fillId="25" borderId="35" xfId="72" applyNumberFormat="1" applyFont="1" applyFill="1" applyBorder="1" applyAlignment="1" applyProtection="1">
      <alignment horizontal="center" vertical="center"/>
    </xf>
    <xf numFmtId="171" fontId="2" fillId="25" borderId="39" xfId="72" applyNumberFormat="1" applyFont="1" applyFill="1" applyBorder="1" applyAlignment="1" applyProtection="1">
      <alignment horizontal="center" vertical="center"/>
    </xf>
    <xf numFmtId="0" fontId="2" fillId="0" borderId="21" xfId="72" applyFill="1" applyBorder="1" applyProtection="1"/>
    <xf numFmtId="0" fontId="2" fillId="0" borderId="43" xfId="72" applyBorder="1" applyAlignment="1" applyProtection="1">
      <alignment horizontal="center"/>
    </xf>
    <xf numFmtId="0" fontId="26" fillId="0" borderId="27" xfId="72" applyFont="1" applyFill="1" applyBorder="1" applyAlignment="1" applyProtection="1">
      <alignment horizontal="center" vertical="center"/>
    </xf>
    <xf numFmtId="0" fontId="26" fillId="0" borderId="18" xfId="72" applyFont="1" applyBorder="1" applyAlignment="1" applyProtection="1">
      <alignment horizontal="center" vertical="center"/>
    </xf>
    <xf numFmtId="0" fontId="26" fillId="0" borderId="41" xfId="72" applyFont="1" applyFill="1" applyBorder="1" applyProtection="1"/>
    <xf numFmtId="0" fontId="26" fillId="0" borderId="14" xfId="72" applyFont="1" applyBorder="1" applyAlignment="1" applyProtection="1">
      <alignment horizontal="center"/>
    </xf>
    <xf numFmtId="0" fontId="2" fillId="0" borderId="0" xfId="72" applyFill="1" applyBorder="1" applyAlignment="1" applyProtection="1">
      <alignment horizontal="center"/>
    </xf>
    <xf numFmtId="0" fontId="2" fillId="0" borderId="44" xfId="72" applyFill="1" applyBorder="1" applyAlignment="1" applyProtection="1">
      <alignment horizontal="left" wrapText="1" indent="2"/>
    </xf>
    <xf numFmtId="0" fontId="26" fillId="0" borderId="44" xfId="72" applyFont="1" applyFill="1" applyBorder="1" applyAlignment="1" applyProtection="1">
      <alignment horizontal="left" wrapText="1" indent="2"/>
    </xf>
    <xf numFmtId="0" fontId="2" fillId="0" borderId="0" xfId="72" applyNumberFormat="1" applyBorder="1" applyAlignment="1" applyProtection="1">
      <alignment horizontal="center"/>
    </xf>
    <xf numFmtId="0" fontId="26" fillId="0" borderId="44" xfId="72" applyFont="1" applyBorder="1" applyAlignment="1" applyProtection="1">
      <alignment horizontal="left" wrapText="1" indent="2"/>
    </xf>
    <xf numFmtId="0" fontId="2" fillId="0" borderId="74" xfId="72" applyNumberFormat="1" applyFont="1" applyBorder="1" applyAlignment="1" applyProtection="1">
      <alignment horizontal="center" wrapText="1"/>
    </xf>
    <xf numFmtId="171" fontId="2" fillId="21" borderId="35" xfId="72" applyNumberFormat="1" applyFont="1" applyFill="1" applyBorder="1" applyAlignment="1" applyProtection="1">
      <alignment horizontal="center" vertical="center"/>
    </xf>
    <xf numFmtId="171" fontId="2" fillId="21" borderId="39" xfId="72" applyNumberFormat="1" applyFont="1" applyFill="1" applyBorder="1" applyAlignment="1" applyProtection="1">
      <alignment horizontal="center" vertical="center"/>
    </xf>
    <xf numFmtId="171" fontId="2" fillId="21" borderId="30" xfId="72" applyNumberFormat="1" applyFill="1" applyBorder="1" applyAlignment="1" applyProtection="1">
      <alignment horizontal="center" vertical="center"/>
    </xf>
    <xf numFmtId="0" fontId="2" fillId="0" borderId="41" xfId="72" applyFill="1" applyBorder="1" applyProtection="1"/>
    <xf numFmtId="0" fontId="2" fillId="0" borderId="22" xfId="72" applyBorder="1" applyAlignment="1" applyProtection="1">
      <alignment horizontal="center"/>
    </xf>
    <xf numFmtId="0" fontId="26" fillId="0" borderId="58" xfId="72" applyFont="1" applyFill="1" applyBorder="1" applyAlignment="1" applyProtection="1">
      <alignment horizontal="center" vertical="center"/>
    </xf>
    <xf numFmtId="0" fontId="26" fillId="0" borderId="19" xfId="72" applyFont="1" applyBorder="1" applyAlignment="1" applyProtection="1">
      <alignment horizontal="center" vertical="center"/>
    </xf>
    <xf numFmtId="0" fontId="26" fillId="0" borderId="44" xfId="72" applyFont="1" applyFill="1" applyBorder="1" applyProtection="1"/>
    <xf numFmtId="0" fontId="26" fillId="0" borderId="41" xfId="72" applyFont="1" applyFill="1" applyBorder="1" applyAlignment="1" applyProtection="1">
      <alignment horizontal="left" indent="1"/>
    </xf>
    <xf numFmtId="0" fontId="2" fillId="0" borderId="46" xfId="72" applyBorder="1" applyAlignment="1" applyProtection="1">
      <alignment horizontal="center" vertical="center"/>
    </xf>
    <xf numFmtId="0" fontId="2" fillId="0" borderId="47" xfId="72" applyBorder="1" applyAlignment="1" applyProtection="1">
      <alignment horizontal="center" vertical="center"/>
    </xf>
    <xf numFmtId="0" fontId="2" fillId="0" borderId="61" xfId="72" applyBorder="1" applyAlignment="1" applyProtection="1">
      <alignment horizontal="center" vertical="center"/>
    </xf>
    <xf numFmtId="0" fontId="2" fillId="0" borderId="46" xfId="72" applyFill="1" applyBorder="1" applyAlignment="1" applyProtection="1">
      <alignment horizontal="center" vertical="center"/>
    </xf>
    <xf numFmtId="0" fontId="2" fillId="0" borderId="61" xfId="72" applyFill="1" applyBorder="1" applyAlignment="1" applyProtection="1">
      <alignment horizontal="center" vertical="center"/>
    </xf>
    <xf numFmtId="0" fontId="26" fillId="0" borderId="48" xfId="72" applyFont="1" applyBorder="1" applyAlignment="1" applyProtection="1">
      <alignment horizontal="left" wrapText="1" indent="2"/>
    </xf>
    <xf numFmtId="171" fontId="2" fillId="0" borderId="0" xfId="73" applyNumberFormat="1" applyAlignment="1" applyProtection="1">
      <alignment horizontal="center" vertical="center"/>
    </xf>
    <xf numFmtId="0" fontId="2" fillId="0" borderId="0" xfId="72" applyBorder="1" applyProtection="1"/>
    <xf numFmtId="0" fontId="2" fillId="0" borderId="0" xfId="72" applyFont="1" applyBorder="1" applyProtection="1"/>
    <xf numFmtId="0" fontId="2" fillId="0" borderId="0" xfId="72" applyBorder="1" applyAlignment="1" applyProtection="1">
      <alignment horizontal="center"/>
    </xf>
    <xf numFmtId="0" fontId="36" fillId="24" borderId="0" xfId="0" applyFont="1" applyFill="1" applyBorder="1" applyAlignment="1" applyProtection="1">
      <alignment vertical="center"/>
    </xf>
    <xf numFmtId="0" fontId="2" fillId="24" borderId="0" xfId="69" applyFill="1" applyBorder="1" applyAlignment="1" applyProtection="1">
      <alignment vertical="center"/>
    </xf>
    <xf numFmtId="0" fontId="39" fillId="24" borderId="0" xfId="0" applyFont="1" applyFill="1" applyBorder="1" applyAlignment="1" applyProtection="1">
      <alignment vertical="center"/>
    </xf>
    <xf numFmtId="0" fontId="28" fillId="24" borderId="0" xfId="69" applyFont="1" applyFill="1" applyBorder="1" applyAlignment="1" applyProtection="1">
      <alignment vertical="center"/>
    </xf>
    <xf numFmtId="0" fontId="37" fillId="24" borderId="0" xfId="69" applyFont="1" applyFill="1" applyBorder="1" applyAlignment="1" applyProtection="1">
      <alignment vertical="center"/>
    </xf>
    <xf numFmtId="0" fontId="38" fillId="24" borderId="0" xfId="69" applyFont="1" applyFill="1" applyBorder="1" applyAlignment="1" applyProtection="1">
      <alignment horizontal="left" vertical="center"/>
    </xf>
    <xf numFmtId="0" fontId="40" fillId="24" borderId="0" xfId="69" applyFont="1" applyFill="1" applyBorder="1" applyAlignment="1" applyProtection="1">
      <alignment horizontal="left" vertical="center"/>
    </xf>
    <xf numFmtId="0" fontId="38" fillId="24" borderId="31" xfId="69" applyFont="1" applyFill="1" applyBorder="1" applyAlignment="1" applyProtection="1">
      <alignment vertical="center"/>
    </xf>
    <xf numFmtId="0" fontId="2" fillId="24" borderId="31" xfId="69" applyFill="1" applyBorder="1" applyAlignment="1" applyProtection="1">
      <alignment vertical="center"/>
    </xf>
    <xf numFmtId="0" fontId="40" fillId="24" borderId="31" xfId="69" applyFont="1" applyFill="1" applyBorder="1" applyAlignment="1" applyProtection="1">
      <alignment horizontal="left" vertical="center"/>
    </xf>
    <xf numFmtId="0" fontId="2" fillId="0" borderId="0" xfId="69" applyAlignment="1" applyProtection="1">
      <alignment vertical="center"/>
    </xf>
    <xf numFmtId="0" fontId="26" fillId="0" borderId="0" xfId="69" applyFont="1" applyAlignment="1" applyProtection="1">
      <alignment vertical="center"/>
    </xf>
    <xf numFmtId="0" fontId="26" fillId="0" borderId="41" xfId="69" applyFont="1" applyBorder="1" applyAlignment="1" applyProtection="1">
      <alignment vertical="center"/>
    </xf>
    <xf numFmtId="0" fontId="26" fillId="0" borderId="52" xfId="69" applyFont="1" applyBorder="1" applyAlignment="1" applyProtection="1">
      <alignment horizontal="centerContinuous" vertical="center"/>
    </xf>
    <xf numFmtId="0" fontId="26" fillId="0" borderId="53" xfId="69" applyFont="1" applyBorder="1" applyAlignment="1" applyProtection="1">
      <alignment horizontal="centerContinuous" vertical="center"/>
    </xf>
    <xf numFmtId="0" fontId="2" fillId="0" borderId="54" xfId="69" applyBorder="1" applyAlignment="1" applyProtection="1">
      <alignment horizontal="centerContinuous" vertical="center"/>
    </xf>
    <xf numFmtId="0" fontId="2" fillId="0" borderId="53" xfId="69" applyBorder="1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0" fontId="26" fillId="0" borderId="55" xfId="69" applyFont="1" applyBorder="1" applyAlignment="1" applyProtection="1">
      <alignment horizontal="centerContinuous" vertical="center"/>
    </xf>
    <xf numFmtId="0" fontId="26" fillId="0" borderId="56" xfId="69" applyFont="1" applyBorder="1" applyAlignment="1" applyProtection="1">
      <alignment horizontal="centerContinuous" vertical="center"/>
    </xf>
    <xf numFmtId="0" fontId="26" fillId="0" borderId="57" xfId="69" applyFont="1" applyBorder="1" applyAlignment="1" applyProtection="1">
      <alignment horizontal="centerContinuous" vertical="center"/>
    </xf>
    <xf numFmtId="0" fontId="26" fillId="0" borderId="0" xfId="69" applyFont="1" applyBorder="1" applyAlignment="1" applyProtection="1">
      <alignment horizontal="centerContinuous" vertical="center"/>
    </xf>
    <xf numFmtId="0" fontId="2" fillId="0" borderId="4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 wrapText="1"/>
    </xf>
    <xf numFmtId="0" fontId="26" fillId="0" borderId="61" xfId="69" applyFont="1" applyBorder="1" applyAlignment="1" applyProtection="1">
      <alignment horizontal="center" vertical="center" wrapText="1"/>
    </xf>
    <xf numFmtId="0" fontId="26" fillId="0" borderId="12" xfId="69" applyFont="1" applyBorder="1" applyAlignment="1" applyProtection="1">
      <alignment horizontal="center" vertical="center" wrapText="1"/>
    </xf>
    <xf numFmtId="0" fontId="26" fillId="0" borderId="0" xfId="69" applyFont="1" applyBorder="1" applyAlignment="1" applyProtection="1">
      <alignment horizontal="center" vertical="center" wrapText="1"/>
    </xf>
    <xf numFmtId="0" fontId="2" fillId="0" borderId="58" xfId="69" applyBorder="1" applyAlignment="1" applyProtection="1">
      <alignment vertical="center"/>
    </xf>
    <xf numFmtId="0" fontId="26" fillId="0" borderId="58" xfId="69" applyFont="1" applyFill="1" applyBorder="1" applyAlignment="1" applyProtection="1">
      <alignment horizontal="center" vertical="center"/>
    </xf>
    <xf numFmtId="0" fontId="26" fillId="0" borderId="60" xfId="69" applyFont="1" applyFill="1" applyBorder="1" applyAlignment="1" applyProtection="1">
      <alignment horizontal="center" vertical="center"/>
    </xf>
    <xf numFmtId="0" fontId="26" fillId="0" borderId="59" xfId="69" applyFont="1" applyFill="1" applyBorder="1" applyAlignment="1" applyProtection="1">
      <alignment horizontal="center" vertical="center"/>
    </xf>
    <xf numFmtId="0" fontId="26" fillId="0" borderId="20" xfId="69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26" fillId="0" borderId="0" xfId="69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/>
    </xf>
    <xf numFmtId="0" fontId="2" fillId="0" borderId="27" xfId="69" applyFill="1" applyBorder="1" applyAlignment="1" applyProtection="1">
      <alignment horizontal="center" vertical="center"/>
    </xf>
    <xf numFmtId="0" fontId="2" fillId="0" borderId="0" xfId="69" applyFill="1" applyBorder="1" applyAlignment="1" applyProtection="1">
      <alignment horizontal="center" vertical="center"/>
    </xf>
    <xf numFmtId="0" fontId="2" fillId="0" borderId="28" xfId="69" applyFill="1" applyBorder="1" applyAlignment="1" applyProtection="1">
      <alignment horizontal="center" vertical="center"/>
    </xf>
    <xf numFmtId="0" fontId="2" fillId="0" borderId="0" xfId="69" applyBorder="1" applyAlignment="1" applyProtection="1">
      <alignment horizontal="center" vertical="center"/>
    </xf>
    <xf numFmtId="0" fontId="2" fillId="0" borderId="28" xfId="69" applyBorder="1" applyAlignment="1" applyProtection="1">
      <alignment horizontal="center" vertical="center"/>
    </xf>
    <xf numFmtId="9" fontId="2" fillId="0" borderId="28" xfId="1" applyFont="1" applyBorder="1" applyAlignment="1" applyProtection="1">
      <alignment horizontal="center" vertical="center"/>
    </xf>
    <xf numFmtId="9" fontId="2" fillId="0" borderId="0" xfId="1" applyFont="1" applyFill="1" applyBorder="1" applyAlignment="1" applyProtection="1">
      <alignment horizontal="center" vertical="center"/>
    </xf>
    <xf numFmtId="0" fontId="2" fillId="0" borderId="27" xfId="69" applyFont="1" applyBorder="1" applyAlignment="1" applyProtection="1">
      <alignment horizontal="left" vertical="center" wrapText="1" indent="1"/>
    </xf>
    <xf numFmtId="171" fontId="0" fillId="0" borderId="0" xfId="0" applyNumberFormat="1" applyBorder="1" applyProtection="1"/>
    <xf numFmtId="171" fontId="2" fillId="21" borderId="46" xfId="69" applyNumberFormat="1" applyFill="1" applyBorder="1" applyAlignment="1" applyProtection="1">
      <alignment horizontal="center" vertical="center"/>
    </xf>
    <xf numFmtId="171" fontId="2" fillId="21" borderId="47" xfId="69" applyNumberFormat="1" applyFill="1" applyBorder="1" applyAlignment="1" applyProtection="1">
      <alignment horizontal="center" vertical="center"/>
    </xf>
    <xf numFmtId="171" fontId="2" fillId="21" borderId="61" xfId="69" applyNumberFormat="1" applyFill="1" applyBorder="1" applyAlignment="1" applyProtection="1">
      <alignment horizontal="center" vertical="center"/>
    </xf>
    <xf numFmtId="0" fontId="2" fillId="0" borderId="0" xfId="69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6" fillId="0" borderId="27" xfId="69" applyFont="1" applyBorder="1" applyAlignment="1" applyProtection="1">
      <alignment horizontal="left" vertical="center" wrapText="1"/>
    </xf>
    <xf numFmtId="171" fontId="0" fillId="0" borderId="0" xfId="0" applyNumberFormat="1" applyProtection="1"/>
    <xf numFmtId="171" fontId="34" fillId="0" borderId="0" xfId="0" applyNumberFormat="1" applyFont="1" applyProtection="1"/>
    <xf numFmtId="164" fontId="26" fillId="21" borderId="61" xfId="69" applyNumberFormat="1" applyFont="1" applyFill="1" applyBorder="1" applyAlignment="1" applyProtection="1">
      <alignment horizontal="center" vertical="center"/>
    </xf>
    <xf numFmtId="164" fontId="26" fillId="0" borderId="0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ont="1" applyFill="1" applyBorder="1" applyAlignment="1" applyProtection="1">
      <alignment horizontal="center" vertical="center"/>
    </xf>
    <xf numFmtId="171" fontId="2" fillId="0" borderId="0" xfId="69" applyNumberFormat="1" applyFont="1" applyFill="1" applyBorder="1" applyAlignment="1" applyProtection="1">
      <alignment horizontal="center" vertical="center"/>
    </xf>
    <xf numFmtId="171" fontId="2" fillId="0" borderId="28" xfId="69" applyNumberFormat="1" applyFont="1" applyFill="1" applyBorder="1" applyAlignment="1" applyProtection="1">
      <alignment horizontal="center" vertical="center"/>
    </xf>
    <xf numFmtId="171" fontId="2" fillId="0" borderId="27" xfId="69" applyNumberFormat="1" applyFill="1" applyBorder="1" applyAlignment="1" applyProtection="1">
      <alignment horizontal="center" vertical="center"/>
    </xf>
    <xf numFmtId="171" fontId="2" fillId="0" borderId="0" xfId="69" applyNumberFormat="1" applyBorder="1" applyAlignment="1" applyProtection="1">
      <alignment horizontal="center" vertical="center"/>
    </xf>
    <xf numFmtId="171" fontId="2" fillId="0" borderId="28" xfId="69" applyNumberFormat="1" applyBorder="1" applyAlignment="1" applyProtection="1">
      <alignment horizontal="center" vertical="center"/>
    </xf>
    <xf numFmtId="164" fontId="2" fillId="0" borderId="28" xfId="1" applyNumberFormat="1" applyFont="1" applyBorder="1" applyAlignment="1" applyProtection="1">
      <alignment horizontal="center" vertical="center"/>
    </xf>
    <xf numFmtId="0" fontId="26" fillId="0" borderId="30" xfId="69" applyFont="1" applyBorder="1" applyAlignment="1" applyProtection="1">
      <alignment horizontal="left" vertical="center" wrapText="1"/>
    </xf>
    <xf numFmtId="171" fontId="2" fillId="21" borderId="36" xfId="69" applyNumberFormat="1" applyFill="1" applyBorder="1" applyAlignment="1" applyProtection="1">
      <alignment horizontal="center" vertical="center"/>
    </xf>
    <xf numFmtId="171" fontId="2" fillId="21" borderId="35" xfId="69" applyNumberFormat="1" applyFill="1" applyBorder="1" applyAlignment="1" applyProtection="1">
      <alignment horizontal="center" vertical="center"/>
    </xf>
    <xf numFmtId="171" fontId="2" fillId="21" borderId="39" xfId="69" applyNumberFormat="1" applyFill="1" applyBorder="1" applyAlignment="1" applyProtection="1">
      <alignment horizontal="center" vertical="center"/>
    </xf>
    <xf numFmtId="0" fontId="2" fillId="0" borderId="0" xfId="69" applyFill="1" applyAlignment="1" applyProtection="1">
      <alignment vertical="center"/>
    </xf>
    <xf numFmtId="0" fontId="2" fillId="0" borderId="0" xfId="69" applyFont="1" applyAlignment="1" applyProtection="1">
      <alignment vertical="center"/>
    </xf>
    <xf numFmtId="0" fontId="26" fillId="0" borderId="54" xfId="69" applyFont="1" applyBorder="1" applyAlignment="1" applyProtection="1">
      <alignment horizontal="centerContinuous" vertical="center"/>
    </xf>
    <xf numFmtId="0" fontId="26" fillId="0" borderId="55" xfId="69" applyFont="1" applyBorder="1" applyAlignment="1" applyProtection="1">
      <alignment horizontal="centerContinuous" vertical="center" wrapText="1"/>
    </xf>
    <xf numFmtId="0" fontId="26" fillId="0" borderId="57" xfId="69" applyFont="1" applyBorder="1" applyAlignment="1" applyProtection="1">
      <alignment horizontal="centerContinuous" vertical="center" wrapText="1"/>
    </xf>
    <xf numFmtId="0" fontId="26" fillId="0" borderId="46" xfId="74" applyFont="1" applyFill="1" applyBorder="1" applyAlignment="1" applyProtection="1">
      <alignment horizontal="center" vertical="center"/>
    </xf>
    <xf numFmtId="0" fontId="26" fillId="0" borderId="47" xfId="75" applyFont="1" applyFill="1" applyBorder="1" applyAlignment="1" applyProtection="1">
      <alignment horizontal="center" vertical="center"/>
    </xf>
    <xf numFmtId="0" fontId="26" fillId="0" borderId="61" xfId="75" applyFont="1" applyBorder="1" applyAlignment="1" applyProtection="1">
      <alignment horizontal="center" vertical="center"/>
    </xf>
    <xf numFmtId="0" fontId="26" fillId="0" borderId="46" xfId="75" applyFont="1" applyBorder="1" applyAlignment="1" applyProtection="1">
      <alignment horizontal="center" vertical="center"/>
    </xf>
    <xf numFmtId="0" fontId="2" fillId="26" borderId="75" xfId="75" applyFont="1" applyFill="1" applyBorder="1" applyAlignment="1" applyProtection="1">
      <alignment horizontal="left" vertical="center"/>
    </xf>
    <xf numFmtId="171" fontId="33" fillId="22" borderId="46" xfId="75" applyNumberFormat="1" applyFont="1" applyFill="1" applyBorder="1" applyAlignment="1" applyProtection="1">
      <alignment horizontal="center" vertical="center"/>
      <protection locked="0"/>
    </xf>
    <xf numFmtId="171" fontId="33" fillId="22" borderId="47" xfId="75" applyNumberFormat="1" applyFont="1" applyFill="1" applyBorder="1" applyAlignment="1" applyProtection="1">
      <alignment horizontal="center" vertical="center"/>
      <protection locked="0"/>
    </xf>
    <xf numFmtId="171" fontId="33" fillId="22" borderId="61" xfId="75" applyNumberFormat="1" applyFont="1" applyFill="1" applyBorder="1" applyAlignment="1" applyProtection="1">
      <alignment horizontal="center" vertical="center"/>
      <protection locked="0"/>
    </xf>
    <xf numFmtId="171" fontId="2" fillId="21" borderId="46" xfId="75" applyNumberFormat="1" applyFont="1" applyFill="1" applyBorder="1" applyAlignment="1" applyProtection="1">
      <alignment horizontal="center" vertical="center"/>
    </xf>
    <xf numFmtId="171" fontId="2" fillId="21" borderId="61" xfId="75" applyNumberFormat="1" applyFont="1" applyFill="1" applyBorder="1" applyAlignment="1" applyProtection="1">
      <alignment horizontal="center" vertical="center"/>
    </xf>
    <xf numFmtId="0" fontId="2" fillId="0" borderId="38" xfId="75" applyFont="1" applyFill="1" applyBorder="1" applyAlignment="1" applyProtection="1">
      <alignment horizontal="left" vertical="center"/>
    </xf>
    <xf numFmtId="0" fontId="2" fillId="0" borderId="76" xfId="75" applyFont="1" applyFill="1" applyBorder="1" applyAlignment="1" applyProtection="1">
      <alignment horizontal="left" vertical="center" wrapText="1"/>
    </xf>
    <xf numFmtId="10" fontId="2" fillId="0" borderId="36" xfId="75" applyNumberFormat="1" applyFont="1" applyFill="1" applyBorder="1" applyAlignment="1" applyProtection="1">
      <alignment horizontal="center" vertical="center"/>
    </xf>
    <xf numFmtId="10" fontId="2" fillId="0" borderId="35" xfId="75" applyNumberFormat="1" applyFont="1" applyFill="1" applyBorder="1" applyAlignment="1" applyProtection="1">
      <alignment horizontal="center" vertical="center"/>
    </xf>
    <xf numFmtId="10" fontId="2" fillId="0" borderId="39" xfId="75" applyNumberFormat="1" applyFont="1" applyFill="1" applyBorder="1" applyAlignment="1" applyProtection="1">
      <alignment horizontal="center" vertical="center"/>
    </xf>
    <xf numFmtId="1" fontId="2" fillId="21" borderId="36" xfId="75" applyNumberFormat="1" applyFont="1" applyFill="1" applyBorder="1" applyAlignment="1" applyProtection="1">
      <alignment horizontal="center" vertical="center"/>
    </xf>
    <xf numFmtId="1" fontId="2" fillId="21" borderId="39" xfId="75" applyNumberFormat="1" applyFont="1" applyFill="1" applyBorder="1" applyAlignment="1" applyProtection="1">
      <alignment horizontal="center" vertical="center"/>
    </xf>
    <xf numFmtId="0" fontId="2" fillId="0" borderId="0" xfId="75" applyFont="1" applyFill="1" applyBorder="1" applyAlignment="1" applyProtection="1">
      <alignment horizontal="left" vertical="center"/>
    </xf>
    <xf numFmtId="0" fontId="2" fillId="0" borderId="0" xfId="76" applyFont="1" applyAlignment="1" applyProtection="1">
      <alignment vertical="center"/>
    </xf>
    <xf numFmtId="0" fontId="2" fillId="0" borderId="38" xfId="75" applyFont="1" applyFill="1" applyBorder="1" applyAlignment="1" applyProtection="1">
      <alignment horizontal="left" vertical="center" wrapText="1"/>
    </xf>
    <xf numFmtId="164" fontId="2" fillId="0" borderId="46" xfId="77" applyNumberFormat="1" applyFont="1" applyFill="1" applyBorder="1" applyAlignment="1" applyProtection="1">
      <alignment horizontal="center" vertical="center"/>
    </xf>
    <xf numFmtId="164" fontId="2" fillId="0" borderId="47" xfId="77" applyNumberFormat="1" applyFont="1" applyFill="1" applyBorder="1" applyAlignment="1" applyProtection="1">
      <alignment horizontal="center" vertical="center"/>
    </xf>
    <xf numFmtId="164" fontId="2" fillId="0" borderId="61" xfId="77" applyNumberFormat="1" applyFont="1" applyFill="1" applyBorder="1" applyAlignment="1" applyProtection="1">
      <alignment horizontal="center" vertical="center"/>
    </xf>
    <xf numFmtId="9" fontId="2" fillId="21" borderId="46" xfId="1" applyFont="1" applyFill="1" applyBorder="1" applyAlignment="1" applyProtection="1">
      <alignment horizontal="center" vertical="center"/>
    </xf>
    <xf numFmtId="9" fontId="2" fillId="21" borderId="61" xfId="1" applyFont="1" applyFill="1" applyBorder="1" applyAlignment="1" applyProtection="1">
      <alignment horizontal="center" vertical="center"/>
    </xf>
    <xf numFmtId="0" fontId="2" fillId="0" borderId="76" xfId="75" applyFont="1" applyBorder="1" applyAlignment="1" applyProtection="1">
      <alignment horizontal="left" vertical="center" wrapText="1"/>
    </xf>
    <xf numFmtId="171" fontId="33" fillId="22" borderId="36" xfId="75" applyNumberFormat="1" applyFont="1" applyFill="1" applyBorder="1" applyAlignment="1" applyProtection="1">
      <alignment horizontal="center" vertical="center"/>
      <protection locked="0"/>
    </xf>
    <xf numFmtId="171" fontId="33" fillId="22" borderId="35" xfId="75" applyNumberFormat="1" applyFont="1" applyFill="1" applyBorder="1" applyAlignment="1" applyProtection="1">
      <alignment horizontal="center" vertical="center"/>
      <protection locked="0"/>
    </xf>
    <xf numFmtId="171" fontId="42" fillId="22" borderId="39" xfId="75" applyNumberFormat="1" applyFont="1" applyFill="1" applyBorder="1" applyAlignment="1" applyProtection="1">
      <alignment horizontal="center" vertical="center"/>
      <protection locked="0"/>
    </xf>
    <xf numFmtId="171" fontId="2" fillId="21" borderId="36" xfId="75" applyNumberFormat="1" applyFont="1" applyFill="1" applyBorder="1" applyAlignment="1" applyProtection="1">
      <alignment horizontal="center" vertical="center"/>
    </xf>
    <xf numFmtId="171" fontId="2" fillId="21" borderId="39" xfId="75" applyNumberFormat="1" applyFont="1" applyFill="1" applyBorder="1" applyAlignment="1" applyProtection="1">
      <alignment horizontal="center" vertical="center"/>
    </xf>
    <xf numFmtId="0" fontId="2" fillId="0" borderId="21" xfId="69" applyBorder="1" applyAlignment="1" applyProtection="1">
      <alignment vertical="center"/>
    </xf>
    <xf numFmtId="0" fontId="26" fillId="0" borderId="78" xfId="69" applyFont="1" applyBorder="1" applyAlignment="1" applyProtection="1">
      <alignment horizontal="center" vertical="center" wrapText="1"/>
    </xf>
    <xf numFmtId="0" fontId="2" fillId="0" borderId="27" xfId="69" applyBorder="1" applyAlignment="1" applyProtection="1">
      <alignment vertical="center"/>
    </xf>
    <xf numFmtId="0" fontId="26" fillId="0" borderId="55" xfId="69" applyFont="1" applyBorder="1" applyAlignment="1" applyProtection="1">
      <alignment horizontal="center" vertical="center" wrapText="1"/>
    </xf>
    <xf numFmtId="0" fontId="26" fillId="0" borderId="56" xfId="69" applyFont="1" applyBorder="1" applyAlignment="1" applyProtection="1">
      <alignment horizontal="center" vertical="center" wrapText="1"/>
    </xf>
    <xf numFmtId="0" fontId="26" fillId="0" borderId="57" xfId="69" applyFont="1" applyBorder="1" applyAlignment="1" applyProtection="1">
      <alignment horizontal="center" vertical="center" wrapText="1"/>
    </xf>
    <xf numFmtId="0" fontId="26" fillId="0" borderId="60" xfId="69" applyFont="1" applyBorder="1" applyAlignment="1" applyProtection="1">
      <alignment horizontal="center" vertical="center" wrapText="1"/>
    </xf>
    <xf numFmtId="0" fontId="26" fillId="0" borderId="75" xfId="69" applyFont="1" applyFill="1" applyBorder="1" applyAlignment="1" applyProtection="1">
      <alignment horizontal="center" vertical="center" wrapText="1"/>
    </xf>
    <xf numFmtId="0" fontId="2" fillId="0" borderId="64" xfId="69" applyBorder="1" applyAlignment="1" applyProtection="1">
      <alignment vertical="center"/>
    </xf>
    <xf numFmtId="0" fontId="26" fillId="0" borderId="46" xfId="69" applyFont="1" applyBorder="1" applyAlignment="1" applyProtection="1">
      <alignment horizontal="center" vertical="center"/>
    </xf>
    <xf numFmtId="0" fontId="26" fillId="0" borderId="47" xfId="69" applyNumberFormat="1" applyFont="1" applyFill="1" applyBorder="1" applyAlignment="1" applyProtection="1">
      <alignment horizontal="center" vertical="center" wrapText="1"/>
    </xf>
    <xf numFmtId="0" fontId="26" fillId="0" borderId="47" xfId="69" applyFont="1" applyBorder="1" applyAlignment="1" applyProtection="1">
      <alignment horizontal="center" vertical="center"/>
    </xf>
    <xf numFmtId="0" fontId="26" fillId="0" borderId="10" xfId="69" applyFont="1" applyBorder="1" applyAlignment="1" applyProtection="1">
      <alignment horizontal="center" vertical="center"/>
    </xf>
    <xf numFmtId="0" fontId="26" fillId="0" borderId="61" xfId="69" applyFont="1" applyBorder="1" applyAlignment="1" applyProtection="1">
      <alignment horizontal="center" vertical="center"/>
    </xf>
    <xf numFmtId="0" fontId="26" fillId="0" borderId="68" xfId="69" applyFont="1" applyFill="1" applyBorder="1" applyAlignment="1" applyProtection="1">
      <alignment horizontal="center" vertical="center" wrapText="1"/>
    </xf>
    <xf numFmtId="0" fontId="26" fillId="0" borderId="70" xfId="69" applyFont="1" applyFill="1" applyBorder="1" applyAlignment="1" applyProtection="1">
      <alignment horizontal="center" vertical="center" wrapText="1"/>
    </xf>
    <xf numFmtId="0" fontId="26" fillId="0" borderId="13" xfId="69" applyFont="1" applyFill="1" applyBorder="1" applyAlignment="1" applyProtection="1">
      <alignment horizontal="center" vertical="center" wrapText="1"/>
    </xf>
    <xf numFmtId="0" fontId="26" fillId="0" borderId="10" xfId="69" applyFont="1" applyFill="1" applyBorder="1" applyAlignment="1" applyProtection="1">
      <alignment horizontal="center" vertical="center"/>
    </xf>
    <xf numFmtId="0" fontId="29" fillId="0" borderId="70" xfId="75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/>
    </xf>
    <xf numFmtId="0" fontId="26" fillId="0" borderId="38" xfId="69" applyFont="1" applyFill="1" applyBorder="1" applyAlignment="1" applyProtection="1">
      <alignment horizontal="center" vertical="center" wrapText="1"/>
    </xf>
    <xf numFmtId="0" fontId="2" fillId="0" borderId="0" xfId="69" applyAlignment="1" applyProtection="1">
      <alignment vertical="center"/>
      <protection locked="0"/>
    </xf>
    <xf numFmtId="0" fontId="2" fillId="0" borderId="66" xfId="69" applyBorder="1" applyAlignment="1" applyProtection="1">
      <alignment vertical="center"/>
      <protection locked="0"/>
    </xf>
    <xf numFmtId="0" fontId="33" fillId="22" borderId="47" xfId="69" applyFont="1" applyFill="1" applyBorder="1" applyAlignment="1" applyProtection="1">
      <alignment horizontal="left" vertical="center"/>
      <protection locked="0"/>
    </xf>
    <xf numFmtId="0" fontId="33" fillId="22" borderId="47" xfId="69" applyFont="1" applyFill="1" applyBorder="1" applyAlignment="1" applyProtection="1">
      <alignment horizontal="center" vertical="center"/>
      <protection locked="0"/>
    </xf>
    <xf numFmtId="0" fontId="33" fillId="22" borderId="10" xfId="69" applyFont="1" applyFill="1" applyBorder="1" applyAlignment="1" applyProtection="1">
      <alignment horizontal="center" vertical="center"/>
      <protection locked="0"/>
    </xf>
    <xf numFmtId="170" fontId="33" fillId="22" borderId="46" xfId="69" applyNumberFormat="1" applyFont="1" applyFill="1" applyBorder="1" applyAlignment="1" applyProtection="1">
      <alignment horizontal="center" vertical="center"/>
      <protection locked="0"/>
    </xf>
    <xf numFmtId="171" fontId="2" fillId="21" borderId="61" xfId="69" applyNumberFormat="1" applyFont="1" applyFill="1" applyBorder="1" applyAlignment="1" applyProtection="1">
      <alignment horizontal="center" vertical="center"/>
      <protection locked="0"/>
    </xf>
    <xf numFmtId="170" fontId="33" fillId="22" borderId="12" xfId="69" applyNumberFormat="1" applyFont="1" applyFill="1" applyBorder="1" applyAlignment="1" applyProtection="1">
      <alignment horizontal="center" vertical="center"/>
      <protection locked="0"/>
    </xf>
    <xf numFmtId="170" fontId="33" fillId="22" borderId="61" xfId="69" applyNumberFormat="1" applyFont="1" applyFill="1" applyBorder="1" applyAlignment="1" applyProtection="1">
      <alignment horizontal="center" vertical="center"/>
      <protection locked="0"/>
    </xf>
    <xf numFmtId="170" fontId="33" fillId="22" borderId="47" xfId="69" applyNumberFormat="1" applyFont="1" applyFill="1" applyBorder="1" applyAlignment="1" applyProtection="1">
      <alignment horizontal="center" vertical="center"/>
      <protection locked="0"/>
    </xf>
    <xf numFmtId="170" fontId="33" fillId="22" borderId="55" xfId="69" applyNumberFormat="1" applyFont="1" applyFill="1" applyBorder="1" applyAlignment="1" applyProtection="1">
      <alignment horizontal="center" vertical="center"/>
      <protection locked="0"/>
    </xf>
    <xf numFmtId="170" fontId="33" fillId="22" borderId="56" xfId="69" applyNumberFormat="1" applyFont="1" applyFill="1" applyBorder="1" applyAlignment="1" applyProtection="1">
      <alignment horizontal="center" vertical="center"/>
      <protection locked="0"/>
    </xf>
    <xf numFmtId="170" fontId="33" fillId="22" borderId="57" xfId="69" applyNumberFormat="1" applyFont="1" applyFill="1" applyBorder="1" applyAlignment="1" applyProtection="1">
      <alignment horizontal="center" vertical="center"/>
      <protection locked="0"/>
    </xf>
    <xf numFmtId="170" fontId="33" fillId="22" borderId="11" xfId="69" applyNumberFormat="1" applyFont="1" applyFill="1" applyBorder="1" applyAlignment="1" applyProtection="1">
      <alignment horizontal="center" vertical="center"/>
      <protection locked="0"/>
    </xf>
    <xf numFmtId="170" fontId="33" fillId="22" borderId="38" xfId="69" applyNumberFormat="1" applyFont="1" applyFill="1" applyBorder="1" applyAlignment="1" applyProtection="1">
      <alignment horizontal="center" vertical="center"/>
      <protection locked="0"/>
    </xf>
    <xf numFmtId="0" fontId="33" fillId="22" borderId="71" xfId="69" applyNumberFormat="1" applyFont="1" applyFill="1" applyBorder="1" applyAlignment="1" applyProtection="1">
      <alignment horizontal="left" vertical="center"/>
      <protection locked="0"/>
    </xf>
    <xf numFmtId="0" fontId="2" fillId="0" borderId="27" xfId="69" applyBorder="1" applyAlignment="1" applyProtection="1">
      <alignment vertical="center"/>
      <protection locked="0"/>
    </xf>
    <xf numFmtId="0" fontId="33" fillId="22" borderId="70" xfId="69" applyFont="1" applyFill="1" applyBorder="1" applyAlignment="1" applyProtection="1">
      <alignment horizontal="left" vertical="center"/>
      <protection locked="0"/>
    </xf>
    <xf numFmtId="0" fontId="33" fillId="22" borderId="70" xfId="69" applyFont="1" applyFill="1" applyBorder="1" applyAlignment="1" applyProtection="1">
      <alignment horizontal="center" vertical="center"/>
      <protection locked="0"/>
    </xf>
    <xf numFmtId="0" fontId="33" fillId="22" borderId="13" xfId="69" applyFont="1" applyFill="1" applyBorder="1" applyAlignment="1" applyProtection="1">
      <alignment horizontal="center" vertical="center"/>
      <protection locked="0"/>
    </xf>
    <xf numFmtId="170" fontId="33" fillId="22" borderId="68" xfId="69" applyNumberFormat="1" applyFont="1" applyFill="1" applyBorder="1" applyAlignment="1" applyProtection="1">
      <alignment horizontal="center" vertical="center"/>
      <protection locked="0"/>
    </xf>
    <xf numFmtId="171" fontId="2" fillId="21" borderId="69" xfId="69" applyNumberFormat="1" applyFont="1" applyFill="1" applyBorder="1" applyAlignment="1" applyProtection="1">
      <alignment horizontal="center" vertical="center"/>
      <protection locked="0"/>
    </xf>
    <xf numFmtId="170" fontId="33" fillId="22" borderId="15" xfId="69" applyNumberFormat="1" applyFont="1" applyFill="1" applyBorder="1" applyAlignment="1" applyProtection="1">
      <alignment horizontal="center" vertical="center"/>
      <protection locked="0"/>
    </xf>
    <xf numFmtId="170" fontId="33" fillId="22" borderId="69" xfId="69" applyNumberFormat="1" applyFont="1" applyFill="1" applyBorder="1" applyAlignment="1" applyProtection="1">
      <alignment horizontal="center" vertical="center"/>
      <protection locked="0"/>
    </xf>
    <xf numFmtId="170" fontId="33" fillId="22" borderId="70" xfId="69" applyNumberFormat="1" applyFont="1" applyFill="1" applyBorder="1" applyAlignment="1" applyProtection="1">
      <alignment horizontal="center" vertical="center"/>
      <protection locked="0"/>
    </xf>
    <xf numFmtId="0" fontId="33" fillId="22" borderId="66" xfId="69" applyNumberFormat="1" applyFont="1" applyFill="1" applyBorder="1" applyAlignment="1" applyProtection="1">
      <alignment horizontal="left" vertical="center"/>
      <protection locked="0"/>
    </xf>
    <xf numFmtId="170" fontId="33" fillId="22" borderId="36" xfId="69" applyNumberFormat="1" applyFont="1" applyFill="1" applyBorder="1" applyAlignment="1" applyProtection="1">
      <alignment horizontal="center" vertical="center"/>
      <protection locked="0"/>
    </xf>
    <xf numFmtId="170" fontId="33" fillId="22" borderId="35" xfId="69" applyNumberFormat="1" applyFont="1" applyFill="1" applyBorder="1" applyAlignment="1" applyProtection="1">
      <alignment horizontal="center" vertical="center"/>
      <protection locked="0"/>
    </xf>
    <xf numFmtId="170" fontId="33" fillId="22" borderId="39" xfId="69" applyNumberFormat="1" applyFont="1" applyFill="1" applyBorder="1" applyAlignment="1" applyProtection="1">
      <alignment horizontal="center" vertical="center"/>
      <protection locked="0"/>
    </xf>
    <xf numFmtId="0" fontId="2" fillId="21" borderId="79" xfId="69" applyFill="1" applyBorder="1" applyAlignment="1" applyProtection="1">
      <alignment vertical="center"/>
      <protection locked="0"/>
    </xf>
    <xf numFmtId="0" fontId="2" fillId="21" borderId="79" xfId="69" applyFill="1" applyBorder="1" applyAlignment="1" applyProtection="1">
      <alignment horizontal="center" vertical="center"/>
      <protection locked="0"/>
    </xf>
    <xf numFmtId="0" fontId="2" fillId="23" borderId="35" xfId="69" applyFill="1" applyBorder="1" applyAlignment="1" applyProtection="1">
      <alignment horizontal="center" vertical="center"/>
      <protection locked="0"/>
    </xf>
    <xf numFmtId="1" fontId="2" fillId="21" borderId="35" xfId="69" applyNumberFormat="1" applyFill="1" applyBorder="1" applyAlignment="1" applyProtection="1">
      <alignment horizontal="center" vertical="center"/>
      <protection locked="0"/>
    </xf>
    <xf numFmtId="171" fontId="2" fillId="21" borderId="35" xfId="69" applyNumberFormat="1" applyFill="1" applyBorder="1" applyAlignment="1" applyProtection="1">
      <alignment horizontal="center" vertical="center"/>
      <protection locked="0"/>
    </xf>
    <xf numFmtId="171" fontId="2" fillId="21" borderId="39" xfId="69" applyNumberFormat="1" applyFill="1" applyBorder="1" applyAlignment="1" applyProtection="1">
      <alignment horizontal="center" vertical="center"/>
      <protection locked="0"/>
    </xf>
    <xf numFmtId="2" fontId="2" fillId="21" borderId="34" xfId="69" applyNumberFormat="1" applyFill="1" applyBorder="1" applyAlignment="1" applyProtection="1">
      <alignment horizontal="center" vertical="center"/>
      <protection locked="0"/>
    </xf>
    <xf numFmtId="2" fontId="2" fillId="21" borderId="35" xfId="69" applyNumberFormat="1" applyFill="1" applyBorder="1" applyAlignment="1" applyProtection="1">
      <alignment horizontal="center" vertical="center"/>
      <protection locked="0"/>
    </xf>
    <xf numFmtId="2" fontId="2" fillId="21" borderId="72" xfId="69" applyNumberFormat="1" applyFill="1" applyBorder="1" applyAlignment="1" applyProtection="1">
      <alignment horizontal="center" vertical="center"/>
      <protection locked="0"/>
    </xf>
    <xf numFmtId="2" fontId="2" fillId="21" borderId="79" xfId="69" applyNumberFormat="1" applyFill="1" applyBorder="1" applyAlignment="1" applyProtection="1">
      <alignment horizontal="center" vertical="center"/>
      <protection locked="0"/>
    </xf>
    <xf numFmtId="2" fontId="0" fillId="21" borderId="35" xfId="0" applyNumberFormat="1" applyFill="1" applyBorder="1" applyAlignment="1" applyProtection="1">
      <alignment horizontal="center" vertical="center"/>
      <protection locked="0"/>
    </xf>
    <xf numFmtId="2" fontId="2" fillId="21" borderId="32" xfId="69" applyNumberFormat="1" applyFill="1" applyBorder="1" applyAlignment="1" applyProtection="1">
      <alignment horizontal="center" vertical="center"/>
      <protection locked="0"/>
    </xf>
    <xf numFmtId="2" fontId="2" fillId="23" borderId="80" xfId="69" applyNumberFormat="1" applyFill="1" applyBorder="1" applyAlignment="1" applyProtection="1">
      <alignment horizontal="center" vertical="center"/>
      <protection locked="0"/>
    </xf>
    <xf numFmtId="2" fontId="2" fillId="23" borderId="76" xfId="69" applyNumberFormat="1" applyFill="1" applyBorder="1" applyAlignment="1" applyProtection="1">
      <alignment horizontal="center" vertical="center"/>
      <protection locked="0"/>
    </xf>
    <xf numFmtId="0" fontId="2" fillId="23" borderId="76" xfId="69" applyFill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2" fillId="0" borderId="55" xfId="76" applyFont="1" applyBorder="1" applyAlignment="1" applyProtection="1">
      <alignment horizontal="centerContinuous" vertical="center"/>
    </xf>
    <xf numFmtId="0" fontId="2" fillId="0" borderId="56" xfId="76" applyFont="1" applyBorder="1" applyAlignment="1" applyProtection="1">
      <alignment horizontal="centerContinuous" vertical="center"/>
    </xf>
    <xf numFmtId="0" fontId="2" fillId="0" borderId="57" xfId="76" applyFont="1" applyBorder="1" applyAlignment="1" applyProtection="1">
      <alignment horizontal="centerContinuous" vertical="center"/>
    </xf>
    <xf numFmtId="0" fontId="2" fillId="0" borderId="46" xfId="76" applyFont="1" applyBorder="1" applyAlignment="1" applyProtection="1">
      <alignment horizontal="center" vertical="center"/>
    </xf>
    <xf numFmtId="0" fontId="2" fillId="0" borderId="47" xfId="76" applyFont="1" applyBorder="1" applyAlignment="1" applyProtection="1">
      <alignment horizontal="center" vertical="center"/>
    </xf>
    <xf numFmtId="0" fontId="2" fillId="0" borderId="61" xfId="76" applyFont="1" applyBorder="1" applyAlignment="1" applyProtection="1">
      <alignment horizontal="center" vertical="center"/>
    </xf>
    <xf numFmtId="1" fontId="33" fillId="22" borderId="58" xfId="76" applyNumberFormat="1" applyFont="1" applyFill="1" applyBorder="1" applyAlignment="1" applyProtection="1">
      <alignment horizontal="center"/>
      <protection locked="0"/>
    </xf>
    <xf numFmtId="1" fontId="33" fillId="22" borderId="20" xfId="76" applyNumberFormat="1" applyFont="1" applyFill="1" applyBorder="1" applyAlignment="1" applyProtection="1">
      <alignment horizontal="center"/>
      <protection locked="0"/>
    </xf>
    <xf numFmtId="1" fontId="33" fillId="22" borderId="59" xfId="76" applyNumberFormat="1" applyFont="1" applyFill="1" applyBorder="1" applyAlignment="1" applyProtection="1">
      <alignment horizontal="center"/>
      <protection locked="0"/>
    </xf>
    <xf numFmtId="1" fontId="33" fillId="22" borderId="46" xfId="76" applyNumberFormat="1" applyFont="1" applyFill="1" applyBorder="1" applyAlignment="1" applyProtection="1">
      <alignment horizontal="center"/>
      <protection locked="0"/>
    </xf>
    <xf numFmtId="1" fontId="33" fillId="22" borderId="12" xfId="76" applyNumberFormat="1" applyFont="1" applyFill="1" applyBorder="1" applyAlignment="1" applyProtection="1">
      <alignment horizontal="center"/>
      <protection locked="0"/>
    </xf>
    <xf numFmtId="1" fontId="33" fillId="22" borderId="40" xfId="76" applyNumberFormat="1" applyFont="1" applyFill="1" applyBorder="1" applyAlignment="1" applyProtection="1">
      <alignment horizontal="center"/>
      <protection locked="0"/>
    </xf>
    <xf numFmtId="1" fontId="33" fillId="22" borderId="36" xfId="76" applyNumberFormat="1" applyFont="1" applyFill="1" applyBorder="1" applyAlignment="1" applyProtection="1">
      <alignment horizontal="center"/>
      <protection locked="0"/>
    </xf>
    <xf numFmtId="1" fontId="33" fillId="22" borderId="35" xfId="76" applyNumberFormat="1" applyFont="1" applyFill="1" applyBorder="1" applyAlignment="1" applyProtection="1">
      <alignment horizontal="center"/>
      <protection locked="0"/>
    </xf>
    <xf numFmtId="1" fontId="33" fillId="22" borderId="39" xfId="76" applyNumberFormat="1" applyFont="1" applyFill="1" applyBorder="1" applyAlignment="1" applyProtection="1">
      <alignment horizontal="center"/>
      <protection locked="0"/>
    </xf>
    <xf numFmtId="0" fontId="2" fillId="0" borderId="81" xfId="76" applyFont="1" applyBorder="1" applyAlignment="1" applyProtection="1">
      <alignment horizontal="centerContinuous" vertical="center"/>
    </xf>
    <xf numFmtId="0" fontId="2" fillId="0" borderId="12" xfId="76" applyFont="1" applyBorder="1" applyAlignment="1" applyProtection="1">
      <alignment horizontal="center" vertical="center"/>
    </xf>
    <xf numFmtId="1" fontId="33" fillId="22" borderId="61" xfId="76" applyNumberFormat="1" applyFont="1" applyFill="1" applyBorder="1" applyAlignment="1" applyProtection="1">
      <alignment horizontal="center"/>
      <protection locked="0"/>
    </xf>
    <xf numFmtId="1" fontId="33" fillId="22" borderId="34" xfId="76" applyNumberFormat="1" applyFont="1" applyFill="1" applyBorder="1" applyAlignment="1" applyProtection="1">
      <alignment horizontal="center"/>
      <protection locked="0"/>
    </xf>
    <xf numFmtId="0" fontId="2" fillId="0" borderId="54" xfId="69" applyFont="1" applyBorder="1" applyAlignment="1" applyProtection="1">
      <alignment horizontal="centerContinuous" vertical="center"/>
    </xf>
    <xf numFmtId="0" fontId="2" fillId="0" borderId="53" xfId="69" applyFont="1" applyBorder="1" applyAlignment="1" applyProtection="1">
      <alignment horizontal="centerContinuous" vertical="center"/>
    </xf>
    <xf numFmtId="0" fontId="43" fillId="0" borderId="0" xfId="0" applyFont="1" applyAlignment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2" fillId="0" borderId="27" xfId="69" applyFont="1" applyFill="1" applyBorder="1" applyAlignment="1" applyProtection="1">
      <alignment horizontal="center" vertical="center"/>
    </xf>
    <xf numFmtId="0" fontId="2" fillId="0" borderId="0" xfId="69" applyFont="1" applyFill="1" applyBorder="1" applyAlignment="1" applyProtection="1">
      <alignment horizontal="center" vertical="center"/>
    </xf>
    <xf numFmtId="0" fontId="2" fillId="0" borderId="28" xfId="69" applyFont="1" applyFill="1" applyBorder="1" applyAlignment="1" applyProtection="1">
      <alignment horizontal="center" vertical="center"/>
    </xf>
    <xf numFmtId="0" fontId="43" fillId="0" borderId="0" xfId="0" applyFont="1" applyProtection="1"/>
    <xf numFmtId="0" fontId="26" fillId="0" borderId="30" xfId="69" applyFont="1" applyBorder="1" applyAlignment="1" applyProtection="1">
      <alignment horizontal="left" vertical="center"/>
    </xf>
    <xf numFmtId="0" fontId="44" fillId="0" borderId="0" xfId="0" applyFont="1" applyProtection="1"/>
    <xf numFmtId="0" fontId="45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vertical="center"/>
    </xf>
    <xf numFmtId="0" fontId="26" fillId="0" borderId="0" xfId="75" applyFont="1" applyFill="1" applyBorder="1" applyAlignment="1" applyProtection="1">
      <alignment horizontal="left" vertical="center"/>
    </xf>
    <xf numFmtId="0" fontId="2" fillId="0" borderId="0" xfId="78" applyFont="1" applyAlignment="1" applyProtection="1">
      <alignment vertical="center"/>
    </xf>
    <xf numFmtId="1" fontId="2" fillId="0" borderId="0" xfId="76" applyNumberFormat="1" applyFont="1" applyAlignment="1" applyProtection="1">
      <alignment vertical="center"/>
    </xf>
    <xf numFmtId="1" fontId="26" fillId="0" borderId="52" xfId="76" applyNumberFormat="1" applyFont="1" applyBorder="1" applyAlignment="1" applyProtection="1">
      <alignment horizontal="centerContinuous" vertical="center"/>
    </xf>
    <xf numFmtId="1" fontId="26" fillId="0" borderId="53" xfId="76" applyNumberFormat="1" applyFont="1" applyBorder="1" applyAlignment="1" applyProtection="1">
      <alignment horizontal="centerContinuous" vertical="center"/>
    </xf>
    <xf numFmtId="1" fontId="26" fillId="0" borderId="54" xfId="76" applyNumberFormat="1" applyFont="1" applyBorder="1" applyAlignment="1" applyProtection="1">
      <alignment horizontal="centerContinuous" vertical="center"/>
    </xf>
    <xf numFmtId="0" fontId="26" fillId="0" borderId="46" xfId="75" applyFont="1" applyFill="1" applyBorder="1" applyAlignment="1" applyProtection="1">
      <alignment horizontal="center" vertical="center"/>
    </xf>
    <xf numFmtId="0" fontId="26" fillId="0" borderId="61" xfId="75" applyFont="1" applyFill="1" applyBorder="1" applyAlignment="1" applyProtection="1">
      <alignment horizontal="center" vertical="center"/>
    </xf>
    <xf numFmtId="0" fontId="26" fillId="0" borderId="12" xfId="75" applyFont="1" applyFill="1" applyBorder="1" applyAlignment="1" applyProtection="1">
      <alignment horizontal="center" vertical="center"/>
    </xf>
    <xf numFmtId="0" fontId="2" fillId="0" borderId="64" xfId="69" applyFont="1" applyFill="1" applyBorder="1" applyAlignment="1" applyProtection="1">
      <alignment horizontal="center" vertical="center"/>
    </xf>
    <xf numFmtId="0" fontId="2" fillId="0" borderId="65" xfId="69" applyFont="1" applyFill="1" applyBorder="1" applyAlignment="1" applyProtection="1">
      <alignment horizontal="center" vertical="center"/>
    </xf>
    <xf numFmtId="0" fontId="2" fillId="0" borderId="59" xfId="79" applyFont="1" applyFill="1" applyBorder="1" applyAlignment="1" applyProtection="1">
      <alignment vertical="center"/>
    </xf>
    <xf numFmtId="171" fontId="46" fillId="0" borderId="58" xfId="75" applyNumberFormat="1" applyFont="1" applyFill="1" applyBorder="1" applyAlignment="1" applyProtection="1">
      <alignment horizontal="center" vertical="center"/>
    </xf>
    <xf numFmtId="171" fontId="46" fillId="0" borderId="60" xfId="75" applyNumberFormat="1" applyFont="1" applyFill="1" applyBorder="1" applyAlignment="1" applyProtection="1">
      <alignment horizontal="center" vertical="center"/>
    </xf>
    <xf numFmtId="171" fontId="46" fillId="0" borderId="59" xfId="75" applyNumberFormat="1" applyFont="1" applyFill="1" applyBorder="1" applyAlignment="1" applyProtection="1">
      <alignment horizontal="center" vertical="center"/>
    </xf>
    <xf numFmtId="0" fontId="2" fillId="0" borderId="61" xfId="79" applyFont="1" applyFill="1" applyBorder="1" applyAlignment="1" applyProtection="1">
      <alignment vertical="center"/>
    </xf>
    <xf numFmtId="171" fontId="46" fillId="0" borderId="46" xfId="75" applyNumberFormat="1" applyFont="1" applyFill="1" applyBorder="1" applyAlignment="1" applyProtection="1">
      <alignment horizontal="center" vertical="center"/>
    </xf>
    <xf numFmtId="171" fontId="46" fillId="0" borderId="47" xfId="75" applyNumberFormat="1" applyFont="1" applyFill="1" applyBorder="1" applyAlignment="1" applyProtection="1">
      <alignment horizontal="center" vertical="center"/>
    </xf>
    <xf numFmtId="171" fontId="46" fillId="0" borderId="61" xfId="75" applyNumberFormat="1" applyFont="1" applyFill="1" applyBorder="1" applyAlignment="1" applyProtection="1">
      <alignment horizontal="center" vertical="center"/>
    </xf>
    <xf numFmtId="0" fontId="2" fillId="0" borderId="61" xfId="79" applyFont="1" applyBorder="1" applyAlignment="1" applyProtection="1">
      <alignment vertical="center"/>
    </xf>
    <xf numFmtId="171" fontId="47" fillId="21" borderId="36" xfId="75" applyNumberFormat="1" applyFont="1" applyFill="1" applyBorder="1" applyAlignment="1" applyProtection="1">
      <alignment horizontal="center" vertical="center"/>
    </xf>
    <xf numFmtId="171" fontId="47" fillId="21" borderId="35" xfId="75" applyNumberFormat="1" applyFont="1" applyFill="1" applyBorder="1" applyAlignment="1" applyProtection="1">
      <alignment horizontal="center" vertical="center"/>
    </xf>
    <xf numFmtId="171" fontId="47" fillId="21" borderId="39" xfId="75" applyNumberFormat="1" applyFont="1" applyFill="1" applyBorder="1" applyAlignment="1" applyProtection="1">
      <alignment horizontal="center" vertical="center"/>
    </xf>
    <xf numFmtId="0" fontId="26" fillId="0" borderId="0" xfId="79" applyFont="1" applyBorder="1" applyAlignment="1" applyProtection="1">
      <alignment vertical="center"/>
    </xf>
    <xf numFmtId="0" fontId="43" fillId="0" borderId="0" xfId="75" applyFont="1" applyFill="1" applyBorder="1" applyAlignment="1" applyProtection="1">
      <alignment horizontal="center" vertical="center"/>
    </xf>
    <xf numFmtId="171" fontId="48" fillId="22" borderId="20" xfId="75" applyNumberFormat="1" applyFont="1" applyFill="1" applyBorder="1" applyAlignment="1" applyProtection="1">
      <alignment horizontal="center" vertical="center"/>
      <protection locked="0"/>
    </xf>
    <xf numFmtId="171" fontId="48" fillId="22" borderId="65" xfId="75" applyNumberFormat="1" applyFont="1" applyFill="1" applyBorder="1" applyAlignment="1" applyProtection="1">
      <alignment horizontal="center" vertical="center"/>
      <protection locked="0"/>
    </xf>
    <xf numFmtId="171" fontId="48" fillId="22" borderId="58" xfId="75" applyNumberFormat="1" applyFont="1" applyFill="1" applyBorder="1" applyAlignment="1" applyProtection="1">
      <alignment horizontal="center" vertical="center"/>
      <protection locked="0"/>
    </xf>
    <xf numFmtId="171" fontId="48" fillId="22" borderId="60" xfId="75" applyNumberFormat="1" applyFont="1" applyFill="1" applyBorder="1" applyAlignment="1" applyProtection="1">
      <alignment horizontal="center" vertical="center"/>
      <protection locked="0"/>
    </xf>
    <xf numFmtId="171" fontId="48" fillId="22" borderId="59" xfId="75" applyNumberFormat="1" applyFont="1" applyFill="1" applyBorder="1" applyAlignment="1" applyProtection="1">
      <alignment horizontal="center" vertical="center"/>
      <protection locked="0"/>
    </xf>
    <xf numFmtId="171" fontId="48" fillId="22" borderId="12" xfId="75" applyNumberFormat="1" applyFont="1" applyFill="1" applyBorder="1" applyAlignment="1" applyProtection="1">
      <alignment horizontal="center" vertical="center"/>
      <protection locked="0"/>
    </xf>
    <xf numFmtId="171" fontId="48" fillId="22" borderId="40" xfId="75" applyNumberFormat="1" applyFont="1" applyFill="1" applyBorder="1" applyAlignment="1" applyProtection="1">
      <alignment horizontal="center" vertical="center"/>
      <protection locked="0"/>
    </xf>
    <xf numFmtId="171" fontId="48" fillId="22" borderId="46" xfId="75" applyNumberFormat="1" applyFont="1" applyFill="1" applyBorder="1" applyAlignment="1" applyProtection="1">
      <alignment horizontal="center" vertical="center"/>
      <protection locked="0"/>
    </xf>
    <xf numFmtId="171" fontId="48" fillId="22" borderId="47" xfId="75" applyNumberFormat="1" applyFont="1" applyFill="1" applyBorder="1" applyAlignment="1" applyProtection="1">
      <alignment horizontal="center" vertical="center"/>
      <protection locked="0"/>
    </xf>
    <xf numFmtId="171" fontId="48" fillId="22" borderId="61" xfId="75" applyNumberFormat="1" applyFont="1" applyFill="1" applyBorder="1" applyAlignment="1" applyProtection="1">
      <alignment horizontal="center" vertical="center"/>
      <protection locked="0"/>
    </xf>
    <xf numFmtId="171" fontId="28" fillId="0" borderId="12" xfId="75" applyNumberFormat="1" applyFont="1" applyFill="1" applyBorder="1" applyAlignment="1" applyProtection="1">
      <alignment horizontal="center" vertical="center"/>
    </xf>
    <xf numFmtId="171" fontId="28" fillId="0" borderId="47" xfId="75" applyNumberFormat="1" applyFont="1" applyFill="1" applyBorder="1" applyAlignment="1" applyProtection="1">
      <alignment horizontal="center" vertical="center"/>
    </xf>
    <xf numFmtId="171" fontId="28" fillId="0" borderId="61" xfId="75" applyNumberFormat="1" applyFont="1" applyFill="1" applyBorder="1" applyAlignment="1" applyProtection="1">
      <alignment horizontal="center" vertical="center"/>
    </xf>
    <xf numFmtId="171" fontId="28" fillId="0" borderId="46" xfId="75" applyNumberFormat="1" applyFont="1" applyFill="1" applyBorder="1" applyAlignment="1" applyProtection="1">
      <alignment horizontal="center" vertical="center"/>
    </xf>
    <xf numFmtId="0" fontId="2" fillId="0" borderId="0" xfId="75" applyFont="1" applyFill="1" applyBorder="1" applyAlignment="1" applyProtection="1">
      <alignment horizontal="left" vertical="center"/>
      <protection locked="0"/>
    </xf>
    <xf numFmtId="0" fontId="2" fillId="0" borderId="69" xfId="79" applyFont="1" applyBorder="1" applyAlignment="1" applyProtection="1">
      <alignment vertical="center"/>
    </xf>
    <xf numFmtId="171" fontId="48" fillId="22" borderId="15" xfId="75" applyNumberFormat="1" applyFont="1" applyFill="1" applyBorder="1" applyAlignment="1" applyProtection="1">
      <alignment horizontal="center" vertical="center"/>
      <protection locked="0"/>
    </xf>
    <xf numFmtId="171" fontId="48" fillId="22" borderId="70" xfId="75" applyNumberFormat="1" applyFont="1" applyFill="1" applyBorder="1" applyAlignment="1" applyProtection="1">
      <alignment horizontal="center" vertical="center"/>
      <protection locked="0"/>
    </xf>
    <xf numFmtId="171" fontId="48" fillId="22" borderId="69" xfId="75" applyNumberFormat="1" applyFont="1" applyFill="1" applyBorder="1" applyAlignment="1" applyProtection="1">
      <alignment horizontal="center" vertical="center"/>
      <protection locked="0"/>
    </xf>
    <xf numFmtId="171" fontId="48" fillId="22" borderId="68" xfId="75" applyNumberFormat="1" applyFont="1" applyFill="1" applyBorder="1" applyAlignment="1" applyProtection="1">
      <alignment horizontal="center" vertical="center"/>
      <protection locked="0"/>
    </xf>
    <xf numFmtId="171" fontId="49" fillId="21" borderId="82" xfId="75" applyNumberFormat="1" applyFont="1" applyFill="1" applyBorder="1" applyAlignment="1" applyProtection="1">
      <alignment horizontal="center" vertical="center"/>
    </xf>
    <xf numFmtId="171" fontId="49" fillId="21" borderId="83" xfId="75" applyNumberFormat="1" applyFont="1" applyFill="1" applyBorder="1" applyAlignment="1" applyProtection="1">
      <alignment horizontal="center" vertical="center"/>
    </xf>
    <xf numFmtId="171" fontId="49" fillId="21" borderId="84" xfId="75" applyNumberFormat="1" applyFont="1" applyFill="1" applyBorder="1" applyAlignment="1" applyProtection="1">
      <alignment horizontal="center" vertical="center"/>
    </xf>
    <xf numFmtId="171" fontId="49" fillId="21" borderId="85" xfId="75" applyNumberFormat="1" applyFont="1" applyFill="1" applyBorder="1" applyAlignment="1" applyProtection="1">
      <alignment horizontal="center" vertical="center"/>
    </xf>
    <xf numFmtId="171" fontId="49" fillId="21" borderId="34" xfId="75" applyNumberFormat="1" applyFont="1" applyFill="1" applyBorder="1" applyAlignment="1" applyProtection="1">
      <alignment horizontal="center" vertical="center"/>
    </xf>
    <xf numFmtId="171" fontId="49" fillId="21" borderId="35" xfId="75" applyNumberFormat="1" applyFont="1" applyFill="1" applyBorder="1" applyAlignment="1" applyProtection="1">
      <alignment horizontal="center" vertical="center"/>
    </xf>
    <xf numFmtId="171" fontId="49" fillId="21" borderId="39" xfId="75" applyNumberFormat="1" applyFont="1" applyFill="1" applyBorder="1" applyAlignment="1" applyProtection="1">
      <alignment horizontal="center" vertical="center"/>
    </xf>
    <xf numFmtId="171" fontId="49" fillId="21" borderId="36" xfId="75" applyNumberFormat="1" applyFont="1" applyFill="1" applyBorder="1" applyAlignment="1" applyProtection="1">
      <alignment horizontal="center" vertical="center"/>
    </xf>
    <xf numFmtId="0" fontId="2" fillId="0" borderId="61" xfId="75" applyFont="1" applyFill="1" applyBorder="1" applyAlignment="1" applyProtection="1">
      <alignment horizontal="left" vertical="center"/>
    </xf>
    <xf numFmtId="164" fontId="2" fillId="21" borderId="61" xfId="80" applyNumberFormat="1" applyFont="1" applyFill="1" applyBorder="1" applyAlignment="1" applyProtection="1">
      <alignment horizontal="center" vertical="center"/>
    </xf>
    <xf numFmtId="1" fontId="2" fillId="0" borderId="61" xfId="76" applyNumberFormat="1" applyFont="1" applyBorder="1" applyAlignment="1" applyProtection="1">
      <alignment vertical="center"/>
    </xf>
    <xf numFmtId="171" fontId="28" fillId="21" borderId="12" xfId="75" applyNumberFormat="1" applyFont="1" applyFill="1" applyBorder="1" applyAlignment="1" applyProtection="1">
      <alignment horizontal="center" vertical="center"/>
    </xf>
    <xf numFmtId="171" fontId="28" fillId="21" borderId="40" xfId="75" applyNumberFormat="1" applyFont="1" applyFill="1" applyBorder="1" applyAlignment="1" applyProtection="1">
      <alignment horizontal="center" vertical="center"/>
    </xf>
    <xf numFmtId="171" fontId="28" fillId="21" borderId="46" xfId="75" applyNumberFormat="1" applyFont="1" applyFill="1" applyBorder="1" applyAlignment="1" applyProtection="1">
      <alignment horizontal="center" vertical="center"/>
    </xf>
    <xf numFmtId="0" fontId="26" fillId="0" borderId="46" xfId="75" applyFont="1" applyFill="1" applyBorder="1" applyAlignment="1" applyProtection="1">
      <alignment vertical="center"/>
    </xf>
    <xf numFmtId="0" fontId="44" fillId="0" borderId="36" xfId="0" applyFont="1" applyBorder="1" applyAlignment="1" applyProtection="1">
      <alignment vertical="center"/>
    </xf>
    <xf numFmtId="1" fontId="2" fillId="0" borderId="39" xfId="76" applyNumberFormat="1" applyFont="1" applyBorder="1" applyAlignment="1" applyProtection="1">
      <alignment vertical="center"/>
    </xf>
    <xf numFmtId="171" fontId="28" fillId="21" borderId="34" xfId="75" applyNumberFormat="1" applyFont="1" applyFill="1" applyBorder="1" applyAlignment="1" applyProtection="1">
      <alignment horizontal="center" vertical="center"/>
    </xf>
    <xf numFmtId="171" fontId="28" fillId="21" borderId="72" xfId="75" applyNumberFormat="1" applyFont="1" applyFill="1" applyBorder="1" applyAlignment="1" applyProtection="1">
      <alignment horizontal="center" vertical="center"/>
    </xf>
    <xf numFmtId="171" fontId="28" fillId="21" borderId="36" xfId="75" applyNumberFormat="1" applyFont="1" applyFill="1" applyBorder="1" applyAlignment="1" applyProtection="1">
      <alignment horizontal="center" vertical="center"/>
    </xf>
    <xf numFmtId="164" fontId="2" fillId="21" borderId="39" xfId="80" applyNumberFormat="1" applyFont="1" applyFill="1" applyBorder="1" applyAlignment="1" applyProtection="1">
      <alignment horizontal="center" vertical="center"/>
    </xf>
    <xf numFmtId="0" fontId="26" fillId="0" borderId="27" xfId="68" applyFont="1" applyBorder="1" applyAlignment="1" applyProtection="1">
      <alignment vertical="center"/>
    </xf>
    <xf numFmtId="0" fontId="26" fillId="0" borderId="28" xfId="68" applyFont="1" applyBorder="1" applyAlignment="1" applyProtection="1">
      <alignment vertical="center"/>
    </xf>
    <xf numFmtId="1" fontId="2" fillId="0" borderId="27" xfId="76" applyNumberFormat="1" applyFont="1" applyBorder="1" applyAlignment="1" applyProtection="1">
      <alignment vertical="center"/>
    </xf>
    <xf numFmtId="0" fontId="2" fillId="0" borderId="28" xfId="75" applyFont="1" applyFill="1" applyBorder="1" applyAlignment="1" applyProtection="1">
      <alignment horizontal="left" vertical="center"/>
    </xf>
    <xf numFmtId="0" fontId="2" fillId="0" borderId="27" xfId="75" applyFont="1" applyFill="1" applyBorder="1" applyAlignment="1" applyProtection="1">
      <alignment horizontal="left" vertical="center"/>
    </xf>
    <xf numFmtId="1" fontId="2" fillId="0" borderId="28" xfId="76" applyNumberFormat="1" applyFont="1" applyBorder="1" applyAlignment="1" applyProtection="1">
      <alignment vertical="center"/>
    </xf>
    <xf numFmtId="0" fontId="2" fillId="0" borderId="28" xfId="68" applyFont="1" applyBorder="1" applyAlignment="1" applyProtection="1">
      <alignment horizontal="left" vertical="center"/>
    </xf>
    <xf numFmtId="171" fontId="2" fillId="0" borderId="46" xfId="75" applyNumberFormat="1" applyFont="1" applyFill="1" applyBorder="1" applyAlignment="1" applyProtection="1">
      <alignment horizontal="center" vertical="center"/>
      <protection locked="0"/>
    </xf>
    <xf numFmtId="171" fontId="2" fillId="0" borderId="47" xfId="75" applyNumberFormat="1" applyFont="1" applyFill="1" applyBorder="1" applyAlignment="1" applyProtection="1">
      <alignment horizontal="center" vertical="center"/>
      <protection locked="0"/>
    </xf>
    <xf numFmtId="171" fontId="2" fillId="0" borderId="61" xfId="75" applyNumberFormat="1" applyFont="1" applyFill="1" applyBorder="1" applyAlignment="1" applyProtection="1">
      <alignment horizontal="center" vertical="center"/>
      <protection locked="0"/>
    </xf>
    <xf numFmtId="0" fontId="50" fillId="22" borderId="28" xfId="68" applyFont="1" applyFill="1" applyBorder="1" applyAlignment="1" applyProtection="1">
      <alignment horizontal="left" vertical="center"/>
    </xf>
    <xf numFmtId="0" fontId="43" fillId="0" borderId="0" xfId="0" applyFont="1" applyFill="1" applyAlignment="1" applyProtection="1">
      <alignment vertical="center"/>
    </xf>
    <xf numFmtId="164" fontId="2" fillId="0" borderId="61" xfId="80" applyNumberFormat="1" applyFont="1" applyFill="1" applyBorder="1" applyAlignment="1" applyProtection="1">
      <alignment horizontal="center" vertical="center"/>
    </xf>
    <xf numFmtId="0" fontId="2" fillId="0" borderId="30" xfId="75" applyFont="1" applyFill="1" applyBorder="1" applyAlignment="1" applyProtection="1">
      <alignment horizontal="left" vertical="center"/>
    </xf>
    <xf numFmtId="0" fontId="50" fillId="22" borderId="32" xfId="68" applyFont="1" applyFill="1" applyBorder="1" applyAlignment="1" applyProtection="1">
      <alignment horizontal="left" vertical="center"/>
    </xf>
    <xf numFmtId="171" fontId="33" fillId="22" borderId="39" xfId="75" applyNumberFormat="1" applyFont="1" applyFill="1" applyBorder="1" applyAlignment="1" applyProtection="1">
      <alignment horizontal="center" vertical="center"/>
      <protection locked="0"/>
    </xf>
    <xf numFmtId="0" fontId="25" fillId="0" borderId="0" xfId="78" applyFont="1" applyAlignment="1" applyProtection="1">
      <alignment vertical="center"/>
    </xf>
    <xf numFmtId="0" fontId="25" fillId="0" borderId="0" xfId="75" applyFont="1" applyFill="1" applyBorder="1" applyAlignment="1" applyProtection="1">
      <alignment horizontal="left" vertical="center"/>
    </xf>
    <xf numFmtId="1" fontId="25" fillId="0" borderId="0" xfId="76" applyNumberFormat="1" applyFont="1" applyAlignment="1" applyProtection="1">
      <alignment vertical="center"/>
    </xf>
    <xf numFmtId="0" fontId="25" fillId="0" borderId="0" xfId="76" applyFont="1" applyAlignment="1" applyProtection="1">
      <alignment vertical="center"/>
    </xf>
    <xf numFmtId="0" fontId="36" fillId="24" borderId="0" xfId="81" applyFont="1" applyFill="1" applyBorder="1" applyAlignment="1" applyProtection="1">
      <alignment vertical="center"/>
    </xf>
    <xf numFmtId="0" fontId="38" fillId="24" borderId="0" xfId="82" applyFont="1" applyFill="1" applyBorder="1" applyAlignment="1" applyProtection="1">
      <alignment vertical="center"/>
    </xf>
    <xf numFmtId="0" fontId="25" fillId="24" borderId="0" xfId="82" applyFont="1" applyFill="1" applyBorder="1" applyAlignment="1" applyProtection="1">
      <alignment vertical="center"/>
    </xf>
    <xf numFmtId="0" fontId="51" fillId="24" borderId="0" xfId="82" applyFont="1" applyFill="1" applyBorder="1" applyAlignment="1" applyProtection="1">
      <alignment vertical="center"/>
    </xf>
    <xf numFmtId="0" fontId="2" fillId="24" borderId="0" xfId="82" applyFont="1" applyFill="1" applyBorder="1" applyAlignment="1" applyProtection="1">
      <alignment vertical="center"/>
    </xf>
    <xf numFmtId="0" fontId="38" fillId="24" borderId="0" xfId="82" applyFont="1" applyFill="1" applyBorder="1" applyAlignment="1" applyProtection="1">
      <alignment horizontal="left" vertical="center"/>
    </xf>
    <xf numFmtId="0" fontId="38" fillId="24" borderId="31" xfId="82" applyFont="1" applyFill="1" applyBorder="1" applyAlignment="1" applyProtection="1">
      <alignment vertical="center"/>
    </xf>
    <xf numFmtId="0" fontId="51" fillId="24" borderId="31" xfId="82" applyFont="1" applyFill="1" applyBorder="1" applyAlignment="1" applyProtection="1">
      <alignment horizontal="left" vertical="center"/>
    </xf>
    <xf numFmtId="0" fontId="2" fillId="24" borderId="31" xfId="82" applyFont="1" applyFill="1" applyBorder="1" applyAlignment="1" applyProtection="1">
      <alignment vertical="center"/>
    </xf>
    <xf numFmtId="0" fontId="2" fillId="0" borderId="0" xfId="82" applyFont="1" applyAlignment="1" applyProtection="1">
      <alignment vertical="center"/>
    </xf>
    <xf numFmtId="0" fontId="26" fillId="0" borderId="0" xfId="82" applyFont="1" applyAlignment="1" applyProtection="1">
      <alignment vertical="center"/>
    </xf>
    <xf numFmtId="0" fontId="26" fillId="0" borderId="52" xfId="83" applyFont="1" applyBorder="1" applyAlignment="1" applyProtection="1">
      <alignment horizontal="centerContinuous" vertical="center"/>
    </xf>
    <xf numFmtId="0" fontId="26" fillId="0" borderId="53" xfId="83" applyFont="1" applyBorder="1" applyAlignment="1" applyProtection="1">
      <alignment horizontal="centerContinuous" vertical="center"/>
    </xf>
    <xf numFmtId="0" fontId="2" fillId="0" borderId="54" xfId="83" applyFont="1" applyBorder="1" applyAlignment="1" applyProtection="1">
      <alignment horizontal="centerContinuous" vertical="center"/>
    </xf>
    <xf numFmtId="0" fontId="2" fillId="0" borderId="53" xfId="83" applyFont="1" applyBorder="1" applyAlignment="1" applyProtection="1">
      <alignment horizontal="centerContinuous" vertical="center"/>
    </xf>
    <xf numFmtId="0" fontId="26" fillId="0" borderId="46" xfId="83" applyFont="1" applyBorder="1" applyAlignment="1" applyProtection="1">
      <alignment horizontal="center" vertical="center" wrapText="1"/>
    </xf>
    <xf numFmtId="0" fontId="26" fillId="0" borderId="47" xfId="83" applyFont="1" applyBorder="1" applyAlignment="1" applyProtection="1">
      <alignment horizontal="center" vertical="center" wrapText="1"/>
    </xf>
    <xf numFmtId="0" fontId="26" fillId="0" borderId="61" xfId="83" applyFont="1" applyBorder="1" applyAlignment="1" applyProtection="1">
      <alignment horizontal="center" vertical="center" wrapText="1"/>
    </xf>
    <xf numFmtId="0" fontId="26" fillId="0" borderId="46" xfId="82" applyFont="1" applyBorder="1" applyAlignment="1" applyProtection="1">
      <alignment horizontal="left" vertical="center" wrapText="1"/>
    </xf>
    <xf numFmtId="0" fontId="2" fillId="0" borderId="61" xfId="82" applyNumberFormat="1" applyFont="1" applyBorder="1" applyAlignment="1" applyProtection="1">
      <alignment vertical="center" wrapText="1"/>
    </xf>
    <xf numFmtId="171" fontId="43" fillId="0" borderId="71" xfId="84" applyNumberFormat="1" applyFont="1" applyFill="1" applyBorder="1" applyAlignment="1" applyProtection="1">
      <alignment horizontal="center" vertical="center"/>
    </xf>
    <xf numFmtId="171" fontId="43" fillId="0" borderId="11" xfId="84" applyNumberFormat="1" applyFont="1" applyFill="1" applyBorder="1" applyAlignment="1" applyProtection="1">
      <alignment horizontal="center" vertical="center"/>
    </xf>
    <xf numFmtId="171" fontId="43" fillId="0" borderId="40" xfId="84" applyNumberFormat="1" applyFont="1" applyFill="1" applyBorder="1" applyAlignment="1" applyProtection="1">
      <alignment horizontal="center" vertical="center"/>
    </xf>
    <xf numFmtId="0" fontId="2" fillId="0" borderId="46" xfId="82" applyFont="1" applyBorder="1" applyAlignment="1" applyProtection="1">
      <alignment horizontal="left" vertical="center" wrapText="1"/>
    </xf>
    <xf numFmtId="171" fontId="43" fillId="0" borderId="46" xfId="84" applyNumberFormat="1" applyFont="1" applyFill="1" applyBorder="1" applyAlignment="1" applyProtection="1">
      <alignment horizontal="center" vertical="center"/>
    </xf>
    <xf numFmtId="171" fontId="43" fillId="0" borderId="12" xfId="84" applyNumberFormat="1" applyFont="1" applyFill="1" applyBorder="1" applyAlignment="1" applyProtection="1">
      <alignment horizontal="center" vertical="center"/>
    </xf>
    <xf numFmtId="171" fontId="43" fillId="0" borderId="47" xfId="84" applyNumberFormat="1" applyFont="1" applyFill="1" applyBorder="1" applyAlignment="1" applyProtection="1">
      <alignment horizontal="center" vertical="center"/>
    </xf>
    <xf numFmtId="171" fontId="43" fillId="0" borderId="61" xfId="84" applyNumberFormat="1" applyFont="1" applyFill="1" applyBorder="1" applyAlignment="1" applyProtection="1">
      <alignment horizontal="center" vertical="center"/>
    </xf>
    <xf numFmtId="171" fontId="33" fillId="22" borderId="12" xfId="84" applyNumberFormat="1" applyFont="1" applyFill="1" applyBorder="1" applyAlignment="1" applyProtection="1">
      <alignment horizontal="center" vertical="center"/>
      <protection locked="0"/>
    </xf>
    <xf numFmtId="171" fontId="33" fillId="22" borderId="40" xfId="84" applyNumberFormat="1" applyFont="1" applyFill="1" applyBorder="1" applyAlignment="1" applyProtection="1">
      <alignment horizontal="center" vertical="center"/>
      <protection locked="0"/>
    </xf>
    <xf numFmtId="171" fontId="33" fillId="22" borderId="46" xfId="84" applyNumberFormat="1" applyFont="1" applyFill="1" applyBorder="1" applyAlignment="1" applyProtection="1">
      <alignment horizontal="center" vertical="center"/>
      <protection locked="0"/>
    </xf>
    <xf numFmtId="171" fontId="33" fillId="22" borderId="47" xfId="84" applyNumberFormat="1" applyFont="1" applyFill="1" applyBorder="1" applyAlignment="1" applyProtection="1">
      <alignment horizontal="center" vertical="center"/>
      <protection locked="0"/>
    </xf>
    <xf numFmtId="171" fontId="33" fillId="22" borderId="61" xfId="84" applyNumberFormat="1" applyFont="1" applyFill="1" applyBorder="1" applyAlignment="1" applyProtection="1">
      <alignment horizontal="center" vertical="center"/>
      <protection locked="0"/>
    </xf>
    <xf numFmtId="0" fontId="33" fillId="22" borderId="46" xfId="82" applyFont="1" applyFill="1" applyBorder="1" applyAlignment="1" applyProtection="1">
      <alignment horizontal="left" vertical="center" wrapText="1"/>
      <protection locked="0"/>
    </xf>
    <xf numFmtId="0" fontId="2" fillId="0" borderId="61" xfId="82" applyNumberFormat="1" applyFont="1" applyBorder="1" applyAlignment="1" applyProtection="1">
      <alignment vertical="center" wrapText="1"/>
      <protection locked="0"/>
    </xf>
    <xf numFmtId="0" fontId="2" fillId="0" borderId="0" xfId="82" applyFont="1" applyAlignment="1" applyProtection="1">
      <alignment vertical="center"/>
      <protection locked="0"/>
    </xf>
    <xf numFmtId="171" fontId="33" fillId="22" borderId="15" xfId="84" applyNumberFormat="1" applyFont="1" applyFill="1" applyBorder="1" applyAlignment="1" applyProtection="1">
      <alignment horizontal="center" vertical="center"/>
      <protection locked="0"/>
    </xf>
    <xf numFmtId="171" fontId="33" fillId="22" borderId="14" xfId="84" applyNumberFormat="1" applyFont="1" applyFill="1" applyBorder="1" applyAlignment="1" applyProtection="1">
      <alignment horizontal="center" vertical="center"/>
      <protection locked="0"/>
    </xf>
    <xf numFmtId="171" fontId="33" fillId="22" borderId="68" xfId="84" applyNumberFormat="1" applyFont="1" applyFill="1" applyBorder="1" applyAlignment="1" applyProtection="1">
      <alignment horizontal="center" vertical="center"/>
      <protection locked="0"/>
    </xf>
    <xf numFmtId="171" fontId="33" fillId="22" borderId="70" xfId="84" applyNumberFormat="1" applyFont="1" applyFill="1" applyBorder="1" applyAlignment="1" applyProtection="1">
      <alignment horizontal="center" vertical="center"/>
      <protection locked="0"/>
    </xf>
    <xf numFmtId="171" fontId="33" fillId="22" borderId="69" xfId="84" applyNumberFormat="1" applyFont="1" applyFill="1" applyBorder="1" applyAlignment="1" applyProtection="1">
      <alignment horizontal="center" vertical="center"/>
      <protection locked="0"/>
    </xf>
    <xf numFmtId="0" fontId="26" fillId="0" borderId="79" xfId="82" applyFont="1" applyBorder="1" applyAlignment="1" applyProtection="1">
      <alignment horizontal="left" vertical="center"/>
      <protection locked="0"/>
    </xf>
    <xf numFmtId="0" fontId="2" fillId="0" borderId="39" xfId="82" applyNumberFormat="1" applyFont="1" applyBorder="1" applyAlignment="1" applyProtection="1">
      <alignment vertical="center" wrapText="1"/>
      <protection locked="0"/>
    </xf>
    <xf numFmtId="171" fontId="26" fillId="21" borderId="36" xfId="82" applyNumberFormat="1" applyFont="1" applyFill="1" applyBorder="1" applyAlignment="1" applyProtection="1">
      <alignment horizontal="center" vertical="center"/>
      <protection locked="0"/>
    </xf>
    <xf numFmtId="171" fontId="26" fillId="21" borderId="35" xfId="82" applyNumberFormat="1" applyFont="1" applyFill="1" applyBorder="1" applyAlignment="1" applyProtection="1">
      <alignment horizontal="center" vertical="center"/>
      <protection locked="0"/>
    </xf>
    <xf numFmtId="171" fontId="26" fillId="21" borderId="39" xfId="82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Alignment="1" applyProtection="1">
      <alignment horizontal="left" vertical="center"/>
    </xf>
    <xf numFmtId="0" fontId="2" fillId="0" borderId="0" xfId="82" applyNumberFormat="1" applyFont="1" applyAlignment="1" applyProtection="1">
      <alignment vertical="center" wrapText="1"/>
    </xf>
    <xf numFmtId="0" fontId="2" fillId="0" borderId="0" xfId="82" applyFont="1" applyFill="1" applyAlignment="1" applyProtection="1">
      <alignment vertical="center"/>
    </xf>
    <xf numFmtId="0" fontId="44" fillId="0" borderId="0" xfId="81" applyFont="1" applyAlignment="1" applyProtection="1">
      <alignment vertical="center"/>
    </xf>
    <xf numFmtId="0" fontId="26" fillId="0" borderId="12" xfId="83" applyFont="1" applyBorder="1" applyAlignment="1" applyProtection="1">
      <alignment horizontal="center" vertical="center" wrapText="1"/>
    </xf>
    <xf numFmtId="0" fontId="2" fillId="0" borderId="69" xfId="82" applyNumberFormat="1" applyFont="1" applyBorder="1" applyAlignment="1" applyProtection="1">
      <alignment vertical="center" wrapText="1"/>
    </xf>
    <xf numFmtId="0" fontId="26" fillId="0" borderId="30" xfId="82" applyFont="1" applyBorder="1" applyAlignment="1" applyProtection="1">
      <alignment horizontal="left" vertical="center"/>
    </xf>
    <xf numFmtId="0" fontId="2" fillId="0" borderId="39" xfId="82" applyNumberFormat="1" applyFont="1" applyBorder="1" applyAlignment="1" applyProtection="1">
      <alignment vertical="center" wrapText="1"/>
    </xf>
    <xf numFmtId="171" fontId="26" fillId="21" borderId="34" xfId="82" applyNumberFormat="1" applyFont="1" applyFill="1" applyBorder="1" applyAlignment="1" applyProtection="1">
      <alignment horizontal="center" vertical="center"/>
    </xf>
    <xf numFmtId="171" fontId="26" fillId="21" borderId="35" xfId="82" applyNumberFormat="1" applyFont="1" applyFill="1" applyBorder="1" applyAlignment="1" applyProtection="1">
      <alignment horizontal="center" vertical="center"/>
    </xf>
    <xf numFmtId="171" fontId="26" fillId="21" borderId="39" xfId="82" applyNumberFormat="1" applyFont="1" applyFill="1" applyBorder="1" applyAlignment="1" applyProtection="1">
      <alignment horizontal="center" vertical="center"/>
    </xf>
    <xf numFmtId="171" fontId="26" fillId="21" borderId="36" xfId="82" applyNumberFormat="1" applyFont="1" applyFill="1" applyBorder="1" applyAlignment="1" applyProtection="1">
      <alignment horizontal="center" vertical="center"/>
    </xf>
    <xf numFmtId="171" fontId="33" fillId="22" borderId="12" xfId="84" applyNumberFormat="1" applyFont="1" applyFill="1" applyBorder="1" applyAlignment="1" applyProtection="1">
      <alignment vertical="center"/>
      <protection locked="0"/>
    </xf>
    <xf numFmtId="171" fontId="33" fillId="22" borderId="47" xfId="84" applyNumberFormat="1" applyFont="1" applyFill="1" applyBorder="1" applyAlignment="1" applyProtection="1">
      <alignment vertical="center"/>
      <protection locked="0"/>
    </xf>
    <xf numFmtId="0" fontId="2" fillId="0" borderId="52" xfId="82" applyFont="1" applyBorder="1" applyAlignment="1" applyProtection="1">
      <alignment vertical="center"/>
    </xf>
    <xf numFmtId="0" fontId="26" fillId="0" borderId="55" xfId="82" applyFont="1" applyBorder="1" applyAlignment="1" applyProtection="1">
      <alignment horizontal="center" vertical="center" wrapText="1"/>
    </xf>
    <xf numFmtId="0" fontId="26" fillId="0" borderId="56" xfId="82" applyFont="1" applyBorder="1" applyAlignment="1" applyProtection="1">
      <alignment horizontal="center" vertical="center" wrapText="1"/>
    </xf>
    <xf numFmtId="0" fontId="26" fillId="0" borderId="57" xfId="82" applyFont="1" applyBorder="1" applyAlignment="1" applyProtection="1">
      <alignment horizontal="center" vertical="center" wrapText="1"/>
    </xf>
    <xf numFmtId="0" fontId="2" fillId="0" borderId="71" xfId="82" applyFont="1" applyBorder="1" applyAlignment="1" applyProtection="1">
      <alignment horizontal="left" vertical="center" wrapText="1"/>
    </xf>
    <xf numFmtId="1" fontId="2" fillId="0" borderId="46" xfId="84" applyNumberFormat="1" applyFont="1" applyFill="1" applyBorder="1" applyAlignment="1" applyProtection="1">
      <alignment horizontal="center" vertical="center"/>
    </xf>
    <xf numFmtId="1" fontId="2" fillId="0" borderId="47" xfId="84" applyNumberFormat="1" applyFont="1" applyFill="1" applyBorder="1" applyAlignment="1" applyProtection="1">
      <alignment horizontal="center" vertical="center"/>
    </xf>
    <xf numFmtId="1" fontId="33" fillId="22" borderId="47" xfId="84" applyNumberFormat="1" applyFont="1" applyFill="1" applyBorder="1" applyAlignment="1" applyProtection="1">
      <alignment horizontal="center" vertical="center"/>
      <protection locked="0"/>
    </xf>
    <xf numFmtId="1" fontId="2" fillId="0" borderId="61" xfId="84" applyNumberFormat="1" applyFont="1" applyFill="1" applyBorder="1" applyAlignment="1" applyProtection="1">
      <alignment horizontal="center" vertical="center"/>
    </xf>
    <xf numFmtId="0" fontId="26" fillId="0" borderId="79" xfId="82" applyFont="1" applyBorder="1" applyAlignment="1" applyProtection="1">
      <alignment horizontal="left" vertical="center"/>
    </xf>
    <xf numFmtId="1" fontId="26" fillId="21" borderId="36" xfId="82" applyNumberFormat="1" applyFont="1" applyFill="1" applyBorder="1" applyAlignment="1" applyProtection="1">
      <alignment horizontal="center" vertical="center" wrapText="1"/>
    </xf>
    <xf numFmtId="1" fontId="26" fillId="21" borderId="35" xfId="82" applyNumberFormat="1" applyFont="1" applyFill="1" applyBorder="1" applyAlignment="1" applyProtection="1">
      <alignment horizontal="center" vertical="center" wrapText="1"/>
    </xf>
    <xf numFmtId="1" fontId="26" fillId="21" borderId="39" xfId="82" applyNumberFormat="1" applyFont="1" applyFill="1" applyBorder="1" applyAlignment="1" applyProtection="1">
      <alignment horizontal="center" vertical="center" wrapText="1"/>
    </xf>
    <xf numFmtId="0" fontId="26" fillId="0" borderId="0" xfId="82" applyFont="1" applyBorder="1" applyAlignment="1" applyProtection="1">
      <alignment vertical="center"/>
    </xf>
    <xf numFmtId="0" fontId="2" fillId="0" borderId="29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vertical="center"/>
    </xf>
    <xf numFmtId="0" fontId="26" fillId="0" borderId="19" xfId="82" applyFont="1" applyBorder="1" applyAlignment="1" applyProtection="1">
      <alignment vertical="center"/>
    </xf>
    <xf numFmtId="0" fontId="26" fillId="0" borderId="65" xfId="82" applyFont="1" applyBorder="1" applyAlignment="1" applyProtection="1">
      <alignment vertical="center"/>
    </xf>
    <xf numFmtId="0" fontId="26" fillId="0" borderId="70" xfId="82" applyFont="1" applyFill="1" applyBorder="1" applyAlignment="1" applyProtection="1">
      <alignment horizontal="center" vertical="center" wrapText="1"/>
    </xf>
    <xf numFmtId="0" fontId="26" fillId="0" borderId="47" xfId="82" applyFont="1" applyFill="1" applyBorder="1" applyAlignment="1" applyProtection="1">
      <alignment horizontal="center" vertical="center" wrapText="1"/>
    </xf>
    <xf numFmtId="0" fontId="26" fillId="0" borderId="61" xfId="82" applyFont="1" applyFill="1" applyBorder="1" applyAlignment="1" applyProtection="1">
      <alignment horizontal="center" vertical="center" wrapText="1"/>
    </xf>
    <xf numFmtId="0" fontId="2" fillId="0" borderId="0" xfId="82" applyFont="1" applyFill="1" applyBorder="1" applyAlignment="1" applyProtection="1">
      <alignment vertical="center"/>
    </xf>
    <xf numFmtId="0" fontId="26" fillId="0" borderId="75" xfId="82" applyFont="1" applyBorder="1" applyAlignment="1" applyProtection="1">
      <alignment vertical="center"/>
    </xf>
    <xf numFmtId="1" fontId="33" fillId="22" borderId="12" xfId="84" applyNumberFormat="1" applyFont="1" applyFill="1" applyBorder="1" applyAlignment="1" applyProtection="1">
      <alignment horizontal="center" vertical="center"/>
      <protection locked="0"/>
    </xf>
    <xf numFmtId="1" fontId="33" fillId="22" borderId="61" xfId="84" applyNumberFormat="1" applyFont="1" applyFill="1" applyBorder="1" applyAlignment="1" applyProtection="1">
      <alignment horizontal="center" vertical="center"/>
      <protection locked="0"/>
    </xf>
    <xf numFmtId="0" fontId="2" fillId="0" borderId="64" xfId="82" applyFont="1" applyBorder="1" applyAlignment="1" applyProtection="1">
      <alignment horizontal="left" vertical="center" wrapText="1"/>
    </xf>
    <xf numFmtId="1" fontId="2" fillId="0" borderId="58" xfId="84" applyNumberFormat="1" applyFont="1" applyFill="1" applyBorder="1" applyAlignment="1" applyProtection="1">
      <alignment horizontal="center" vertical="center"/>
    </xf>
    <xf numFmtId="1" fontId="33" fillId="22" borderId="20" xfId="84" applyNumberFormat="1" applyFont="1" applyFill="1" applyBorder="1" applyAlignment="1" applyProtection="1">
      <alignment horizontal="center" vertical="center"/>
      <protection locked="0"/>
    </xf>
    <xf numFmtId="1" fontId="33" fillId="22" borderId="60" xfId="84" applyNumberFormat="1" applyFont="1" applyFill="1" applyBorder="1" applyAlignment="1" applyProtection="1">
      <alignment horizontal="center" vertical="center"/>
      <protection locked="0"/>
    </xf>
    <xf numFmtId="1" fontId="33" fillId="22" borderId="59" xfId="84" applyNumberFormat="1" applyFont="1" applyFill="1" applyBorder="1" applyAlignment="1" applyProtection="1">
      <alignment horizontal="center" vertical="center"/>
      <protection locked="0"/>
    </xf>
    <xf numFmtId="0" fontId="26" fillId="0" borderId="0" xfId="82" applyFont="1" applyBorder="1" applyAlignment="1" applyProtection="1">
      <alignment horizontal="left" vertical="center"/>
    </xf>
    <xf numFmtId="0" fontId="2" fillId="0" borderId="0" xfId="82" applyNumberFormat="1" applyFont="1" applyFill="1" applyBorder="1" applyAlignment="1" applyProtection="1">
      <alignment vertical="center" wrapText="1"/>
    </xf>
    <xf numFmtId="0" fontId="26" fillId="0" borderId="10" xfId="82" applyFont="1" applyBorder="1" applyAlignment="1" applyProtection="1">
      <alignment horizontal="centerContinuous" vertical="center"/>
    </xf>
    <xf numFmtId="0" fontId="26" fillId="0" borderId="11" xfId="82" applyFont="1" applyBorder="1" applyAlignment="1" applyProtection="1">
      <alignment horizontal="centerContinuous" vertical="center"/>
    </xf>
    <xf numFmtId="0" fontId="26" fillId="0" borderId="40" xfId="82" applyFont="1" applyBorder="1" applyAlignment="1" applyProtection="1">
      <alignment horizontal="centerContinuous" vertical="center"/>
    </xf>
    <xf numFmtId="0" fontId="2" fillId="0" borderId="27" xfId="82" applyFont="1" applyBorder="1" applyAlignment="1" applyProtection="1">
      <alignment vertical="center"/>
    </xf>
    <xf numFmtId="0" fontId="26" fillId="0" borderId="18" xfId="82" applyFont="1" applyBorder="1" applyAlignment="1" applyProtection="1">
      <alignment horizontal="centerContinuous" vertical="center"/>
    </xf>
    <xf numFmtId="0" fontId="26" fillId="0" borderId="19" xfId="82" applyFont="1" applyBorder="1" applyAlignment="1" applyProtection="1">
      <alignment horizontal="centerContinuous" vertical="center"/>
    </xf>
    <xf numFmtId="0" fontId="26" fillId="0" borderId="65" xfId="82" applyFont="1" applyBorder="1" applyAlignment="1" applyProtection="1">
      <alignment horizontal="centerContinuous" vertical="center"/>
    </xf>
    <xf numFmtId="0" fontId="26" fillId="23" borderId="61" xfId="82" applyFont="1" applyFill="1" applyBorder="1" applyAlignment="1" applyProtection="1">
      <alignment horizontal="center" vertical="center" wrapText="1"/>
    </xf>
    <xf numFmtId="0" fontId="26" fillId="0" borderId="64" xfId="82" applyFont="1" applyBorder="1" applyAlignment="1" applyProtection="1">
      <alignment horizontal="left" vertical="center"/>
    </xf>
    <xf numFmtId="0" fontId="2" fillId="0" borderId="75" xfId="82" applyFont="1" applyBorder="1" applyAlignment="1" applyProtection="1">
      <alignment horizontal="left" vertical="center" wrapText="1"/>
    </xf>
    <xf numFmtId="0" fontId="2" fillId="23" borderId="60" xfId="84" applyFont="1" applyFill="1" applyBorder="1" applyAlignment="1" applyProtection="1">
      <alignment horizontal="center" vertical="center"/>
    </xf>
    <xf numFmtId="1" fontId="33" fillId="22" borderId="58" xfId="84" applyNumberFormat="1" applyFont="1" applyFill="1" applyBorder="1" applyAlignment="1" applyProtection="1">
      <alignment horizontal="center" vertical="center"/>
      <protection locked="0"/>
    </xf>
    <xf numFmtId="0" fontId="33" fillId="23" borderId="60" xfId="84" applyFont="1" applyFill="1" applyBorder="1" applyAlignment="1" applyProtection="1">
      <alignment horizontal="center" vertical="center"/>
    </xf>
    <xf numFmtId="0" fontId="2" fillId="0" borderId="38" xfId="82" applyFont="1" applyBorder="1" applyAlignment="1" applyProtection="1">
      <alignment horizontal="left" vertical="center" wrapText="1"/>
    </xf>
    <xf numFmtId="0" fontId="2" fillId="23" borderId="47" xfId="84" applyFont="1" applyFill="1" applyBorder="1" applyAlignment="1" applyProtection="1">
      <alignment horizontal="center" vertical="center"/>
    </xf>
    <xf numFmtId="1" fontId="33" fillId="22" borderId="46" xfId="84" applyNumberFormat="1" applyFont="1" applyFill="1" applyBorder="1" applyAlignment="1" applyProtection="1">
      <alignment horizontal="center" vertical="center"/>
      <protection locked="0"/>
    </xf>
    <xf numFmtId="0" fontId="33" fillId="23" borderId="47" xfId="84" applyFont="1" applyFill="1" applyBorder="1" applyAlignment="1" applyProtection="1">
      <alignment horizontal="center" vertical="center"/>
    </xf>
    <xf numFmtId="0" fontId="26" fillId="0" borderId="76" xfId="82" applyFont="1" applyBorder="1" applyAlignment="1" applyProtection="1">
      <alignment horizontal="left" vertical="center"/>
    </xf>
    <xf numFmtId="1" fontId="26" fillId="21" borderId="34" xfId="82" applyNumberFormat="1" applyFont="1" applyFill="1" applyBorder="1" applyAlignment="1" applyProtection="1">
      <alignment horizontal="center" vertical="center" wrapText="1"/>
    </xf>
    <xf numFmtId="0" fontId="26" fillId="23" borderId="39" xfId="82" applyNumberFormat="1" applyFont="1" applyFill="1" applyBorder="1" applyAlignment="1" applyProtection="1">
      <alignment horizontal="center" vertical="center" wrapText="1"/>
    </xf>
    <xf numFmtId="0" fontId="26" fillId="0" borderId="22" xfId="82" applyFont="1" applyBorder="1" applyAlignment="1" applyProtection="1">
      <alignment horizontal="left" vertical="center"/>
    </xf>
    <xf numFmtId="0" fontId="2" fillId="0" borderId="22" xfId="82" applyNumberFormat="1" applyFont="1" applyFill="1" applyBorder="1" applyAlignment="1" applyProtection="1">
      <alignment vertical="center" wrapText="1"/>
    </xf>
    <xf numFmtId="0" fontId="26" fillId="0" borderId="75" xfId="82" applyFont="1" applyBorder="1" applyAlignment="1" applyProtection="1">
      <alignment horizontal="left" vertical="center"/>
    </xf>
    <xf numFmtId="171" fontId="2" fillId="0" borderId="58" xfId="84" applyNumberFormat="1" applyFont="1" applyFill="1" applyBorder="1" applyAlignment="1" applyProtection="1">
      <alignment horizontal="center" vertical="center"/>
    </xf>
    <xf numFmtId="171" fontId="33" fillId="22" borderId="20" xfId="84" applyNumberFormat="1" applyFont="1" applyFill="1" applyBorder="1" applyAlignment="1" applyProtection="1">
      <alignment horizontal="center" vertical="center"/>
      <protection locked="0"/>
    </xf>
    <xf numFmtId="0" fontId="33" fillId="23" borderId="61" xfId="84" applyFont="1" applyFill="1" applyBorder="1" applyAlignment="1" applyProtection="1">
      <alignment horizontal="center" vertical="center"/>
    </xf>
    <xf numFmtId="171" fontId="33" fillId="22" borderId="60" xfId="84" applyNumberFormat="1" applyFont="1" applyFill="1" applyBorder="1" applyAlignment="1" applyProtection="1">
      <alignment horizontal="center" vertical="center"/>
      <protection locked="0"/>
    </xf>
    <xf numFmtId="0" fontId="33" fillId="23" borderId="59" xfId="84" applyFont="1" applyFill="1" applyBorder="1" applyAlignment="1" applyProtection="1">
      <alignment horizontal="center" vertical="center"/>
    </xf>
    <xf numFmtId="171" fontId="26" fillId="21" borderId="36" xfId="82" applyNumberFormat="1" applyFont="1" applyFill="1" applyBorder="1" applyAlignment="1" applyProtection="1">
      <alignment horizontal="center" vertical="center" wrapText="1"/>
    </xf>
    <xf numFmtId="171" fontId="26" fillId="21" borderId="35" xfId="82" applyNumberFormat="1" applyFont="1" applyFill="1" applyBorder="1" applyAlignment="1" applyProtection="1">
      <alignment horizontal="center" vertical="center" wrapText="1"/>
    </xf>
    <xf numFmtId="0" fontId="2" fillId="0" borderId="22" xfId="82" applyFont="1" applyBorder="1" applyAlignment="1" applyProtection="1">
      <alignment vertical="center"/>
    </xf>
    <xf numFmtId="0" fontId="26" fillId="23" borderId="69" xfId="82" applyFont="1" applyFill="1" applyBorder="1" applyAlignment="1" applyProtection="1">
      <alignment horizontal="center" vertical="center" wrapText="1"/>
    </xf>
    <xf numFmtId="171" fontId="2" fillId="0" borderId="60" xfId="84" applyNumberFormat="1" applyFont="1" applyFill="1" applyBorder="1" applyAlignment="1" applyProtection="1">
      <alignment horizontal="center" vertical="center"/>
    </xf>
    <xf numFmtId="0" fontId="33" fillId="23" borderId="57" xfId="84" applyFont="1" applyFill="1" applyBorder="1" applyAlignment="1" applyProtection="1">
      <alignment horizontal="center" vertical="center"/>
    </xf>
    <xf numFmtId="171" fontId="2" fillId="0" borderId="46" xfId="84" applyNumberFormat="1" applyFont="1" applyFill="1" applyBorder="1" applyAlignment="1" applyProtection="1">
      <alignment horizontal="center" vertical="center"/>
    </xf>
    <xf numFmtId="171" fontId="2" fillId="0" borderId="47" xfId="84" applyNumberFormat="1" applyFont="1" applyFill="1" applyBorder="1" applyAlignment="1" applyProtection="1">
      <alignment horizontal="center" vertical="center"/>
    </xf>
    <xf numFmtId="0" fontId="2" fillId="0" borderId="79" xfId="82" applyFont="1" applyBorder="1" applyAlignment="1" applyProtection="1">
      <alignment horizontal="left" vertical="center" wrapText="1"/>
    </xf>
    <xf numFmtId="171" fontId="2" fillId="0" borderId="36" xfId="84" applyNumberFormat="1" applyFont="1" applyFill="1" applyBorder="1" applyAlignment="1" applyProtection="1">
      <alignment horizontal="center" vertical="center"/>
    </xf>
    <xf numFmtId="171" fontId="2" fillId="0" borderId="35" xfId="84" applyNumberFormat="1" applyFont="1" applyFill="1" applyBorder="1" applyAlignment="1" applyProtection="1">
      <alignment horizontal="center" vertical="center"/>
    </xf>
    <xf numFmtId="0" fontId="33" fillId="23" borderId="39" xfId="84" applyFont="1" applyFill="1" applyBorder="1" applyAlignment="1" applyProtection="1">
      <alignment horizontal="center" vertical="center"/>
    </xf>
    <xf numFmtId="0" fontId="2" fillId="0" borderId="86" xfId="82" applyFont="1" applyBorder="1" applyAlignment="1" applyProtection="1">
      <alignment vertical="center"/>
    </xf>
    <xf numFmtId="1" fontId="2" fillId="0" borderId="60" xfId="84" applyNumberFormat="1" applyFont="1" applyFill="1" applyBorder="1" applyAlignment="1" applyProtection="1">
      <alignment horizontal="center" vertical="center"/>
    </xf>
    <xf numFmtId="1" fontId="2" fillId="0" borderId="59" xfId="84" applyNumberFormat="1" applyFont="1" applyFill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vertical="center"/>
    </xf>
    <xf numFmtId="0" fontId="26" fillId="0" borderId="47" xfId="82" applyFont="1" applyFill="1" applyBorder="1" applyAlignment="1" applyProtection="1">
      <alignment vertical="center" wrapText="1"/>
    </xf>
    <xf numFmtId="0" fontId="26" fillId="0" borderId="61" xfId="82" applyFont="1" applyFill="1" applyBorder="1" applyAlignment="1" applyProtection="1">
      <alignment vertical="center" wrapText="1"/>
    </xf>
    <xf numFmtId="0" fontId="2" fillId="0" borderId="66" xfId="82" applyFont="1" applyBorder="1" applyAlignment="1" applyProtection="1">
      <alignment vertical="center"/>
    </xf>
    <xf numFmtId="0" fontId="26" fillId="23" borderId="37" xfId="82" applyNumberFormat="1" applyFont="1" applyFill="1" applyBorder="1" applyAlignment="1" applyProtection="1">
      <alignment horizontal="center" vertical="center" wrapText="1"/>
    </xf>
    <xf numFmtId="0" fontId="2" fillId="23" borderId="35" xfId="84" applyFont="1" applyFill="1" applyBorder="1" applyAlignment="1" applyProtection="1">
      <alignment horizontal="center" vertical="center"/>
    </xf>
    <xf numFmtId="1" fontId="26" fillId="0" borderId="68" xfId="68" applyNumberFormat="1" applyFont="1" applyBorder="1" applyAlignment="1" applyProtection="1">
      <alignment horizontal="center" vertical="center" wrapText="1"/>
    </xf>
    <xf numFmtId="1" fontId="26" fillId="0" borderId="69" xfId="68" applyNumberFormat="1" applyFont="1" applyBorder="1" applyAlignment="1" applyProtection="1">
      <alignment horizontal="center" vertical="center" wrapText="1"/>
    </xf>
    <xf numFmtId="1" fontId="26" fillId="0" borderId="48" xfId="68" applyNumberFormat="1" applyFont="1" applyBorder="1" applyAlignment="1" applyProtection="1">
      <alignment horizontal="center" vertical="center"/>
    </xf>
    <xf numFmtId="1" fontId="26" fillId="0" borderId="63" xfId="68" applyNumberFormat="1" applyFont="1" applyBorder="1" applyAlignment="1" applyProtection="1">
      <alignment horizontal="center" vertical="center"/>
    </xf>
    <xf numFmtId="1" fontId="2" fillId="0" borderId="27" xfId="68" applyNumberFormat="1" applyFont="1" applyFill="1" applyBorder="1" applyAlignment="1" applyProtection="1">
      <alignment vertical="center"/>
    </xf>
    <xf numFmtId="0" fontId="26" fillId="0" borderId="0" xfId="68" applyFont="1" applyBorder="1" applyAlignment="1" applyProtection="1">
      <alignment vertical="center"/>
    </xf>
    <xf numFmtId="0" fontId="2" fillId="0" borderId="0" xfId="68" applyFont="1" applyBorder="1" applyAlignment="1" applyProtection="1">
      <alignment vertical="center"/>
    </xf>
    <xf numFmtId="1" fontId="2" fillId="0" borderId="51" xfId="78" applyNumberFormat="1" applyFont="1" applyFill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vertical="center"/>
    </xf>
    <xf numFmtId="0" fontId="2" fillId="0" borderId="51" xfId="0" applyFont="1" applyBorder="1" applyAlignment="1" applyProtection="1">
      <alignment vertical="center"/>
    </xf>
    <xf numFmtId="1" fontId="2" fillId="0" borderId="62" xfId="78" applyNumberFormat="1" applyFont="1" applyBorder="1" applyAlignment="1" applyProtection="1">
      <alignment vertical="center"/>
    </xf>
    <xf numFmtId="0" fontId="2" fillId="0" borderId="44" xfId="0" applyFont="1" applyBorder="1" applyAlignment="1" applyProtection="1">
      <alignment vertical="center"/>
    </xf>
    <xf numFmtId="0" fontId="2" fillId="0" borderId="62" xfId="0" applyFont="1" applyBorder="1" applyAlignment="1" applyProtection="1">
      <alignment vertical="center"/>
    </xf>
    <xf numFmtId="0" fontId="2" fillId="0" borderId="27" xfId="68" applyFont="1" applyBorder="1" applyAlignment="1" applyProtection="1">
      <alignment vertical="center"/>
    </xf>
    <xf numFmtId="0" fontId="2" fillId="0" borderId="62" xfId="78" applyFont="1" applyBorder="1" applyAlignment="1" applyProtection="1">
      <alignment horizontal="center" vertical="center"/>
    </xf>
    <xf numFmtId="2" fontId="33" fillId="22" borderId="44" xfId="0" applyNumberFormat="1" applyFont="1" applyFill="1" applyBorder="1" applyAlignment="1" applyProtection="1">
      <alignment horizontal="center" vertical="center"/>
      <protection locked="0"/>
    </xf>
    <xf numFmtId="2" fontId="33" fillId="22" borderId="62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2" fontId="2" fillId="0" borderId="62" xfId="0" applyNumberFormat="1" applyFont="1" applyBorder="1" applyAlignment="1" applyProtection="1">
      <alignment horizontal="center" vertical="center"/>
    </xf>
    <xf numFmtId="2" fontId="2" fillId="23" borderId="46" xfId="85" applyNumberFormat="1" applyFont="1" applyFill="1" applyBorder="1" applyAlignment="1" applyProtection="1">
      <alignment horizontal="center" vertical="center"/>
    </xf>
    <xf numFmtId="2" fontId="2" fillId="23" borderId="61" xfId="85" applyNumberFormat="1" applyFont="1" applyFill="1" applyBorder="1" applyAlignment="1" applyProtection="1">
      <alignment horizontal="center" vertical="center"/>
    </xf>
    <xf numFmtId="1" fontId="26" fillId="0" borderId="30" xfId="68" applyNumberFormat="1" applyFont="1" applyBorder="1" applyAlignment="1" applyProtection="1">
      <alignment vertical="center"/>
    </xf>
    <xf numFmtId="1" fontId="26" fillId="0" borderId="31" xfId="68" applyNumberFormat="1" applyFont="1" applyBorder="1" applyAlignment="1" applyProtection="1">
      <alignment vertical="center"/>
    </xf>
    <xf numFmtId="172" fontId="33" fillId="0" borderId="63" xfId="78" applyNumberFormat="1" applyFont="1" applyFill="1" applyBorder="1" applyAlignment="1" applyProtection="1">
      <alignment vertical="center"/>
    </xf>
    <xf numFmtId="2" fontId="2" fillId="0" borderId="48" xfId="0" applyNumberFormat="1" applyFont="1" applyBorder="1" applyAlignment="1" applyProtection="1">
      <alignment horizontal="center" vertical="center"/>
    </xf>
    <xf numFmtId="2" fontId="2" fillId="0" borderId="63" xfId="0" applyNumberFormat="1" applyFont="1" applyBorder="1" applyAlignment="1" applyProtection="1">
      <alignment horizontal="center" vertical="center"/>
    </xf>
    <xf numFmtId="0" fontId="2" fillId="0" borderId="21" xfId="68" applyFont="1" applyBorder="1" applyAlignment="1" applyProtection="1">
      <alignment vertical="center"/>
    </xf>
    <xf numFmtId="0" fontId="26" fillId="0" borderId="22" xfId="68" applyFont="1" applyBorder="1" applyAlignment="1" applyProtection="1">
      <alignment vertical="center"/>
    </xf>
    <xf numFmtId="0" fontId="2" fillId="0" borderId="0" xfId="70" applyFont="1" applyAlignment="1" applyProtection="1">
      <alignment vertical="center"/>
    </xf>
    <xf numFmtId="0" fontId="2" fillId="0" borderId="62" xfId="78" applyFont="1" applyFill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</xf>
    <xf numFmtId="2" fontId="2" fillId="0" borderId="39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39" xfId="0" applyFont="1" applyBorder="1" applyAlignment="1" applyProtection="1"/>
    <xf numFmtId="1" fontId="2" fillId="0" borderId="21" xfId="68" applyNumberFormat="1" applyFont="1" applyFill="1" applyBorder="1" applyAlignment="1" applyProtection="1">
      <alignment vertical="center"/>
    </xf>
    <xf numFmtId="0" fontId="2" fillId="0" borderId="22" xfId="68" applyFont="1" applyBorder="1" applyAlignment="1" applyProtection="1">
      <alignment vertical="center"/>
    </xf>
    <xf numFmtId="0" fontId="2" fillId="0" borderId="51" xfId="78" applyFont="1" applyBorder="1" applyAlignment="1" applyProtection="1">
      <alignment horizontal="center" vertical="center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51" xfId="0" applyNumberFormat="1" applyFont="1" applyBorder="1" applyAlignment="1" applyProtection="1">
      <alignment horizontal="center" vertical="center"/>
    </xf>
    <xf numFmtId="2" fontId="33" fillId="0" borderId="44" xfId="0" applyNumberFormat="1" applyFont="1" applyFill="1" applyBorder="1" applyAlignment="1" applyProtection="1">
      <alignment horizontal="center" vertical="center"/>
    </xf>
    <xf numFmtId="2" fontId="33" fillId="0" borderId="62" xfId="0" applyNumberFormat="1" applyFont="1" applyFill="1" applyBorder="1" applyAlignment="1" applyProtection="1">
      <alignment horizontal="center" vertical="center"/>
    </xf>
    <xf numFmtId="0" fontId="2" fillId="0" borderId="0" xfId="68" applyFont="1" applyBorder="1" applyAlignment="1" applyProtection="1">
      <alignment horizontal="left" vertical="center"/>
    </xf>
    <xf numFmtId="0" fontId="2" fillId="0" borderId="30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vertical="center"/>
    </xf>
    <xf numFmtId="0" fontId="26" fillId="0" borderId="31" xfId="68" applyFont="1" applyBorder="1" applyAlignment="1" applyProtection="1">
      <alignment vertical="center"/>
    </xf>
    <xf numFmtId="0" fontId="2" fillId="0" borderId="31" xfId="68" applyFont="1" applyBorder="1" applyAlignment="1" applyProtection="1">
      <alignment horizontal="left" vertical="center"/>
    </xf>
    <xf numFmtId="0" fontId="2" fillId="0" borderId="63" xfId="78" applyFont="1" applyBorder="1" applyAlignment="1" applyProtection="1">
      <alignment horizontal="center" vertical="center"/>
    </xf>
    <xf numFmtId="2" fontId="33" fillId="22" borderId="48" xfId="0" applyNumberFormat="1" applyFont="1" applyFill="1" applyBorder="1" applyAlignment="1" applyProtection="1">
      <alignment horizontal="center" vertical="center"/>
      <protection locked="0"/>
    </xf>
    <xf numFmtId="2" fontId="33" fillId="22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14" xfId="86" applyFont="1" applyBorder="1" applyAlignment="1">
      <alignment vertical="center"/>
    </xf>
    <xf numFmtId="0" fontId="30" fillId="0" borderId="14" xfId="86" applyFont="1" applyBorder="1" applyAlignment="1">
      <alignment vertical="center"/>
    </xf>
    <xf numFmtId="0" fontId="30" fillId="0" borderId="15" xfId="86" applyFont="1" applyBorder="1" applyAlignment="1">
      <alignment vertical="center"/>
    </xf>
    <xf numFmtId="0" fontId="29" fillId="0" borderId="0" xfId="86" applyFont="1" applyBorder="1" applyAlignment="1">
      <alignment vertical="center"/>
    </xf>
    <xf numFmtId="0" fontId="30" fillId="0" borderId="0" xfId="86" applyFont="1" applyBorder="1" applyAlignment="1">
      <alignment vertical="center"/>
    </xf>
    <xf numFmtId="0" fontId="30" fillId="0" borderId="17" xfId="86" applyFont="1" applyBorder="1" applyAlignment="1">
      <alignment vertical="center"/>
    </xf>
    <xf numFmtId="0" fontId="29" fillId="0" borderId="17" xfId="86" applyFont="1" applyBorder="1" applyAlignment="1">
      <alignment horizontal="center" vertical="center" textRotation="90" wrapText="1"/>
    </xf>
    <xf numFmtId="0" fontId="52" fillId="0" borderId="0" xfId="0" applyFont="1" applyAlignment="1">
      <alignment vertical="center"/>
    </xf>
    <xf numFmtId="0" fontId="53" fillId="0" borderId="47" xfId="86" applyFont="1" applyBorder="1" applyAlignment="1">
      <alignment vertical="center" wrapText="1"/>
    </xf>
    <xf numFmtId="171" fontId="53" fillId="0" borderId="47" xfId="86" applyNumberFormat="1" applyFont="1" applyBorder="1" applyAlignment="1" applyProtection="1">
      <alignment horizontal="center" textRotation="90" wrapText="1"/>
    </xf>
    <xf numFmtId="171" fontId="53" fillId="0" borderId="60" xfId="86" applyNumberFormat="1" applyFont="1" applyBorder="1" applyAlignment="1" applyProtection="1">
      <alignment horizontal="center" textRotation="90" wrapText="1"/>
    </xf>
    <xf numFmtId="0" fontId="54" fillId="0" borderId="17" xfId="86" applyFont="1" applyBorder="1" applyAlignment="1">
      <alignment horizontal="center" vertical="center" textRotation="90" wrapText="1"/>
    </xf>
    <xf numFmtId="0" fontId="30" fillId="0" borderId="47" xfId="86" applyFont="1" applyBorder="1" applyAlignment="1">
      <alignment vertical="center"/>
    </xf>
    <xf numFmtId="0" fontId="30" fillId="0" borderId="47" xfId="86" applyFont="1" applyBorder="1" applyAlignment="1">
      <alignment horizontal="center" vertical="center"/>
    </xf>
    <xf numFmtId="0" fontId="30" fillId="0" borderId="10" xfId="86" applyFont="1" applyBorder="1" applyAlignment="1">
      <alignment horizontal="center" vertical="center"/>
    </xf>
    <xf numFmtId="0" fontId="30" fillId="0" borderId="38" xfId="86" applyFont="1" applyBorder="1" applyAlignment="1">
      <alignment horizontal="center" vertical="center"/>
    </xf>
    <xf numFmtId="0" fontId="30" fillId="0" borderId="70" xfId="86" applyFont="1" applyBorder="1" applyAlignment="1">
      <alignment vertical="center"/>
    </xf>
    <xf numFmtId="0" fontId="30" fillId="0" borderId="70" xfId="86" applyFont="1" applyBorder="1" applyAlignment="1">
      <alignment horizontal="center" vertical="center"/>
    </xf>
    <xf numFmtId="0" fontId="30" fillId="0" borderId="13" xfId="86" applyFont="1" applyBorder="1" applyAlignment="1">
      <alignment horizontal="center" vertical="center"/>
    </xf>
    <xf numFmtId="0" fontId="30" fillId="0" borderId="73" xfId="86" applyFont="1" applyBorder="1" applyAlignment="1">
      <alignment horizontal="center" vertical="center"/>
    </xf>
    <xf numFmtId="0" fontId="30" fillId="0" borderId="45" xfId="86" applyFont="1" applyBorder="1" applyAlignment="1">
      <alignment vertical="center"/>
    </xf>
    <xf numFmtId="173" fontId="30" fillId="0" borderId="45" xfId="86" applyNumberFormat="1" applyFont="1" applyBorder="1"/>
    <xf numFmtId="37" fontId="30" fillId="0" borderId="17" xfId="86" applyNumberFormat="1" applyFont="1" applyBorder="1" applyAlignment="1">
      <alignment vertical="center"/>
    </xf>
    <xf numFmtId="174" fontId="30" fillId="24" borderId="60" xfId="86" applyNumberFormat="1" applyFont="1" applyFill="1" applyBorder="1"/>
    <xf numFmtId="174" fontId="30" fillId="0" borderId="60" xfId="86" applyNumberFormat="1" applyFont="1" applyBorder="1"/>
    <xf numFmtId="173" fontId="30" fillId="0" borderId="17" xfId="86" applyNumberFormat="1" applyFont="1" applyBorder="1" applyAlignment="1">
      <alignment vertical="center"/>
    </xf>
    <xf numFmtId="0" fontId="30" fillId="0" borderId="60" xfId="86" applyFont="1" applyBorder="1" applyAlignment="1">
      <alignment vertical="center"/>
    </xf>
    <xf numFmtId="173" fontId="30" fillId="0" borderId="60" xfId="86" applyNumberFormat="1" applyFont="1" applyBorder="1" applyAlignment="1">
      <alignment vertical="center"/>
    </xf>
    <xf numFmtId="173" fontId="30" fillId="0" borderId="18" xfId="86" applyNumberFormat="1" applyFont="1" applyBorder="1" applyAlignment="1">
      <alignment vertical="center"/>
    </xf>
    <xf numFmtId="173" fontId="30" fillId="0" borderId="33" xfId="86" applyNumberFormat="1" applyFont="1" applyBorder="1" applyAlignment="1">
      <alignment vertical="center"/>
    </xf>
    <xf numFmtId="173" fontId="30" fillId="0" borderId="0" xfId="86" applyNumberFormat="1" applyFont="1" applyBorder="1" applyAlignment="1">
      <alignment vertical="center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Border="1" applyAlignment="1">
      <alignment horizontal="right" vertical="center"/>
    </xf>
    <xf numFmtId="37" fontId="29" fillId="0" borderId="0" xfId="0" applyNumberFormat="1" applyFont="1" applyFill="1" applyBorder="1" applyAlignment="1">
      <alignment vertical="center"/>
    </xf>
    <xf numFmtId="0" fontId="55" fillId="0" borderId="0" xfId="0" applyFont="1" applyBorder="1" applyAlignment="1" applyProtection="1">
      <alignment horizontal="center" vertical="center"/>
    </xf>
    <xf numFmtId="0" fontId="30" fillId="0" borderId="19" xfId="86" applyFont="1" applyBorder="1" applyAlignment="1">
      <alignment vertical="center"/>
    </xf>
    <xf numFmtId="173" fontId="30" fillId="0" borderId="19" xfId="86" applyNumberFormat="1" applyFont="1" applyBorder="1" applyAlignment="1">
      <alignment vertical="center"/>
    </xf>
    <xf numFmtId="37" fontId="30" fillId="0" borderId="20" xfId="86" applyNumberFormat="1" applyFont="1" applyBorder="1" applyAlignment="1">
      <alignment vertical="center"/>
    </xf>
    <xf numFmtId="0" fontId="5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77" xfId="0" applyFont="1" applyBorder="1" applyAlignment="1">
      <alignment vertical="center"/>
    </xf>
    <xf numFmtId="0" fontId="49" fillId="0" borderId="78" xfId="0" applyFont="1" applyBorder="1" applyAlignment="1" applyProtection="1">
      <alignment horizontal="center" vertical="center" wrapText="1"/>
    </xf>
    <xf numFmtId="0" fontId="28" fillId="0" borderId="26" xfId="0" applyFont="1" applyBorder="1" applyAlignment="1">
      <alignment vertical="center"/>
    </xf>
    <xf numFmtId="0" fontId="49" fillId="0" borderId="78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78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56" fillId="0" borderId="0" xfId="0" applyFont="1" applyBorder="1" applyAlignment="1">
      <alignment horizontal="left" vertical="center"/>
    </xf>
    <xf numFmtId="0" fontId="49" fillId="0" borderId="26" xfId="0" applyFont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 applyProtection="1">
      <alignment horizontal="center" vertical="center"/>
    </xf>
    <xf numFmtId="0" fontId="49" fillId="0" borderId="55" xfId="0" applyFont="1" applyBorder="1" applyAlignment="1" applyProtection="1">
      <alignment horizontal="center" vertical="center"/>
    </xf>
    <xf numFmtId="0" fontId="49" fillId="0" borderId="88" xfId="0" applyFont="1" applyBorder="1" applyAlignment="1" applyProtection="1">
      <alignment horizontal="center" vertical="center"/>
    </xf>
    <xf numFmtId="0" fontId="49" fillId="0" borderId="86" xfId="0" applyFont="1" applyBorder="1" applyAlignment="1" applyProtection="1">
      <alignment horizontal="center" vertical="center"/>
    </xf>
    <xf numFmtId="0" fontId="49" fillId="0" borderId="24" xfId="0" applyFont="1" applyBorder="1" applyAlignment="1" applyProtection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9" fillId="0" borderId="5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78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 vertical="center" wrapText="1"/>
    </xf>
    <xf numFmtId="175" fontId="28" fillId="0" borderId="0" xfId="0" applyNumberFormat="1" applyFont="1" applyAlignment="1">
      <alignment horizontal="right" vertical="center"/>
    </xf>
    <xf numFmtId="175" fontId="48" fillId="22" borderId="86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Border="1" applyAlignment="1"/>
    <xf numFmtId="175" fontId="48" fillId="22" borderId="38" xfId="0" applyNumberFormat="1" applyFont="1" applyFill="1" applyBorder="1" applyAlignment="1" applyProtection="1">
      <alignment horizontal="right"/>
      <protection locked="0"/>
    </xf>
    <xf numFmtId="175" fontId="48" fillId="22" borderId="58" xfId="0" applyNumberFormat="1" applyFont="1" applyFill="1" applyBorder="1" applyAlignment="1" applyProtection="1">
      <alignment horizontal="right"/>
      <protection locked="0"/>
    </xf>
    <xf numFmtId="175" fontId="48" fillId="22" borderId="18" xfId="0" applyNumberFormat="1" applyFont="1" applyFill="1" applyBorder="1" applyAlignment="1" applyProtection="1">
      <alignment horizontal="right"/>
      <protection locked="0"/>
    </xf>
    <xf numFmtId="175" fontId="28" fillId="29" borderId="75" xfId="0" applyNumberFormat="1" applyFont="1" applyFill="1" applyBorder="1" applyAlignment="1">
      <alignment horizontal="right"/>
    </xf>
    <xf numFmtId="175" fontId="48" fillId="22" borderId="69" xfId="0" applyNumberFormat="1" applyFont="1" applyFill="1" applyBorder="1" applyAlignment="1" applyProtection="1">
      <alignment horizontal="right" vertical="center"/>
      <protection locked="0"/>
    </xf>
    <xf numFmtId="175" fontId="48" fillId="22" borderId="62" xfId="0" applyNumberFormat="1" applyFont="1" applyFill="1" applyBorder="1" applyAlignment="1" applyProtection="1">
      <alignment horizontal="right" vertical="center"/>
      <protection locked="0"/>
    </xf>
    <xf numFmtId="175" fontId="48" fillId="22" borderId="59" xfId="0" applyNumberFormat="1" applyFont="1" applyFill="1" applyBorder="1" applyAlignment="1" applyProtection="1">
      <alignment horizontal="right" vertical="center"/>
      <protection locked="0"/>
    </xf>
    <xf numFmtId="175" fontId="48" fillId="22" borderId="76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/>
    </xf>
    <xf numFmtId="175" fontId="48" fillId="22" borderId="75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 applyProtection="1">
      <alignment horizontal="left" vertical="center" wrapText="1"/>
    </xf>
    <xf numFmtId="175" fontId="48" fillId="22" borderId="46" xfId="0" applyNumberFormat="1" applyFont="1" applyFill="1" applyBorder="1" applyAlignment="1" applyProtection="1">
      <alignment horizontal="right"/>
      <protection locked="0"/>
    </xf>
    <xf numFmtId="175" fontId="48" fillId="22" borderId="10" xfId="0" applyNumberFormat="1" applyFont="1" applyFill="1" applyBorder="1" applyAlignment="1" applyProtection="1">
      <alignment horizontal="right"/>
      <protection locked="0"/>
    </xf>
    <xf numFmtId="175" fontId="28" fillId="29" borderId="38" xfId="0" applyNumberFormat="1" applyFont="1" applyFill="1" applyBorder="1" applyAlignment="1">
      <alignment horizontal="right"/>
    </xf>
    <xf numFmtId="175" fontId="48" fillId="22" borderId="68" xfId="0" applyNumberFormat="1" applyFont="1" applyFill="1" applyBorder="1" applyAlignment="1" applyProtection="1">
      <alignment horizontal="right"/>
      <protection locked="0"/>
    </xf>
    <xf numFmtId="175" fontId="48" fillId="22" borderId="13" xfId="0" applyNumberFormat="1" applyFont="1" applyFill="1" applyBorder="1" applyAlignment="1" applyProtection="1">
      <alignment horizontal="right"/>
      <protection locked="0"/>
    </xf>
    <xf numFmtId="175" fontId="28" fillId="29" borderId="73" xfId="0" applyNumberFormat="1" applyFont="1" applyFill="1" applyBorder="1" applyAlignment="1">
      <alignment horizontal="right"/>
    </xf>
    <xf numFmtId="175" fontId="48" fillId="22" borderId="73" xfId="0" applyNumberFormat="1" applyFont="1" applyFill="1" applyBorder="1" applyAlignment="1" applyProtection="1">
      <alignment horizontal="right"/>
      <protection locked="0"/>
    </xf>
    <xf numFmtId="175" fontId="48" fillId="22" borderId="55" xfId="0" applyNumberFormat="1" applyFont="1" applyFill="1" applyBorder="1" applyAlignment="1" applyProtection="1">
      <alignment horizontal="right"/>
      <protection locked="0"/>
    </xf>
    <xf numFmtId="175" fontId="48" fillId="22" borderId="88" xfId="0" applyNumberFormat="1" applyFont="1" applyFill="1" applyBorder="1" applyAlignment="1" applyProtection="1">
      <alignment horizontal="right"/>
      <protection locked="0"/>
    </xf>
    <xf numFmtId="175" fontId="28" fillId="29" borderId="86" xfId="0" applyNumberFormat="1" applyFont="1" applyFill="1" applyBorder="1" applyAlignment="1">
      <alignment horizontal="right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Border="1" applyAlignment="1" applyProtection="1">
      <alignment horizontal="left" vertical="center" wrapText="1"/>
    </xf>
    <xf numFmtId="175" fontId="48" fillId="22" borderId="36" xfId="0" applyNumberFormat="1" applyFont="1" applyFill="1" applyBorder="1" applyAlignment="1" applyProtection="1">
      <alignment horizontal="right"/>
      <protection locked="0"/>
    </xf>
    <xf numFmtId="175" fontId="48" fillId="22" borderId="37" xfId="0" applyNumberFormat="1" applyFont="1" applyFill="1" applyBorder="1" applyAlignment="1" applyProtection="1">
      <alignment horizontal="right"/>
      <protection locked="0"/>
    </xf>
    <xf numFmtId="175" fontId="28" fillId="29" borderId="76" xfId="0" applyNumberFormat="1" applyFont="1" applyFill="1" applyBorder="1" applyAlignment="1">
      <alignment horizontal="right"/>
    </xf>
    <xf numFmtId="175" fontId="48" fillId="22" borderId="57" xfId="0" applyNumberFormat="1" applyFont="1" applyFill="1" applyBorder="1" applyAlignment="1" applyProtection="1">
      <alignment horizontal="right"/>
      <protection locked="0"/>
    </xf>
    <xf numFmtId="175" fontId="48" fillId="22" borderId="55" xfId="0" applyNumberFormat="1" applyFont="1" applyFill="1" applyBorder="1" applyAlignment="1" applyProtection="1">
      <alignment horizontal="right" vertical="center"/>
      <protection locked="0"/>
    </xf>
    <xf numFmtId="175" fontId="28" fillId="29" borderId="86" xfId="0" applyNumberFormat="1" applyFont="1" applyFill="1" applyBorder="1" applyAlignment="1">
      <alignment horizontal="right" vertical="center"/>
    </xf>
    <xf numFmtId="175" fontId="48" fillId="22" borderId="86" xfId="0" applyNumberFormat="1" applyFont="1" applyFill="1" applyBorder="1" applyAlignment="1" applyProtection="1">
      <alignment horizontal="right" vertical="center"/>
      <protection locked="0"/>
    </xf>
    <xf numFmtId="0" fontId="28" fillId="0" borderId="61" xfId="0" applyFont="1" applyFill="1" applyBorder="1" applyAlignment="1" applyProtection="1">
      <alignment horizontal="left" vertical="center"/>
    </xf>
    <xf numFmtId="175" fontId="48" fillId="22" borderId="61" xfId="0" applyNumberFormat="1" applyFont="1" applyFill="1" applyBorder="1" applyAlignment="1" applyProtection="1">
      <alignment horizontal="right"/>
      <protection locked="0"/>
    </xf>
    <xf numFmtId="175" fontId="48" fillId="22" borderId="46" xfId="0" applyNumberFormat="1" applyFont="1" applyFill="1" applyBorder="1" applyAlignment="1" applyProtection="1">
      <alignment horizontal="right" vertical="center"/>
      <protection locked="0"/>
    </xf>
    <xf numFmtId="175" fontId="28" fillId="29" borderId="38" xfId="0" applyNumberFormat="1" applyFont="1" applyFill="1" applyBorder="1" applyAlignment="1">
      <alignment horizontal="right" vertical="center"/>
    </xf>
    <xf numFmtId="175" fontId="48" fillId="22" borderId="38" xfId="0" applyNumberFormat="1" applyFont="1" applyFill="1" applyBorder="1" applyAlignment="1" applyProtection="1">
      <alignment horizontal="right" vertical="center"/>
      <protection locked="0"/>
    </xf>
    <xf numFmtId="175" fontId="48" fillId="22" borderId="69" xfId="0" applyNumberFormat="1" applyFont="1" applyFill="1" applyBorder="1" applyAlignment="1" applyProtection="1">
      <alignment horizontal="right"/>
      <protection locked="0"/>
    </xf>
    <xf numFmtId="175" fontId="48" fillId="22" borderId="36" xfId="0" applyNumberFormat="1" applyFont="1" applyFill="1" applyBorder="1" applyAlignment="1" applyProtection="1">
      <alignment horizontal="right" vertical="center"/>
      <protection locked="0"/>
    </xf>
    <xf numFmtId="175" fontId="28" fillId="29" borderId="76" xfId="0" applyNumberFormat="1" applyFont="1" applyFill="1" applyBorder="1" applyAlignment="1">
      <alignment horizontal="right" vertical="center"/>
    </xf>
    <xf numFmtId="175" fontId="48" fillId="22" borderId="76" xfId="0" applyNumberFormat="1" applyFont="1" applyFill="1" applyBorder="1" applyAlignment="1" applyProtection="1">
      <alignment horizontal="right" vertical="center"/>
      <protection locked="0"/>
    </xf>
    <xf numFmtId="175" fontId="48" fillId="22" borderId="85" xfId="0" applyNumberFormat="1" applyFont="1" applyFill="1" applyBorder="1" applyAlignment="1" applyProtection="1">
      <alignment horizontal="right"/>
      <protection locked="0"/>
    </xf>
    <xf numFmtId="175" fontId="48" fillId="22" borderId="25" xfId="0" applyNumberFormat="1" applyFont="1" applyFill="1" applyBorder="1" applyAlignment="1" applyProtection="1">
      <alignment horizontal="right"/>
      <protection locked="0"/>
    </xf>
    <xf numFmtId="175" fontId="28" fillId="29" borderId="78" xfId="0" applyNumberFormat="1" applyFont="1" applyFill="1" applyBorder="1" applyAlignment="1">
      <alignment horizontal="right"/>
    </xf>
    <xf numFmtId="175" fontId="48" fillId="22" borderId="78" xfId="0" applyNumberFormat="1" applyFont="1" applyFill="1" applyBorder="1" applyAlignment="1" applyProtection="1">
      <alignment horizontal="right"/>
      <protection locked="0"/>
    </xf>
    <xf numFmtId="175" fontId="48" fillId="22" borderId="85" xfId="0" applyNumberFormat="1" applyFont="1" applyFill="1" applyBorder="1" applyAlignment="1" applyProtection="1">
      <alignment horizontal="right" vertical="center"/>
      <protection locked="0"/>
    </xf>
    <xf numFmtId="175" fontId="28" fillId="29" borderId="78" xfId="0" applyNumberFormat="1" applyFont="1" applyFill="1" applyBorder="1" applyAlignment="1">
      <alignment horizontal="right" vertical="center"/>
    </xf>
    <xf numFmtId="175" fontId="48" fillId="22" borderId="78" xfId="0" applyNumberFormat="1" applyFont="1" applyFill="1" applyBorder="1" applyAlignment="1" applyProtection="1">
      <alignment horizontal="right" vertical="center"/>
      <protection locked="0"/>
    </xf>
    <xf numFmtId="0" fontId="49" fillId="0" borderId="0" xfId="0" applyFont="1" applyBorder="1" applyAlignment="1" applyProtection="1">
      <alignment horizontal="left" vertical="center" wrapText="1"/>
    </xf>
    <xf numFmtId="175" fontId="48" fillId="23" borderId="30" xfId="0" applyNumberFormat="1" applyFont="1" applyFill="1" applyBorder="1" applyAlignment="1">
      <alignment horizontal="right"/>
    </xf>
    <xf numFmtId="175" fontId="48" fillId="23" borderId="31" xfId="0" applyNumberFormat="1" applyFont="1" applyFill="1" applyBorder="1" applyAlignment="1">
      <alignment horizontal="right"/>
    </xf>
    <xf numFmtId="175" fontId="28" fillId="23" borderId="33" xfId="0" applyNumberFormat="1" applyFont="1" applyFill="1" applyBorder="1" applyAlignment="1">
      <alignment horizontal="right"/>
    </xf>
    <xf numFmtId="175" fontId="28" fillId="0" borderId="0" xfId="0" applyNumberFormat="1" applyFont="1" applyFill="1" applyAlignment="1">
      <alignment horizontal="right" vertical="center"/>
    </xf>
    <xf numFmtId="175" fontId="48" fillId="22" borderId="33" xfId="0" applyNumberFormat="1" applyFont="1" applyFill="1" applyBorder="1" applyAlignment="1" applyProtection="1">
      <alignment horizontal="right"/>
      <protection locked="0"/>
    </xf>
    <xf numFmtId="0" fontId="28" fillId="0" borderId="0" xfId="0" applyFont="1" applyFill="1" applyAlignment="1" applyProtection="1">
      <alignment vertical="center"/>
    </xf>
    <xf numFmtId="175" fontId="48" fillId="23" borderId="77" xfId="0" applyNumberFormat="1" applyFont="1" applyFill="1" applyBorder="1" applyAlignment="1">
      <alignment horizontal="right" vertical="center"/>
    </xf>
    <xf numFmtId="175" fontId="48" fillId="23" borderId="25" xfId="0" applyNumberFormat="1" applyFont="1" applyFill="1" applyBorder="1" applyAlignment="1">
      <alignment horizontal="right" vertical="center"/>
    </xf>
    <xf numFmtId="175" fontId="28" fillId="23" borderId="33" xfId="0" applyNumberFormat="1" applyFont="1" applyFill="1" applyBorder="1" applyAlignment="1">
      <alignment horizontal="right" vertical="center"/>
    </xf>
    <xf numFmtId="175" fontId="48" fillId="23" borderId="78" xfId="0" applyNumberFormat="1" applyFont="1" applyFill="1" applyBorder="1" applyAlignment="1">
      <alignment horizontal="right" vertical="center"/>
    </xf>
    <xf numFmtId="175" fontId="48" fillId="22" borderId="84" xfId="0" applyNumberFormat="1" applyFont="1" applyFill="1" applyBorder="1" applyAlignment="1" applyProtection="1">
      <alignment horizontal="right"/>
      <protection locked="0"/>
    </xf>
    <xf numFmtId="175" fontId="48" fillId="23" borderId="78" xfId="0" applyNumberFormat="1" applyFont="1" applyFill="1" applyBorder="1" applyAlignment="1" applyProtection="1">
      <alignment horizontal="right"/>
    </xf>
    <xf numFmtId="175" fontId="28" fillId="23" borderId="78" xfId="0" applyNumberFormat="1" applyFont="1" applyFill="1" applyBorder="1" applyAlignment="1" applyProtection="1">
      <alignment horizontal="right"/>
    </xf>
    <xf numFmtId="175" fontId="48" fillId="23" borderId="30" xfId="0" applyNumberFormat="1" applyFont="1" applyFill="1" applyBorder="1" applyAlignment="1">
      <alignment horizontal="right" vertical="center"/>
    </xf>
    <xf numFmtId="175" fontId="48" fillId="23" borderId="31" xfId="0" applyNumberFormat="1" applyFont="1" applyFill="1" applyBorder="1" applyAlignment="1">
      <alignment horizontal="right" vertical="center"/>
    </xf>
    <xf numFmtId="175" fontId="48" fillId="23" borderId="33" xfId="0" applyNumberFormat="1" applyFont="1" applyFill="1" applyBorder="1" applyAlignment="1">
      <alignment horizontal="right" vertical="center"/>
    </xf>
    <xf numFmtId="175" fontId="48" fillId="22" borderId="32" xfId="0" applyNumberFormat="1" applyFont="1" applyFill="1" applyBorder="1" applyAlignment="1" applyProtection="1">
      <alignment horizontal="right"/>
      <protection locked="0"/>
    </xf>
    <xf numFmtId="0" fontId="49" fillId="0" borderId="0" xfId="0" applyFont="1" applyBorder="1" applyAlignment="1">
      <alignment vertical="center"/>
    </xf>
    <xf numFmtId="175" fontId="49" fillId="29" borderId="33" xfId="0" applyNumberFormat="1" applyFont="1" applyFill="1" applyBorder="1" applyAlignment="1">
      <alignment horizontal="right"/>
    </xf>
    <xf numFmtId="175" fontId="49" fillId="0" borderId="0" xfId="0" applyNumberFormat="1" applyFont="1" applyAlignment="1">
      <alignment horizontal="right" vertical="center"/>
    </xf>
    <xf numFmtId="0" fontId="49" fillId="0" borderId="0" xfId="0" applyFont="1" applyBorder="1" applyAlignment="1"/>
    <xf numFmtId="0" fontId="49" fillId="0" borderId="0" xfId="0" applyFont="1" applyAlignment="1" applyProtection="1">
      <alignment vertical="center"/>
    </xf>
    <xf numFmtId="175" fontId="49" fillId="29" borderId="33" xfId="0" applyNumberFormat="1" applyFont="1" applyFill="1" applyBorder="1" applyAlignment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57" fillId="0" borderId="0" xfId="0" applyFont="1" applyAlignment="1" applyProtection="1">
      <alignment horizontal="center" vertical="center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Border="1" applyAlignment="1">
      <alignment vertical="center"/>
    </xf>
    <xf numFmtId="0" fontId="56" fillId="0" borderId="77" xfId="0" applyFont="1" applyFill="1" applyBorder="1" applyAlignment="1" applyProtection="1">
      <alignment vertical="center"/>
    </xf>
    <xf numFmtId="0" fontId="49" fillId="0" borderId="25" xfId="0" applyFont="1" applyBorder="1" applyAlignment="1" applyProtection="1">
      <alignment vertical="center"/>
    </xf>
    <xf numFmtId="0" fontId="49" fillId="0" borderId="78" xfId="0" applyFont="1" applyBorder="1" applyAlignment="1">
      <alignment horizontal="center" vertical="center" wrapText="1"/>
    </xf>
    <xf numFmtId="0" fontId="49" fillId="0" borderId="78" xfId="0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/>
    </xf>
    <xf numFmtId="175" fontId="48" fillId="22" borderId="65" xfId="0" applyNumberFormat="1" applyFont="1" applyFill="1" applyBorder="1" applyAlignment="1" applyProtection="1">
      <alignment horizontal="right"/>
      <protection locked="0"/>
    </xf>
    <xf numFmtId="175" fontId="48" fillId="22" borderId="67" xfId="0" applyNumberFormat="1" applyFont="1" applyFill="1" applyBorder="1" applyAlignment="1" applyProtection="1">
      <alignment horizontal="right"/>
      <protection locked="0"/>
    </xf>
    <xf numFmtId="0" fontId="39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 wrapText="1"/>
    </xf>
    <xf numFmtId="0" fontId="49" fillId="0" borderId="0" xfId="0" applyFont="1" applyBorder="1" applyAlignment="1" applyProtection="1">
      <alignment vertical="center" wrapText="1"/>
    </xf>
    <xf numFmtId="0" fontId="49" fillId="0" borderId="77" xfId="0" applyFont="1" applyBorder="1" applyAlignment="1" applyProtection="1">
      <alignment vertical="center" wrapText="1"/>
    </xf>
    <xf numFmtId="0" fontId="49" fillId="0" borderId="25" xfId="0" applyFont="1" applyBorder="1" applyAlignment="1" applyProtection="1">
      <alignment vertical="center" wrapText="1"/>
    </xf>
    <xf numFmtId="0" fontId="49" fillId="0" borderId="26" xfId="0" applyFont="1" applyBorder="1" applyAlignment="1" applyProtection="1">
      <alignment vertical="center" wrapText="1"/>
    </xf>
    <xf numFmtId="175" fontId="49" fillId="29" borderId="26" xfId="0" applyNumberFormat="1" applyFont="1" applyFill="1" applyBorder="1" applyAlignment="1">
      <alignment horizontal="right"/>
    </xf>
    <xf numFmtId="0" fontId="49" fillId="0" borderId="0" xfId="0" applyFont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 applyProtection="1">
      <alignment vertical="center"/>
    </xf>
    <xf numFmtId="0" fontId="39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28" fillId="0" borderId="0" xfId="0" applyFont="1" applyAlignment="1" applyProtection="1"/>
    <xf numFmtId="0" fontId="40" fillId="11" borderId="77" xfId="0" applyFont="1" applyFill="1" applyBorder="1" applyAlignment="1">
      <alignment horizontal="left" vertical="center"/>
    </xf>
    <xf numFmtId="0" fontId="28" fillId="11" borderId="25" xfId="0" applyFont="1" applyFill="1" applyBorder="1" applyAlignment="1">
      <alignment horizontal="centerContinuous" vertical="center"/>
    </xf>
    <xf numFmtId="0" fontId="28" fillId="11" borderId="26" xfId="0" applyFont="1" applyFill="1" applyBorder="1" applyAlignment="1">
      <alignment horizontal="centerContinuous" vertical="center"/>
    </xf>
    <xf numFmtId="0" fontId="28" fillId="11" borderId="87" xfId="0" applyFont="1" applyFill="1" applyBorder="1" applyAlignment="1" applyProtection="1">
      <alignment horizontal="center" textRotation="90" wrapText="1"/>
    </xf>
    <xf numFmtId="0" fontId="28" fillId="11" borderId="42" xfId="0" applyFont="1" applyFill="1" applyBorder="1" applyAlignment="1" applyProtection="1">
      <alignment horizontal="center" textRotation="90" wrapText="1"/>
    </xf>
    <xf numFmtId="0" fontId="28" fillId="11" borderId="83" xfId="0" applyFont="1" applyFill="1" applyBorder="1" applyAlignment="1" applyProtection="1">
      <alignment horizontal="center" textRotation="90" wrapText="1"/>
    </xf>
    <xf numFmtId="0" fontId="28" fillId="11" borderId="84" xfId="0" applyFont="1" applyFill="1" applyBorder="1" applyAlignment="1" applyProtection="1">
      <alignment horizontal="center" textRotation="90" wrapText="1"/>
    </xf>
    <xf numFmtId="0" fontId="49" fillId="11" borderId="78" xfId="0" applyFont="1" applyFill="1" applyBorder="1" applyAlignment="1" applyProtection="1">
      <alignment horizontal="center" textRotation="90"/>
    </xf>
    <xf numFmtId="0" fontId="49" fillId="0" borderId="87" xfId="0" applyFont="1" applyBorder="1" applyAlignment="1">
      <alignment horizontal="center"/>
    </xf>
    <xf numFmtId="0" fontId="49" fillId="0" borderId="42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9" fillId="23" borderId="17" xfId="0" applyFont="1" applyFill="1" applyBorder="1" applyAlignment="1">
      <alignment horizontal="center"/>
    </xf>
    <xf numFmtId="0" fontId="49" fillId="23" borderId="45" xfId="0" applyFont="1" applyFill="1" applyBorder="1" applyAlignment="1">
      <alignment horizontal="center"/>
    </xf>
    <xf numFmtId="0" fontId="49" fillId="23" borderId="0" xfId="0" applyFont="1" applyFill="1" applyBorder="1" applyAlignment="1">
      <alignment horizontal="center"/>
    </xf>
    <xf numFmtId="0" fontId="28" fillId="23" borderId="38" xfId="0" applyFont="1" applyFill="1" applyBorder="1" applyAlignment="1"/>
    <xf numFmtId="175" fontId="48" fillId="22" borderId="12" xfId="0" applyNumberFormat="1" applyFont="1" applyFill="1" applyBorder="1" applyAlignment="1" applyProtection="1">
      <protection locked="0"/>
    </xf>
    <xf numFmtId="175" fontId="48" fillId="23" borderId="47" xfId="0" applyNumberFormat="1" applyFont="1" applyFill="1" applyBorder="1" applyAlignment="1" applyProtection="1"/>
    <xf numFmtId="175" fontId="48" fillId="23" borderId="10" xfId="0" applyNumberFormat="1" applyFont="1" applyFill="1" applyBorder="1" applyAlignment="1" applyProtection="1"/>
    <xf numFmtId="175" fontId="48" fillId="23" borderId="10" xfId="0" applyNumberFormat="1" applyFont="1" applyFill="1" applyBorder="1" applyAlignment="1"/>
    <xf numFmtId="175" fontId="28" fillId="29" borderId="38" xfId="0" applyNumberFormat="1" applyFont="1" applyFill="1" applyBorder="1" applyAlignment="1"/>
    <xf numFmtId="175" fontId="49" fillId="23" borderId="17" xfId="0" applyNumberFormat="1" applyFont="1" applyFill="1" applyBorder="1" applyAlignment="1">
      <alignment horizontal="center"/>
    </xf>
    <xf numFmtId="175" fontId="49" fillId="23" borderId="45" xfId="0" applyNumberFormat="1" applyFont="1" applyFill="1" applyBorder="1" applyAlignment="1">
      <alignment horizontal="center"/>
    </xf>
    <xf numFmtId="175" fontId="28" fillId="23" borderId="38" xfId="0" applyNumberFormat="1" applyFont="1" applyFill="1" applyBorder="1" applyAlignment="1"/>
    <xf numFmtId="175" fontId="48" fillId="23" borderId="12" xfId="0" applyNumberFormat="1" applyFont="1" applyFill="1" applyBorder="1" applyAlignment="1" applyProtection="1"/>
    <xf numFmtId="175" fontId="48" fillId="23" borderId="12" xfId="0" applyNumberFormat="1" applyFont="1" applyFill="1" applyBorder="1" applyAlignment="1"/>
    <xf numFmtId="175" fontId="48" fillId="23" borderId="47" xfId="0" applyNumberFormat="1" applyFont="1" applyFill="1" applyBorder="1" applyAlignment="1"/>
    <xf numFmtId="175" fontId="49" fillId="29" borderId="12" xfId="0" applyNumberFormat="1" applyFont="1" applyFill="1" applyBorder="1" applyAlignment="1"/>
    <xf numFmtId="175" fontId="49" fillId="29" borderId="11" xfId="0" applyNumberFormat="1" applyFont="1" applyFill="1" applyBorder="1" applyAlignment="1"/>
    <xf numFmtId="175" fontId="49" fillId="29" borderId="38" xfId="0" applyNumberFormat="1" applyFont="1" applyFill="1" applyBorder="1" applyAlignment="1"/>
    <xf numFmtId="0" fontId="57" fillId="0" borderId="0" xfId="0" quotePrefix="1" applyFont="1" applyAlignment="1" applyProtection="1"/>
    <xf numFmtId="175" fontId="49" fillId="29" borderId="47" xfId="0" applyNumberFormat="1" applyFont="1" applyFill="1" applyBorder="1" applyAlignment="1"/>
    <xf numFmtId="175" fontId="49" fillId="29" borderId="10" xfId="0" applyNumberFormat="1" applyFont="1" applyFill="1" applyBorder="1" applyAlignment="1"/>
    <xf numFmtId="0" fontId="28" fillId="0" borderId="0" xfId="0" quotePrefix="1" applyFont="1" applyAlignment="1" applyProtection="1"/>
    <xf numFmtId="175" fontId="48" fillId="23" borderId="70" xfId="0" applyNumberFormat="1" applyFont="1" applyFill="1" applyBorder="1" applyAlignment="1"/>
    <xf numFmtId="175" fontId="28" fillId="23" borderId="70" xfId="0" applyNumberFormat="1" applyFont="1" applyFill="1" applyBorder="1" applyAlignment="1"/>
    <xf numFmtId="175" fontId="49" fillId="29" borderId="73" xfId="0" applyNumberFormat="1" applyFont="1" applyFill="1" applyBorder="1" applyAlignment="1"/>
    <xf numFmtId="0" fontId="57" fillId="0" borderId="0" xfId="0" applyFont="1" applyAlignment="1" applyProtection="1"/>
    <xf numFmtId="175" fontId="49" fillId="29" borderId="82" xfId="0" applyNumberFormat="1" applyFont="1" applyFill="1" applyBorder="1" applyAlignment="1"/>
    <xf numFmtId="175" fontId="49" fillId="29" borderId="83" xfId="0" applyNumberFormat="1" applyFont="1" applyFill="1" applyBorder="1" applyAlignment="1"/>
    <xf numFmtId="175" fontId="49" fillId="29" borderId="89" xfId="0" applyNumberFormat="1" applyFont="1" applyFill="1" applyBorder="1" applyAlignment="1"/>
    <xf numFmtId="175" fontId="49" fillId="29" borderId="78" xfId="0" applyNumberFormat="1" applyFont="1" applyFill="1" applyBorder="1" applyAlignment="1"/>
    <xf numFmtId="0" fontId="48" fillId="0" borderId="0" xfId="0" applyFont="1" applyFill="1" applyBorder="1" applyAlignment="1"/>
    <xf numFmtId="0" fontId="28" fillId="0" borderId="0" xfId="0" applyFont="1" applyFill="1" applyBorder="1" applyAlignment="1"/>
    <xf numFmtId="0" fontId="57" fillId="0" borderId="0" xfId="0" applyFont="1" applyBorder="1" applyAlignment="1">
      <alignment horizontal="center"/>
    </xf>
    <xf numFmtId="0" fontId="40" fillId="27" borderId="77" xfId="0" applyFont="1" applyFill="1" applyBorder="1" applyAlignment="1">
      <alignment horizontal="left" vertical="center"/>
    </xf>
    <xf numFmtId="0" fontId="49" fillId="27" borderId="25" xfId="0" applyFont="1" applyFill="1" applyBorder="1" applyAlignment="1">
      <alignment horizontal="left" vertical="center"/>
    </xf>
    <xf numFmtId="0" fontId="49" fillId="27" borderId="25" xfId="0" applyFont="1" applyFill="1" applyBorder="1" applyAlignment="1" applyProtection="1">
      <alignment vertical="center" wrapText="1"/>
    </xf>
    <xf numFmtId="0" fontId="49" fillId="27" borderId="26" xfId="0" applyFont="1" applyFill="1" applyBorder="1" applyAlignment="1" applyProtection="1">
      <alignment horizontal="center" vertical="center" wrapText="1"/>
    </xf>
    <xf numFmtId="0" fontId="49" fillId="0" borderId="0" xfId="0" applyFont="1" applyAlignment="1" applyProtection="1"/>
    <xf numFmtId="0" fontId="49" fillId="27" borderId="29" xfId="0" applyFont="1" applyFill="1" applyBorder="1" applyAlignment="1" applyProtection="1">
      <alignment horizontal="center" vertical="center" wrapText="1"/>
    </xf>
    <xf numFmtId="0" fontId="49" fillId="27" borderId="24" xfId="0" applyFont="1" applyFill="1" applyBorder="1" applyAlignment="1" applyProtection="1">
      <alignment horizontal="center" vertical="center" wrapText="1"/>
    </xf>
    <xf numFmtId="0" fontId="49" fillId="27" borderId="24" xfId="0" applyFont="1" applyFill="1" applyBorder="1" applyAlignment="1" applyProtection="1">
      <alignment horizontal="center" wrapText="1"/>
    </xf>
    <xf numFmtId="0" fontId="49" fillId="0" borderId="78" xfId="0" applyFont="1" applyBorder="1" applyAlignment="1">
      <alignment horizontal="center"/>
    </xf>
    <xf numFmtId="0" fontId="28" fillId="0" borderId="88" xfId="0" applyFont="1" applyFill="1" applyBorder="1" applyAlignment="1" applyProtection="1"/>
    <xf numFmtId="175" fontId="48" fillId="22" borderId="38" xfId="0" applyNumberFormat="1" applyFont="1" applyFill="1" applyBorder="1" applyAlignment="1" applyProtection="1">
      <protection locked="0"/>
    </xf>
    <xf numFmtId="175" fontId="28" fillId="29" borderId="75" xfId="0" applyNumberFormat="1" applyFont="1" applyFill="1" applyBorder="1" applyAlignment="1"/>
    <xf numFmtId="0" fontId="28" fillId="0" borderId="37" xfId="0" applyFont="1" applyFill="1" applyBorder="1" applyAlignment="1" applyProtection="1"/>
    <xf numFmtId="175" fontId="48" fillId="22" borderId="76" xfId="0" applyNumberFormat="1" applyFont="1" applyFill="1" applyBorder="1" applyAlignment="1" applyProtection="1">
      <protection locked="0"/>
    </xf>
    <xf numFmtId="175" fontId="28" fillId="29" borderId="76" xfId="0" applyNumberFormat="1" applyFont="1" applyFill="1" applyBorder="1" applyAlignment="1"/>
    <xf numFmtId="0" fontId="28" fillId="0" borderId="10" xfId="0" applyFont="1" applyFill="1" applyBorder="1" applyAlignment="1" applyProtection="1"/>
    <xf numFmtId="0" fontId="28" fillId="0" borderId="37" xfId="0" applyFont="1" applyBorder="1" applyAlignment="1" applyProtection="1"/>
    <xf numFmtId="0" fontId="28" fillId="0" borderId="10" xfId="0" applyFont="1" applyBorder="1" applyAlignment="1" applyProtection="1"/>
    <xf numFmtId="0" fontId="28" fillId="0" borderId="37" xfId="0" applyFont="1" applyBorder="1" applyAlignment="1" applyProtection="1">
      <alignment vertical="center"/>
    </xf>
    <xf numFmtId="0" fontId="28" fillId="0" borderId="88" xfId="0" applyFont="1" applyFill="1" applyBorder="1" applyAlignment="1" applyProtection="1">
      <alignment vertical="center"/>
    </xf>
    <xf numFmtId="0" fontId="28" fillId="0" borderId="10" xfId="0" applyFont="1" applyBorder="1" applyAlignment="1" applyProtection="1">
      <alignment vertical="center"/>
    </xf>
    <xf numFmtId="175" fontId="28" fillId="29" borderId="78" xfId="0" applyNumberFormat="1" applyFont="1" applyFill="1" applyBorder="1" applyAlignment="1"/>
    <xf numFmtId="0" fontId="0" fillId="0" borderId="0" xfId="0" applyAlignment="1"/>
    <xf numFmtId="0" fontId="49" fillId="27" borderId="77" xfId="0" applyFont="1" applyFill="1" applyBorder="1" applyAlignment="1">
      <alignment horizontal="left" vertical="center"/>
    </xf>
    <xf numFmtId="0" fontId="0" fillId="27" borderId="25" xfId="0" applyFill="1" applyBorder="1" applyAlignment="1"/>
    <xf numFmtId="0" fontId="29" fillId="27" borderId="78" xfId="0" applyFont="1" applyFill="1" applyBorder="1" applyAlignment="1" applyProtection="1">
      <alignment horizontal="center" wrapText="1"/>
    </xf>
    <xf numFmtId="175" fontId="49" fillId="29" borderId="86" xfId="0" applyNumberFormat="1" applyFont="1" applyFill="1" applyBorder="1" applyAlignment="1"/>
    <xf numFmtId="175" fontId="49" fillId="29" borderId="76" xfId="0" applyNumberFormat="1" applyFont="1" applyFill="1" applyBorder="1" applyAlignment="1"/>
    <xf numFmtId="175" fontId="0" fillId="29" borderId="78" xfId="0" applyNumberFormat="1" applyFill="1" applyBorder="1" applyAlignment="1"/>
    <xf numFmtId="0" fontId="49" fillId="0" borderId="0" xfId="0" applyFont="1" applyBorder="1" applyAlignment="1" applyProtection="1"/>
    <xf numFmtId="0" fontId="49" fillId="0" borderId="0" xfId="0" applyFont="1" applyBorder="1" applyAlignment="1" applyProtection="1">
      <alignment wrapText="1"/>
    </xf>
    <xf numFmtId="0" fontId="29" fillId="0" borderId="0" xfId="0" applyFont="1" applyBorder="1" applyAlignment="1" applyProtection="1">
      <alignment wrapText="1"/>
    </xf>
    <xf numFmtId="0" fontId="58" fillId="0" borderId="0" xfId="0" applyFont="1" applyFill="1" applyBorder="1" applyAlignment="1"/>
    <xf numFmtId="175" fontId="49" fillId="0" borderId="78" xfId="0" applyNumberFormat="1" applyFont="1" applyFill="1" applyBorder="1" applyAlignment="1">
      <alignment vertical="center"/>
    </xf>
    <xf numFmtId="175" fontId="28" fillId="0" borderId="38" xfId="0" applyNumberFormat="1" applyFont="1" applyFill="1" applyBorder="1" applyAlignment="1" applyProtection="1">
      <protection locked="0"/>
    </xf>
    <xf numFmtId="0" fontId="28" fillId="0" borderId="0" xfId="0" applyFont="1" applyAlignment="1"/>
    <xf numFmtId="0" fontId="40" fillId="30" borderId="21" xfId="0" applyFont="1" applyFill="1" applyBorder="1" applyAlignment="1">
      <alignment vertical="center"/>
    </xf>
    <xf numFmtId="0" fontId="49" fillId="30" borderId="22" xfId="0" applyFont="1" applyFill="1" applyBorder="1" applyAlignment="1">
      <alignment vertical="center"/>
    </xf>
    <xf numFmtId="0" fontId="49" fillId="30" borderId="25" xfId="0" applyFont="1" applyFill="1" applyBorder="1" applyAlignment="1" applyProtection="1">
      <alignment horizontal="center" wrapText="1"/>
    </xf>
    <xf numFmtId="0" fontId="49" fillId="30" borderId="26" xfId="0" applyFont="1" applyFill="1" applyBorder="1" applyAlignment="1" applyProtection="1">
      <alignment horizontal="center" wrapText="1"/>
    </xf>
    <xf numFmtId="0" fontId="49" fillId="30" borderId="32" xfId="0" applyFont="1" applyFill="1" applyBorder="1" applyAlignment="1" applyProtection="1">
      <alignment horizontal="center" vertical="center" wrapText="1"/>
    </xf>
    <xf numFmtId="0" fontId="49" fillId="30" borderId="33" xfId="0" applyFont="1" applyFill="1" applyBorder="1" applyAlignment="1" applyProtection="1">
      <alignment horizontal="center" vertical="center" wrapText="1"/>
    </xf>
    <xf numFmtId="0" fontId="49" fillId="0" borderId="26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2" xfId="0" applyFont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9" fillId="0" borderId="7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29" fillId="0" borderId="23" xfId="0" applyFont="1" applyFill="1" applyBorder="1" applyAlignment="1" applyProtection="1">
      <alignment horizontal="center" vertical="center"/>
    </xf>
    <xf numFmtId="0" fontId="30" fillId="0" borderId="27" xfId="0" applyFont="1" applyBorder="1" applyAlignment="1" applyProtection="1">
      <alignment vertical="center"/>
    </xf>
    <xf numFmtId="175" fontId="31" fillId="22" borderId="27" xfId="0" applyNumberFormat="1" applyFont="1" applyFill="1" applyBorder="1" applyAlignment="1" applyProtection="1">
      <protection locked="0"/>
    </xf>
    <xf numFmtId="175" fontId="30" fillId="0" borderId="28" xfId="0" applyNumberFormat="1" applyFont="1" applyFill="1" applyBorder="1" applyAlignment="1" applyProtection="1"/>
    <xf numFmtId="175" fontId="2" fillId="0" borderId="28" xfId="0" applyNumberFormat="1" applyFont="1" applyFill="1" applyBorder="1" applyAlignment="1">
      <alignment vertical="center"/>
    </xf>
    <xf numFmtId="175" fontId="2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 applyProtection="1">
      <alignment vertical="center"/>
    </xf>
    <xf numFmtId="175" fontId="31" fillId="22" borderId="64" xfId="0" applyNumberFormat="1" applyFont="1" applyFill="1" applyBorder="1" applyAlignment="1" applyProtection="1">
      <protection locked="0"/>
    </xf>
    <xf numFmtId="175" fontId="30" fillId="0" borderId="27" xfId="0" applyNumberFormat="1" applyFont="1" applyFill="1" applyBorder="1" applyAlignment="1" applyProtection="1"/>
    <xf numFmtId="175" fontId="31" fillId="0" borderId="28" xfId="0" applyNumberFormat="1" applyFont="1" applyFill="1" applyBorder="1" applyAlignment="1" applyProtection="1"/>
    <xf numFmtId="0" fontId="30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0" fillId="0" borderId="0" xfId="0" applyFont="1" applyBorder="1" applyAlignment="1">
      <alignment vertical="center"/>
    </xf>
    <xf numFmtId="0" fontId="30" fillId="0" borderId="27" xfId="0" applyFont="1" applyBorder="1" applyAlignment="1">
      <alignment vertical="center"/>
    </xf>
    <xf numFmtId="175" fontId="30" fillId="0" borderId="30" xfId="0" applyNumberFormat="1" applyFont="1" applyFill="1" applyBorder="1" applyAlignment="1" applyProtection="1"/>
    <xf numFmtId="175" fontId="29" fillId="29" borderId="90" xfId="0" applyNumberFormat="1" applyFont="1" applyFill="1" applyBorder="1" applyAlignment="1" applyProtection="1"/>
    <xf numFmtId="0" fontId="2" fillId="0" borderId="30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175" fontId="2" fillId="0" borderId="31" xfId="0" applyNumberFormat="1" applyFont="1" applyFill="1" applyBorder="1" applyAlignment="1">
      <alignment vertical="center"/>
    </xf>
    <xf numFmtId="175" fontId="2" fillId="0" borderId="32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29" fillId="0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175" fontId="30" fillId="0" borderId="22" xfId="0" applyNumberFormat="1" applyFont="1" applyFill="1" applyBorder="1" applyAlignment="1">
      <alignment vertical="center"/>
    </xf>
    <xf numFmtId="175" fontId="2" fillId="0" borderId="22" xfId="0" applyNumberFormat="1" applyFont="1" applyFill="1" applyBorder="1" applyAlignment="1">
      <alignment vertical="center"/>
    </xf>
    <xf numFmtId="175" fontId="30" fillId="0" borderId="0" xfId="0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175" fontId="29" fillId="0" borderId="78" xfId="0" applyNumberFormat="1" applyFont="1" applyFill="1" applyBorder="1" applyAlignment="1">
      <alignment horizontal="center" vertical="center"/>
    </xf>
    <xf numFmtId="175" fontId="30" fillId="0" borderId="0" xfId="0" applyNumberFormat="1" applyFont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left" vertical="center"/>
    </xf>
    <xf numFmtId="175" fontId="31" fillId="22" borderId="29" xfId="0" applyNumberFormat="1" applyFont="1" applyFill="1" applyBorder="1" applyAlignment="1" applyProtection="1">
      <alignment vertical="center"/>
      <protection locked="0"/>
    </xf>
    <xf numFmtId="175" fontId="31" fillId="22" borderId="29" xfId="0" applyNumberFormat="1" applyFont="1" applyFill="1" applyBorder="1" applyAlignment="1" applyProtection="1">
      <protection locked="0"/>
    </xf>
    <xf numFmtId="0" fontId="30" fillId="0" borderId="27" xfId="0" applyFont="1" applyFill="1" applyBorder="1" applyAlignment="1">
      <alignment vertical="center"/>
    </xf>
    <xf numFmtId="0" fontId="30" fillId="0" borderId="28" xfId="0" applyFont="1" applyFill="1" applyBorder="1" applyAlignment="1">
      <alignment vertical="center"/>
    </xf>
    <xf numFmtId="175" fontId="29" fillId="29" borderId="91" xfId="0" applyNumberFormat="1" applyFont="1" applyFill="1" applyBorder="1" applyAlignment="1" applyProtection="1">
      <protection locked="0"/>
    </xf>
    <xf numFmtId="0" fontId="29" fillId="0" borderId="4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176" fontId="29" fillId="0" borderId="60" xfId="0" applyNumberFormat="1" applyFont="1" applyBorder="1" applyAlignment="1">
      <alignment horizontal="center" vertical="center"/>
    </xf>
    <xf numFmtId="176" fontId="29" fillId="0" borderId="18" xfId="0" applyNumberFormat="1" applyFont="1" applyBorder="1" applyAlignment="1">
      <alignment horizontal="center" vertical="center"/>
    </xf>
    <xf numFmtId="175" fontId="31" fillId="22" borderId="16" xfId="0" applyNumberFormat="1" applyFont="1" applyFill="1" applyBorder="1" applyAlignment="1" applyProtection="1">
      <alignment horizontal="right"/>
      <protection locked="0"/>
    </xf>
    <xf numFmtId="175" fontId="30" fillId="29" borderId="45" xfId="85" applyNumberFormat="1" applyFont="1" applyFill="1" applyBorder="1"/>
    <xf numFmtId="176" fontId="59" fillId="22" borderId="70" xfId="0" applyNumberFormat="1" applyFont="1" applyFill="1" applyBorder="1" applyAlignment="1" applyProtection="1">
      <alignment horizontal="left" vertical="center"/>
      <protection locked="0"/>
    </xf>
    <xf numFmtId="176" fontId="59" fillId="22" borderId="45" xfId="0" applyNumberFormat="1" applyFont="1" applyFill="1" applyBorder="1" applyAlignment="1" applyProtection="1">
      <alignment horizontal="left" vertical="center"/>
      <protection locked="0"/>
    </xf>
    <xf numFmtId="175" fontId="31" fillId="22" borderId="16" xfId="0" applyNumberFormat="1" applyFont="1" applyFill="1" applyBorder="1" applyAlignment="1" applyProtection="1">
      <alignment horizontal="right" vertical="center"/>
      <protection locked="0"/>
    </xf>
    <xf numFmtId="175" fontId="30" fillId="29" borderId="45" xfId="85" applyNumberFormat="1" applyFont="1" applyFill="1" applyBorder="1" applyAlignment="1">
      <alignment vertical="center"/>
    </xf>
    <xf numFmtId="176" fontId="59" fillId="22" borderId="60" xfId="0" applyNumberFormat="1" applyFont="1" applyFill="1" applyBorder="1" applyAlignment="1" applyProtection="1">
      <alignment horizontal="left" vertical="center"/>
      <protection locked="0"/>
    </xf>
    <xf numFmtId="175" fontId="29" fillId="29" borderId="38" xfId="0" applyNumberFormat="1" applyFont="1" applyFill="1" applyBorder="1" applyAlignment="1" applyProtection="1">
      <alignment vertical="center"/>
    </xf>
    <xf numFmtId="0" fontId="55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175" fontId="30" fillId="0" borderId="28" xfId="0" applyNumberFormat="1" applyFont="1" applyFill="1" applyBorder="1" applyAlignment="1">
      <alignment vertical="center"/>
    </xf>
    <xf numFmtId="0" fontId="30" fillId="0" borderId="25" xfId="0" applyFont="1" applyFill="1" applyBorder="1" applyAlignment="1">
      <alignment vertical="center"/>
    </xf>
    <xf numFmtId="175" fontId="30" fillId="0" borderId="78" xfId="0" applyNumberFormat="1" applyFont="1" applyFill="1" applyBorder="1" applyAlignment="1">
      <alignment horizontal="center" vertical="center" wrapText="1"/>
    </xf>
    <xf numFmtId="175" fontId="31" fillId="23" borderId="24" xfId="0" applyNumberFormat="1" applyFont="1" applyFill="1" applyBorder="1" applyAlignment="1" applyProtection="1">
      <alignment vertical="center"/>
    </xf>
    <xf numFmtId="175" fontId="31" fillId="22" borderId="33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right" vertical="center"/>
    </xf>
    <xf numFmtId="175" fontId="29" fillId="29" borderId="91" xfId="0" applyNumberFormat="1" applyFont="1" applyFill="1" applyBorder="1" applyAlignment="1" applyProtection="1">
      <alignment vertical="center"/>
    </xf>
    <xf numFmtId="175" fontId="60" fillId="0" borderId="78" xfId="0" applyNumberFormat="1" applyFont="1" applyFill="1" applyBorder="1" applyAlignment="1">
      <alignment horizontal="center" vertical="center"/>
    </xf>
    <xf numFmtId="175" fontId="60" fillId="0" borderId="78" xfId="0" applyNumberFormat="1" applyFont="1" applyFill="1" applyBorder="1" applyAlignment="1">
      <alignment horizontal="center" textRotation="90" wrapText="1"/>
    </xf>
    <xf numFmtId="175" fontId="30" fillId="29" borderId="24" xfId="0" applyNumberFormat="1" applyFont="1" applyFill="1" applyBorder="1" applyAlignment="1" applyProtection="1">
      <alignment vertical="center"/>
    </xf>
    <xf numFmtId="175" fontId="31" fillId="22" borderId="41" xfId="0" applyNumberFormat="1" applyFont="1" applyFill="1" applyBorder="1" applyAlignment="1" applyProtection="1">
      <alignment vertical="center"/>
      <protection locked="0"/>
    </xf>
    <xf numFmtId="175" fontId="31" fillId="22" borderId="87" xfId="0" applyNumberFormat="1" applyFont="1" applyFill="1" applyBorder="1" applyAlignment="1" applyProtection="1">
      <alignment vertical="center"/>
      <protection locked="0"/>
    </xf>
    <xf numFmtId="175" fontId="31" fillId="22" borderId="51" xfId="0" applyNumberFormat="1" applyFont="1" applyFill="1" applyBorder="1" applyAlignment="1" applyProtection="1">
      <alignment vertical="center"/>
      <protection locked="0"/>
    </xf>
    <xf numFmtId="175" fontId="30" fillId="29" borderId="33" xfId="0" applyNumberFormat="1" applyFont="1" applyFill="1" applyBorder="1" applyAlignment="1" applyProtection="1">
      <alignment vertical="center"/>
    </xf>
    <xf numFmtId="175" fontId="31" fillId="22" borderId="48" xfId="0" applyNumberFormat="1" applyFont="1" applyFill="1" applyBorder="1" applyAlignment="1" applyProtection="1">
      <alignment vertical="center"/>
      <protection locked="0"/>
    </xf>
    <xf numFmtId="175" fontId="31" fillId="22" borderId="74" xfId="0" applyNumberFormat="1" applyFont="1" applyFill="1" applyBorder="1" applyAlignment="1" applyProtection="1">
      <alignment vertical="center"/>
      <protection locked="0"/>
    </xf>
    <xf numFmtId="175" fontId="31" fillId="22" borderId="63" xfId="0" applyNumberFormat="1" applyFont="1" applyFill="1" applyBorder="1" applyAlignment="1" applyProtection="1">
      <alignment vertical="center"/>
      <protection locked="0"/>
    </xf>
    <xf numFmtId="175" fontId="60" fillId="0" borderId="24" xfId="0" applyNumberFormat="1" applyFont="1" applyFill="1" applyBorder="1" applyAlignment="1">
      <alignment horizontal="center" vertical="center"/>
    </xf>
    <xf numFmtId="175" fontId="60" fillId="0" borderId="24" xfId="0" applyNumberFormat="1" applyFont="1" applyFill="1" applyBorder="1" applyAlignment="1">
      <alignment horizontal="center" textRotation="90" wrapText="1"/>
    </xf>
    <xf numFmtId="0" fontId="2" fillId="0" borderId="0" xfId="0" applyFont="1" applyBorder="1" applyAlignment="1" applyProtection="1">
      <alignment horizontal="left" vertical="center"/>
    </xf>
    <xf numFmtId="175" fontId="30" fillId="29" borderId="29" xfId="0" applyNumberFormat="1" applyFont="1" applyFill="1" applyBorder="1" applyAlignment="1" applyProtection="1"/>
    <xf numFmtId="175" fontId="31" fillId="22" borderId="44" xfId="0" applyNumberFormat="1" applyFont="1" applyFill="1" applyBorder="1" applyAlignment="1" applyProtection="1">
      <protection locked="0"/>
    </xf>
    <xf numFmtId="175" fontId="31" fillId="22" borderId="17" xfId="0" applyNumberFormat="1" applyFont="1" applyFill="1" applyBorder="1" applyAlignment="1" applyProtection="1">
      <protection locked="0"/>
    </xf>
    <xf numFmtId="175" fontId="31" fillId="22" borderId="45" xfId="0" applyNumberFormat="1" applyFont="1" applyFill="1" applyBorder="1" applyAlignment="1" applyProtection="1">
      <protection locked="0"/>
    </xf>
    <xf numFmtId="175" fontId="31" fillId="22" borderId="28" xfId="0" applyNumberFormat="1" applyFont="1" applyFill="1" applyBorder="1" applyAlignment="1" applyProtection="1">
      <protection locked="0"/>
    </xf>
    <xf numFmtId="175" fontId="31" fillId="22" borderId="58" xfId="0" applyNumberFormat="1" applyFont="1" applyFill="1" applyBorder="1" applyAlignment="1" applyProtection="1">
      <protection locked="0"/>
    </xf>
    <xf numFmtId="175" fontId="31" fillId="22" borderId="20" xfId="0" applyNumberFormat="1" applyFont="1" applyFill="1" applyBorder="1" applyAlignment="1" applyProtection="1">
      <protection locked="0"/>
    </xf>
    <xf numFmtId="175" fontId="31" fillId="22" borderId="60" xfId="0" applyNumberFormat="1" applyFont="1" applyFill="1" applyBorder="1" applyAlignment="1" applyProtection="1">
      <protection locked="0"/>
    </xf>
    <xf numFmtId="175" fontId="31" fillId="22" borderId="65" xfId="0" applyNumberFormat="1" applyFont="1" applyFill="1" applyBorder="1" applyAlignment="1" applyProtection="1">
      <protection locked="0"/>
    </xf>
    <xf numFmtId="175" fontId="29" fillId="29" borderId="76" xfId="0" applyNumberFormat="1" applyFont="1" applyFill="1" applyBorder="1" applyAlignment="1" applyProtection="1"/>
    <xf numFmtId="0" fontId="30" fillId="0" borderId="30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29" fillId="0" borderId="31" xfId="0" applyFont="1" applyBorder="1" applyAlignment="1" applyProtection="1">
      <alignment horizontal="right" vertical="center"/>
    </xf>
    <xf numFmtId="0" fontId="30" fillId="0" borderId="31" xfId="0" applyFont="1" applyFill="1" applyBorder="1" applyAlignment="1">
      <alignment vertical="center"/>
    </xf>
    <xf numFmtId="0" fontId="55" fillId="0" borderId="31" xfId="0" quotePrefix="1" applyFont="1" applyBorder="1" applyAlignment="1" applyProtection="1">
      <alignment horizontal="center" vertical="center"/>
    </xf>
    <xf numFmtId="0" fontId="55" fillId="0" borderId="31" xfId="0" applyFont="1" applyBorder="1" applyAlignment="1" applyProtection="1">
      <alignment horizontal="center" vertical="center"/>
    </xf>
    <xf numFmtId="0" fontId="29" fillId="0" borderId="32" xfId="0" applyFont="1" applyBorder="1" applyAlignment="1" applyProtection="1">
      <alignment horizontal="right" vertical="center"/>
    </xf>
    <xf numFmtId="0" fontId="30" fillId="0" borderId="22" xfId="0" applyFont="1" applyBorder="1" applyAlignment="1" applyProtection="1">
      <alignment horizontal="left" vertical="center"/>
    </xf>
    <xf numFmtId="0" fontId="30" fillId="0" borderId="23" xfId="0" applyFont="1" applyFill="1" applyBorder="1" applyAlignment="1">
      <alignment vertical="center"/>
    </xf>
    <xf numFmtId="175" fontId="30" fillId="31" borderId="29" xfId="0" applyNumberFormat="1" applyFont="1" applyFill="1" applyBorder="1" applyAlignment="1" applyProtection="1">
      <alignment vertical="center"/>
    </xf>
    <xf numFmtId="175" fontId="31" fillId="31" borderId="44" xfId="0" applyNumberFormat="1" applyFont="1" applyFill="1" applyBorder="1" applyAlignment="1" applyProtection="1">
      <alignment vertical="center"/>
    </xf>
    <xf numFmtId="175" fontId="31" fillId="31" borderId="17" xfId="0" applyNumberFormat="1" applyFont="1" applyFill="1" applyBorder="1" applyAlignment="1" applyProtection="1">
      <alignment vertical="center"/>
    </xf>
    <xf numFmtId="175" fontId="31" fillId="31" borderId="45" xfId="0" applyNumberFormat="1" applyFont="1" applyFill="1" applyBorder="1" applyAlignment="1" applyProtection="1">
      <alignment vertical="center"/>
    </xf>
    <xf numFmtId="175" fontId="31" fillId="31" borderId="28" xfId="0" applyNumberFormat="1" applyFont="1" applyFill="1" applyBorder="1" applyAlignment="1" applyProtection="1">
      <alignment vertical="center"/>
    </xf>
    <xf numFmtId="175" fontId="31" fillId="31" borderId="58" xfId="0" applyNumberFormat="1" applyFont="1" applyFill="1" applyBorder="1" applyAlignment="1" applyProtection="1">
      <alignment vertical="center"/>
    </xf>
    <xf numFmtId="175" fontId="31" fillId="31" borderId="20" xfId="0" applyNumberFormat="1" applyFont="1" applyFill="1" applyBorder="1" applyAlignment="1" applyProtection="1">
      <alignment vertical="center"/>
    </xf>
    <xf numFmtId="175" fontId="31" fillId="31" borderId="60" xfId="0" applyNumberFormat="1" applyFont="1" applyFill="1" applyBorder="1" applyAlignment="1" applyProtection="1">
      <alignment vertical="center"/>
    </xf>
    <xf numFmtId="175" fontId="31" fillId="31" borderId="65" xfId="0" applyNumberFormat="1" applyFont="1" applyFill="1" applyBorder="1" applyAlignment="1" applyProtection="1">
      <alignment vertical="center"/>
    </xf>
    <xf numFmtId="175" fontId="29" fillId="31" borderId="76" xfId="0" applyNumberFormat="1" applyFont="1" applyFill="1" applyBorder="1" applyAlignment="1" applyProtection="1">
      <alignment vertical="center"/>
    </xf>
    <xf numFmtId="175" fontId="60" fillId="0" borderId="0" xfId="0" applyNumberFormat="1" applyFont="1" applyFill="1" applyBorder="1" applyAlignment="1">
      <alignment vertical="center"/>
    </xf>
    <xf numFmtId="175" fontId="30" fillId="29" borderId="78" xfId="0" applyNumberFormat="1" applyFont="1" applyFill="1" applyBorder="1" applyAlignment="1" applyProtection="1">
      <alignment vertical="center"/>
    </xf>
    <xf numFmtId="175" fontId="31" fillId="23" borderId="82" xfId="0" applyNumberFormat="1" applyFont="1" applyFill="1" applyBorder="1" applyAlignment="1" applyProtection="1">
      <alignment vertical="center"/>
    </xf>
    <xf numFmtId="175" fontId="31" fillId="22" borderId="82" xfId="0" applyNumberFormat="1" applyFont="1" applyFill="1" applyBorder="1" applyAlignment="1" applyProtection="1">
      <alignment vertical="center"/>
      <protection locked="0"/>
    </xf>
    <xf numFmtId="175" fontId="31" fillId="23" borderId="83" xfId="0" applyNumberFormat="1" applyFont="1" applyFill="1" applyBorder="1" applyAlignment="1" applyProtection="1">
      <alignment vertical="center"/>
    </xf>
    <xf numFmtId="175" fontId="31" fillId="23" borderId="26" xfId="0" applyNumberFormat="1" applyFont="1" applyFill="1" applyBorder="1" applyAlignment="1" applyProtection="1">
      <alignment vertical="center"/>
    </xf>
    <xf numFmtId="0" fontId="30" fillId="0" borderId="31" xfId="0" applyFont="1" applyBorder="1" applyAlignment="1">
      <alignment horizontal="left" vertical="center"/>
    </xf>
    <xf numFmtId="175" fontId="30" fillId="0" borderId="31" xfId="0" applyNumberFormat="1" applyFont="1" applyFill="1" applyBorder="1" applyAlignment="1">
      <alignment vertical="center"/>
    </xf>
    <xf numFmtId="175" fontId="60" fillId="0" borderId="31" xfId="0" applyNumberFormat="1" applyFont="1" applyFill="1" applyBorder="1" applyAlignment="1">
      <alignment vertical="center"/>
    </xf>
    <xf numFmtId="0" fontId="30" fillId="0" borderId="32" xfId="0" applyFont="1" applyFill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30" fillId="0" borderId="22" xfId="0" applyFont="1" applyBorder="1" applyAlignment="1">
      <alignment horizontal="left" vertical="center"/>
    </xf>
    <xf numFmtId="0" fontId="30" fillId="0" borderId="22" xfId="0" applyFont="1" applyFill="1" applyBorder="1" applyAlignment="1">
      <alignment vertical="center"/>
    </xf>
    <xf numFmtId="175" fontId="60" fillId="0" borderId="22" xfId="0" applyNumberFormat="1" applyFont="1" applyFill="1" applyBorder="1" applyAlignment="1">
      <alignment vertical="center"/>
    </xf>
    <xf numFmtId="175" fontId="30" fillId="0" borderId="23" xfId="0" applyNumberFormat="1" applyFont="1" applyFill="1" applyBorder="1" applyAlignment="1">
      <alignment vertical="center"/>
    </xf>
    <xf numFmtId="175" fontId="31" fillId="22" borderId="78" xfId="0" applyNumberFormat="1" applyFont="1" applyFill="1" applyBorder="1" applyAlignment="1" applyProtection="1">
      <alignment vertical="center"/>
      <protection locked="0"/>
    </xf>
    <xf numFmtId="0" fontId="29" fillId="0" borderId="0" xfId="0" applyFont="1" applyBorder="1" applyAlignment="1">
      <alignment horizontal="left" vertical="center"/>
    </xf>
    <xf numFmtId="175" fontId="29" fillId="0" borderId="28" xfId="0" applyNumberFormat="1" applyFont="1" applyFill="1" applyBorder="1" applyAlignment="1">
      <alignment horizontal="center" vertical="center"/>
    </xf>
    <xf numFmtId="175" fontId="29" fillId="0" borderId="0" xfId="0" applyNumberFormat="1" applyFont="1" applyFill="1" applyBorder="1" applyAlignment="1">
      <alignment horizontal="center" vertical="center"/>
    </xf>
    <xf numFmtId="175" fontId="31" fillId="22" borderId="92" xfId="0" applyNumberFormat="1" applyFont="1" applyFill="1" applyBorder="1" applyAlignment="1" applyProtection="1">
      <alignment vertical="center"/>
      <protection locked="0"/>
    </xf>
    <xf numFmtId="0" fontId="31" fillId="22" borderId="93" xfId="0" applyFont="1" applyFill="1" applyBorder="1" applyAlignment="1" applyProtection="1">
      <alignment vertical="center"/>
      <protection locked="0"/>
    </xf>
    <xf numFmtId="175" fontId="31" fillId="0" borderId="28" xfId="0" applyNumberFormat="1" applyFont="1" applyFill="1" applyBorder="1" applyAlignment="1" applyProtection="1">
      <alignment vertical="center"/>
      <protection locked="0"/>
    </xf>
    <xf numFmtId="175" fontId="31" fillId="0" borderId="0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>
      <alignment horizontal="left" vertical="center"/>
    </xf>
    <xf numFmtId="175" fontId="30" fillId="0" borderId="0" xfId="0" applyNumberFormat="1" applyFont="1" applyFill="1" applyBorder="1" applyAlignment="1" applyProtection="1">
      <alignment vertical="center"/>
      <protection locked="0"/>
    </xf>
    <xf numFmtId="175" fontId="30" fillId="0" borderId="28" xfId="0" applyNumberFormat="1" applyFont="1" applyFill="1" applyBorder="1" applyAlignment="1" applyProtection="1">
      <alignment vertical="center"/>
      <protection locked="0"/>
    </xf>
    <xf numFmtId="175" fontId="31" fillId="22" borderId="75" xfId="0" applyNumberFormat="1" applyFont="1" applyFill="1" applyBorder="1" applyAlignment="1" applyProtection="1">
      <alignment vertical="center"/>
      <protection locked="0"/>
    </xf>
    <xf numFmtId="175" fontId="30" fillId="23" borderId="64" xfId="0" applyNumberFormat="1" applyFont="1" applyFill="1" applyBorder="1" applyAlignment="1" applyProtection="1">
      <alignment vertical="center"/>
      <protection locked="0"/>
    </xf>
    <xf numFmtId="175" fontId="29" fillId="0" borderId="28" xfId="0" applyNumberFormat="1" applyFont="1" applyFill="1" applyBorder="1" applyAlignment="1" applyProtection="1">
      <alignment vertical="center"/>
    </xf>
    <xf numFmtId="175" fontId="29" fillId="0" borderId="0" xfId="0" applyNumberFormat="1" applyFont="1" applyFill="1" applyBorder="1" applyAlignment="1" applyProtection="1">
      <alignment vertical="center"/>
    </xf>
    <xf numFmtId="0" fontId="61" fillId="0" borderId="0" xfId="0" applyFont="1" applyBorder="1"/>
    <xf numFmtId="0" fontId="41" fillId="0" borderId="0" xfId="0" applyFont="1" applyBorder="1"/>
    <xf numFmtId="0" fontId="27" fillId="0" borderId="0" xfId="67" applyFont="1" applyAlignment="1" applyProtection="1"/>
    <xf numFmtId="0" fontId="62" fillId="0" borderId="0" xfId="0" applyFont="1" applyBorder="1"/>
    <xf numFmtId="0" fontId="61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62" fillId="0" borderId="0" xfId="0" applyFont="1" applyFill="1" applyBorder="1" applyAlignment="1">
      <alignment vertical="top" wrapText="1"/>
    </xf>
    <xf numFmtId="1" fontId="28" fillId="0" borderId="0" xfId="87" applyNumberFormat="1" applyFont="1" applyProtection="1"/>
    <xf numFmtId="1" fontId="28" fillId="0" borderId="0" xfId="87" applyNumberFormat="1" applyFont="1" applyAlignment="1" applyProtection="1">
      <alignment horizontal="center"/>
    </xf>
    <xf numFmtId="0" fontId="28" fillId="0" borderId="0" xfId="68" applyFont="1" applyProtection="1"/>
    <xf numFmtId="0" fontId="28" fillId="0" borderId="0" xfId="75" applyFont="1" applyFill="1" applyBorder="1" applyAlignment="1" applyProtection="1">
      <alignment horizontal="left" vertical="center"/>
    </xf>
    <xf numFmtId="0" fontId="28" fillId="0" borderId="0" xfId="75" applyFont="1" applyFill="1" applyBorder="1" applyAlignment="1" applyProtection="1">
      <alignment horizontal="center" vertical="center"/>
    </xf>
    <xf numFmtId="0" fontId="28" fillId="0" borderId="21" xfId="75" applyFont="1" applyFill="1" applyBorder="1" applyAlignment="1" applyProtection="1">
      <alignment horizontal="left" vertical="center"/>
    </xf>
    <xf numFmtId="0" fontId="49" fillId="0" borderId="21" xfId="75" applyFont="1" applyFill="1" applyBorder="1" applyAlignment="1" applyProtection="1">
      <alignment horizontal="center" vertical="center"/>
    </xf>
    <xf numFmtId="0" fontId="49" fillId="0" borderId="24" xfId="75" applyFont="1" applyFill="1" applyBorder="1" applyAlignment="1" applyProtection="1">
      <alignment horizontal="center" vertical="center"/>
    </xf>
    <xf numFmtId="0" fontId="49" fillId="0" borderId="22" xfId="75" applyFont="1" applyFill="1" applyBorder="1" applyAlignment="1" applyProtection="1">
      <alignment horizontal="center" vertical="center"/>
    </xf>
    <xf numFmtId="0" fontId="49" fillId="0" borderId="78" xfId="75" applyFont="1" applyFill="1" applyBorder="1" applyAlignment="1" applyProtection="1">
      <alignment horizontal="center" vertical="center"/>
    </xf>
    <xf numFmtId="0" fontId="49" fillId="0" borderId="21" xfId="75" applyFont="1" applyFill="1" applyBorder="1" applyAlignment="1" applyProtection="1">
      <alignment horizontal="left" vertical="center"/>
    </xf>
    <xf numFmtId="1" fontId="28" fillId="0" borderId="24" xfId="68" applyNumberFormat="1" applyFont="1" applyFill="1" applyBorder="1" applyAlignment="1" applyProtection="1">
      <alignment horizontal="center"/>
    </xf>
    <xf numFmtId="0" fontId="28" fillId="0" borderId="29" xfId="75" applyFont="1" applyFill="1" applyBorder="1" applyAlignment="1" applyProtection="1">
      <alignment horizontal="left" vertical="center" indent="1"/>
    </xf>
    <xf numFmtId="0" fontId="0" fillId="0" borderId="29" xfId="0" applyBorder="1" applyAlignment="1">
      <alignment horizontal="center"/>
    </xf>
    <xf numFmtId="0" fontId="28" fillId="9" borderId="46" xfId="75" applyFont="1" applyFill="1" applyBorder="1" applyAlignment="1" applyProtection="1">
      <alignment horizontal="center" vertical="center"/>
    </xf>
    <xf numFmtId="0" fontId="28" fillId="9" borderId="47" xfId="75" applyFont="1" applyFill="1" applyBorder="1" applyAlignment="1" applyProtection="1">
      <alignment horizontal="center" vertical="center"/>
    </xf>
    <xf numFmtId="0" fontId="48" fillId="22" borderId="47" xfId="75" applyFont="1" applyFill="1" applyBorder="1" applyAlignment="1" applyProtection="1">
      <alignment horizontal="center" vertical="center"/>
      <protection locked="0"/>
    </xf>
    <xf numFmtId="172" fontId="48" fillId="0" borderId="33" xfId="68" applyNumberFormat="1" applyFont="1" applyFill="1" applyBorder="1" applyProtection="1"/>
    <xf numFmtId="1" fontId="49" fillId="0" borderId="30" xfId="68" applyNumberFormat="1" applyFont="1" applyBorder="1" applyProtection="1"/>
    <xf numFmtId="1" fontId="49" fillId="0" borderId="31" xfId="68" applyNumberFormat="1" applyFont="1" applyBorder="1" applyProtection="1"/>
    <xf numFmtId="0" fontId="49" fillId="0" borderId="24" xfId="75" applyFont="1" applyFill="1" applyBorder="1" applyAlignment="1" applyProtection="1">
      <alignment horizontal="left" vertical="center"/>
    </xf>
    <xf numFmtId="0" fontId="28" fillId="0" borderId="27" xfId="75" applyFont="1" applyFill="1" applyBorder="1" applyAlignment="1" applyProtection="1">
      <alignment horizontal="center" vertical="center"/>
    </xf>
    <xf numFmtId="0" fontId="0" fillId="0" borderId="29" xfId="0" applyBorder="1" applyAlignment="1"/>
    <xf numFmtId="0" fontId="29" fillId="0" borderId="27" xfId="0" applyFont="1" applyFill="1" applyBorder="1" applyAlignment="1" applyProtection="1"/>
    <xf numFmtId="0" fontId="0" fillId="0" borderId="29" xfId="0" applyBorder="1" applyAlignment="1">
      <alignment horizontal="left" indent="1"/>
    </xf>
    <xf numFmtId="0" fontId="29" fillId="0" borderId="27" xfId="0" applyFont="1" applyFill="1" applyBorder="1" applyAlignment="1" applyProtection="1">
      <alignment horizontal="right"/>
    </xf>
    <xf numFmtId="172" fontId="30" fillId="29" borderId="85" xfId="0" applyNumberFormat="1" applyFont="1" applyFill="1" applyBorder="1" applyAlignment="1" applyProtection="1">
      <alignment horizontal="right"/>
    </xf>
    <xf numFmtId="172" fontId="30" fillId="29" borderId="82" xfId="0" applyNumberFormat="1" applyFont="1" applyFill="1" applyBorder="1" applyAlignment="1" applyProtection="1">
      <alignment horizontal="right"/>
    </xf>
    <xf numFmtId="0" fontId="0" fillId="0" borderId="27" xfId="0" applyBorder="1" applyAlignment="1"/>
    <xf numFmtId="0" fontId="0" fillId="0" borderId="0" xfId="0" applyBorder="1" applyAlignment="1"/>
    <xf numFmtId="164" fontId="28" fillId="0" borderId="47" xfId="75" applyNumberFormat="1" applyFont="1" applyFill="1" applyBorder="1" applyAlignment="1" applyProtection="1">
      <alignment horizontal="right" vertical="center"/>
    </xf>
    <xf numFmtId="0" fontId="0" fillId="0" borderId="47" xfId="0" applyBorder="1" applyAlignment="1"/>
    <xf numFmtId="0" fontId="26" fillId="0" borderId="29" xfId="0" applyFont="1" applyBorder="1" applyAlignment="1">
      <alignment horizontal="right"/>
    </xf>
    <xf numFmtId="0" fontId="0" fillId="0" borderId="46" xfId="0" applyBorder="1" applyAlignment="1"/>
    <xf numFmtId="1" fontId="49" fillId="0" borderId="32" xfId="68" applyNumberFormat="1" applyFont="1" applyBorder="1" applyProtection="1"/>
    <xf numFmtId="177" fontId="2" fillId="32" borderId="45" xfId="0" applyNumberFormat="1" applyFont="1" applyFill="1" applyBorder="1"/>
    <xf numFmtId="1" fontId="29" fillId="0" borderId="21" xfId="68" applyNumberFormat="1" applyFont="1" applyBorder="1" applyAlignment="1" applyProtection="1">
      <alignment horizontal="center" vertical="center" wrapText="1"/>
    </xf>
    <xf numFmtId="1" fontId="29" fillId="0" borderId="22" xfId="68" applyNumberFormat="1" applyFont="1" applyBorder="1" applyAlignment="1" applyProtection="1">
      <alignment horizontal="center" vertical="center" wrapText="1"/>
    </xf>
    <xf numFmtId="1" fontId="29" fillId="0" borderId="23" xfId="68" applyNumberFormat="1" applyFont="1" applyBorder="1" applyAlignment="1" applyProtection="1">
      <alignment horizontal="center" vertical="center" wrapText="1"/>
    </xf>
    <xf numFmtId="1" fontId="29" fillId="0" borderId="27" xfId="68" applyNumberFormat="1" applyFont="1" applyBorder="1" applyAlignment="1" applyProtection="1">
      <alignment horizontal="center" vertical="center" wrapText="1"/>
    </xf>
    <xf numFmtId="1" fontId="29" fillId="0" borderId="0" xfId="68" applyNumberFormat="1" applyFont="1" applyBorder="1" applyAlignment="1" applyProtection="1">
      <alignment horizontal="center" vertical="center" wrapText="1"/>
    </xf>
    <xf numFmtId="1" fontId="29" fillId="0" borderId="28" xfId="68" applyNumberFormat="1" applyFont="1" applyBorder="1" applyAlignment="1" applyProtection="1">
      <alignment horizontal="center" vertical="center" wrapText="1"/>
    </xf>
    <xf numFmtId="1" fontId="29" fillId="0" borderId="30" xfId="68" applyNumberFormat="1" applyFont="1" applyBorder="1" applyAlignment="1" applyProtection="1">
      <alignment horizontal="center" vertical="center" wrapText="1"/>
    </xf>
    <xf numFmtId="1" fontId="29" fillId="0" borderId="31" xfId="68" applyNumberFormat="1" applyFont="1" applyBorder="1" applyAlignment="1" applyProtection="1">
      <alignment horizontal="center" vertical="center" wrapText="1"/>
    </xf>
    <xf numFmtId="1" fontId="29" fillId="0" borderId="32" xfId="68" applyNumberFormat="1" applyFont="1" applyBorder="1" applyAlignment="1" applyProtection="1">
      <alignment horizontal="center" vertical="center" wrapText="1"/>
    </xf>
    <xf numFmtId="1" fontId="29" fillId="0" borderId="24" xfId="68" applyNumberFormat="1" applyFont="1" applyBorder="1" applyAlignment="1" applyProtection="1">
      <alignment horizontal="center" vertical="center" wrapText="1"/>
    </xf>
    <xf numFmtId="1" fontId="29" fillId="0" borderId="29" xfId="68" applyNumberFormat="1" applyFont="1" applyBorder="1" applyAlignment="1" applyProtection="1">
      <alignment horizontal="center" vertical="center" wrapText="1"/>
    </xf>
    <xf numFmtId="1" fontId="29" fillId="0" borderId="33" xfId="68" applyNumberFormat="1" applyFont="1" applyBorder="1" applyAlignment="1" applyProtection="1">
      <alignment horizontal="center" vertical="center" wrapText="1"/>
    </xf>
    <xf numFmtId="1" fontId="29" fillId="0" borderId="25" xfId="68" applyNumberFormat="1" applyFont="1" applyBorder="1" applyAlignment="1" applyProtection="1">
      <alignment horizontal="center" vertical="center"/>
    </xf>
    <xf numFmtId="1" fontId="29" fillId="0" borderId="26" xfId="68" applyNumberFormat="1" applyFont="1" applyBorder="1" applyAlignment="1" applyProtection="1">
      <alignment horizontal="center" vertical="center"/>
    </xf>
    <xf numFmtId="1" fontId="29" fillId="0" borderId="25" xfId="68" quotePrefix="1" applyNumberFormat="1" applyFont="1" applyBorder="1" applyAlignment="1" applyProtection="1">
      <alignment horizontal="center" vertical="center"/>
    </xf>
    <xf numFmtId="0" fontId="32" fillId="0" borderId="41" xfId="69" applyFont="1" applyBorder="1" applyAlignment="1" applyProtection="1">
      <alignment horizontal="center" vertical="center"/>
    </xf>
    <xf numFmtId="0" fontId="32" fillId="0" borderId="58" xfId="69" applyFont="1" applyBorder="1" applyAlignment="1" applyProtection="1">
      <alignment horizontal="center" vertical="center"/>
    </xf>
    <xf numFmtId="0" fontId="32" fillId="0" borderId="51" xfId="69" applyFont="1" applyBorder="1" applyAlignment="1" applyProtection="1">
      <alignment horizontal="center" vertical="center"/>
    </xf>
    <xf numFmtId="0" fontId="32" fillId="0" borderId="59" xfId="69" applyFont="1" applyBorder="1" applyAlignment="1" applyProtection="1">
      <alignment horizontal="center" vertical="center"/>
    </xf>
    <xf numFmtId="0" fontId="32" fillId="0" borderId="41" xfId="69" applyFont="1" applyBorder="1" applyAlignment="1" applyProtection="1">
      <alignment horizontal="center" vertical="center" wrapText="1"/>
    </xf>
    <xf numFmtId="0" fontId="32" fillId="0" borderId="58" xfId="69" applyFont="1" applyBorder="1" applyAlignment="1" applyProtection="1">
      <alignment horizontal="center" vertical="center" wrapText="1"/>
    </xf>
    <xf numFmtId="0" fontId="25" fillId="0" borderId="41" xfId="69" applyFont="1" applyBorder="1" applyAlignment="1" applyProtection="1">
      <alignment horizontal="center" vertical="center"/>
    </xf>
    <xf numFmtId="0" fontId="25" fillId="0" borderId="58" xfId="69" applyFont="1" applyBorder="1" applyAlignment="1" applyProtection="1">
      <alignment horizontal="center" vertical="center"/>
    </xf>
    <xf numFmtId="0" fontId="26" fillId="0" borderId="41" xfId="72" applyFont="1" applyBorder="1" applyAlignment="1" applyProtection="1">
      <alignment horizontal="center"/>
    </xf>
    <xf numFmtId="0" fontId="26" fillId="0" borderId="58" xfId="72" applyFont="1" applyBorder="1" applyAlignment="1" applyProtection="1">
      <alignment horizontal="center"/>
    </xf>
    <xf numFmtId="0" fontId="26" fillId="0" borderId="51" xfId="72" applyFont="1" applyBorder="1" applyAlignment="1" applyProtection="1">
      <alignment horizontal="center" vertical="center"/>
    </xf>
    <xf numFmtId="0" fontId="26" fillId="0" borderId="59" xfId="72" applyFont="1" applyBorder="1" applyAlignment="1" applyProtection="1">
      <alignment horizontal="center" vertical="center"/>
    </xf>
    <xf numFmtId="0" fontId="2" fillId="0" borderId="41" xfId="72" applyFill="1" applyBorder="1" applyAlignment="1" applyProtection="1">
      <alignment horizontal="center"/>
    </xf>
    <xf numFmtId="0" fontId="2" fillId="0" borderId="58" xfId="72" applyFill="1" applyBorder="1" applyAlignment="1" applyProtection="1">
      <alignment horizontal="center"/>
    </xf>
    <xf numFmtId="0" fontId="26" fillId="0" borderId="77" xfId="69" applyFont="1" applyFill="1" applyBorder="1" applyAlignment="1" applyProtection="1">
      <alignment horizontal="center" vertical="center"/>
    </xf>
    <xf numFmtId="0" fontId="26" fillId="0" borderId="25" xfId="69" applyFont="1" applyFill="1" applyBorder="1" applyAlignment="1" applyProtection="1">
      <alignment horizontal="center" vertical="center"/>
    </xf>
    <xf numFmtId="0" fontId="26" fillId="0" borderId="26" xfId="69" applyFont="1" applyFill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center" vertical="center" wrapText="1"/>
    </xf>
    <xf numFmtId="0" fontId="26" fillId="0" borderId="75" xfId="69" applyFont="1" applyBorder="1" applyAlignment="1" applyProtection="1">
      <alignment horizontal="center" vertical="center" wrapText="1"/>
    </xf>
    <xf numFmtId="0" fontId="26" fillId="0" borderId="64" xfId="69" applyFont="1" applyBorder="1" applyAlignment="1" applyProtection="1">
      <alignment horizontal="center" vertical="center" wrapText="1"/>
    </xf>
    <xf numFmtId="0" fontId="26" fillId="0" borderId="19" xfId="69" applyFont="1" applyBorder="1" applyAlignment="1" applyProtection="1">
      <alignment horizontal="center" vertical="center" wrapText="1"/>
    </xf>
    <xf numFmtId="0" fontId="26" fillId="0" borderId="52" xfId="69" applyFont="1" applyBorder="1" applyAlignment="1" applyProtection="1">
      <alignment horizontal="center" vertical="center"/>
    </xf>
    <xf numFmtId="0" fontId="26" fillId="0" borderId="54" xfId="69" applyFont="1" applyBorder="1" applyAlignment="1" applyProtection="1">
      <alignment horizontal="center" vertical="center"/>
    </xf>
    <xf numFmtId="0" fontId="26" fillId="0" borderId="24" xfId="69" applyFont="1" applyBorder="1" applyAlignment="1" applyProtection="1">
      <alignment horizontal="left" vertical="center" wrapText="1"/>
    </xf>
    <xf numFmtId="0" fontId="26" fillId="0" borderId="75" xfId="69" applyFont="1" applyBorder="1" applyAlignment="1" applyProtection="1">
      <alignment horizontal="left" vertical="center" wrapText="1"/>
    </xf>
    <xf numFmtId="0" fontId="26" fillId="0" borderId="24" xfId="75" applyFont="1" applyFill="1" applyBorder="1" applyAlignment="1" applyProtection="1">
      <alignment horizontal="left" vertical="center" wrapText="1"/>
    </xf>
    <xf numFmtId="0" fontId="26" fillId="0" borderId="75" xfId="75" applyFont="1" applyFill="1" applyBorder="1" applyAlignment="1" applyProtection="1">
      <alignment horizontal="left" vertical="center" wrapText="1"/>
    </xf>
    <xf numFmtId="0" fontId="26" fillId="0" borderId="21" xfId="69" applyFont="1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66" xfId="76" applyFont="1" applyBorder="1" applyAlignment="1" applyProtection="1">
      <alignment horizontal="left" vertical="center"/>
    </xf>
    <xf numFmtId="0" fontId="2" fillId="0" borderId="67" xfId="76" applyFont="1" applyBorder="1" applyAlignment="1" applyProtection="1">
      <alignment horizontal="left" vertical="center"/>
    </xf>
    <xf numFmtId="0" fontId="2" fillId="0" borderId="79" xfId="76" applyFont="1" applyBorder="1" applyAlignment="1" applyProtection="1">
      <alignment horizontal="left" vertical="center"/>
    </xf>
    <xf numFmtId="0" fontId="2" fillId="0" borderId="72" xfId="76" applyFont="1" applyBorder="1" applyAlignment="1" applyProtection="1">
      <alignment horizontal="left" vertical="center"/>
    </xf>
    <xf numFmtId="0" fontId="26" fillId="0" borderId="24" xfId="69" applyFont="1" applyBorder="1" applyAlignment="1" applyProtection="1">
      <alignment horizontal="left" vertical="center"/>
    </xf>
    <xf numFmtId="0" fontId="26" fillId="0" borderId="29" xfId="69" applyFont="1" applyBorder="1" applyAlignment="1" applyProtection="1">
      <alignment horizontal="left" vertical="center"/>
    </xf>
    <xf numFmtId="0" fontId="26" fillId="0" borderId="75" xfId="69" applyFont="1" applyBorder="1" applyAlignment="1" applyProtection="1">
      <alignment horizontal="left" vertical="center"/>
    </xf>
    <xf numFmtId="0" fontId="2" fillId="0" borderId="21" xfId="76" applyFont="1" applyBorder="1" applyAlignment="1" applyProtection="1">
      <alignment horizontal="center" vertical="center"/>
    </xf>
    <xf numFmtId="0" fontId="2" fillId="0" borderId="23" xfId="76" applyFont="1" applyBorder="1" applyAlignment="1" applyProtection="1">
      <alignment horizontal="center" vertical="center"/>
    </xf>
    <xf numFmtId="0" fontId="2" fillId="0" borderId="64" xfId="76" applyFont="1" applyBorder="1" applyAlignment="1" applyProtection="1">
      <alignment horizontal="center" vertical="center"/>
    </xf>
    <xf numFmtId="0" fontId="2" fillId="0" borderId="65" xfId="76" applyFont="1" applyBorder="1" applyAlignment="1" applyProtection="1">
      <alignment horizontal="center" vertical="center"/>
    </xf>
    <xf numFmtId="0" fontId="2" fillId="0" borderId="27" xfId="76" applyFont="1" applyBorder="1" applyAlignment="1" applyProtection="1">
      <alignment horizontal="left" vertical="center" wrapText="1"/>
    </xf>
    <xf numFmtId="0" fontId="2" fillId="0" borderId="28" xfId="76" applyFont="1" applyBorder="1" applyAlignment="1" applyProtection="1">
      <alignment horizontal="left" vertical="center" wrapText="1"/>
    </xf>
    <xf numFmtId="0" fontId="2" fillId="0" borderId="30" xfId="76" applyFont="1" applyBorder="1" applyAlignment="1" applyProtection="1">
      <alignment horizontal="left" vertical="center" wrapText="1"/>
    </xf>
    <xf numFmtId="0" fontId="2" fillId="0" borderId="32" xfId="76" applyFont="1" applyBorder="1" applyAlignment="1" applyProtection="1">
      <alignment horizontal="left" vertical="center" wrapText="1"/>
    </xf>
    <xf numFmtId="0" fontId="2" fillId="0" borderId="21" xfId="76" applyFont="1" applyBorder="1" applyAlignment="1" applyProtection="1">
      <alignment horizontal="left" vertical="center"/>
    </xf>
    <xf numFmtId="0" fontId="2" fillId="0" borderId="23" xfId="76" applyFont="1" applyBorder="1" applyAlignment="1" applyProtection="1">
      <alignment horizontal="left" vertical="center"/>
    </xf>
    <xf numFmtId="0" fontId="2" fillId="0" borderId="64" xfId="76" applyFont="1" applyBorder="1" applyAlignment="1" applyProtection="1">
      <alignment horizontal="left" vertical="center"/>
    </xf>
    <xf numFmtId="0" fontId="2" fillId="0" borderId="65" xfId="76" applyFont="1" applyBorder="1" applyAlignment="1" applyProtection="1">
      <alignment horizontal="left" vertical="center"/>
    </xf>
    <xf numFmtId="0" fontId="26" fillId="0" borderId="46" xfId="79" applyFont="1" applyBorder="1" applyAlignment="1" applyProtection="1">
      <alignment horizontal="left" vertical="center"/>
    </xf>
    <xf numFmtId="0" fontId="26" fillId="0" borderId="21" xfId="79" applyFont="1" applyFill="1" applyBorder="1" applyAlignment="1" applyProtection="1">
      <alignment horizontal="left" vertical="center"/>
    </xf>
    <xf numFmtId="0" fontId="26" fillId="0" borderId="23" xfId="79" applyFont="1" applyFill="1" applyBorder="1" applyAlignment="1" applyProtection="1">
      <alignment horizontal="left" vertical="center"/>
    </xf>
    <xf numFmtId="0" fontId="26" fillId="0" borderId="27" xfId="79" applyFont="1" applyFill="1" applyBorder="1" applyAlignment="1" applyProtection="1">
      <alignment horizontal="left" vertical="center"/>
    </xf>
    <xf numFmtId="0" fontId="26" fillId="0" borderId="28" xfId="79" applyFont="1" applyFill="1" applyBorder="1" applyAlignment="1" applyProtection="1">
      <alignment horizontal="left" vertical="center"/>
    </xf>
    <xf numFmtId="0" fontId="26" fillId="0" borderId="64" xfId="79" applyFont="1" applyFill="1" applyBorder="1" applyAlignment="1" applyProtection="1">
      <alignment horizontal="left" vertical="center"/>
    </xf>
    <xf numFmtId="0" fontId="26" fillId="0" borderId="65" xfId="79" applyFont="1" applyFill="1" applyBorder="1" applyAlignment="1" applyProtection="1">
      <alignment horizontal="left" vertical="center"/>
    </xf>
    <xf numFmtId="0" fontId="26" fillId="0" borderId="58" xfId="79" applyFont="1" applyBorder="1" applyAlignment="1" applyProtection="1">
      <alignment horizontal="left" vertical="center" wrapText="1"/>
    </xf>
    <xf numFmtId="0" fontId="26" fillId="0" borderId="46" xfId="79" applyFont="1" applyBorder="1" applyAlignment="1" applyProtection="1">
      <alignment horizontal="left" vertical="center" wrapText="1"/>
    </xf>
    <xf numFmtId="0" fontId="26" fillId="0" borderId="79" xfId="79" applyFont="1" applyBorder="1" applyAlignment="1" applyProtection="1">
      <alignment horizontal="left" vertical="center"/>
    </xf>
    <xf numFmtId="0" fontId="0" fillId="0" borderId="72" xfId="0" applyBorder="1" applyAlignment="1">
      <alignment horizontal="left" vertical="center"/>
    </xf>
    <xf numFmtId="0" fontId="26" fillId="0" borderId="68" xfId="79" applyFont="1" applyBorder="1" applyAlignment="1" applyProtection="1">
      <alignment horizontal="left" vertical="center"/>
    </xf>
    <xf numFmtId="0" fontId="26" fillId="0" borderId="77" xfId="79" applyFont="1" applyBorder="1" applyAlignment="1" applyProtection="1">
      <alignment horizontal="left" vertical="center"/>
    </xf>
    <xf numFmtId="0" fontId="26" fillId="0" borderId="26" xfId="79" applyFont="1" applyBorder="1" applyAlignment="1" applyProtection="1">
      <alignment horizontal="left" vertical="center"/>
    </xf>
    <xf numFmtId="0" fontId="26" fillId="0" borderId="68" xfId="75" applyFont="1" applyFill="1" applyBorder="1" applyAlignment="1" applyProtection="1">
      <alignment horizontal="left" vertical="center"/>
    </xf>
    <xf numFmtId="0" fontId="26" fillId="0" borderId="44" xfId="75" applyFont="1" applyFill="1" applyBorder="1" applyAlignment="1" applyProtection="1">
      <alignment horizontal="left" vertical="center"/>
    </xf>
    <xf numFmtId="0" fontId="43" fillId="0" borderId="44" xfId="0" applyFont="1" applyBorder="1" applyAlignment="1" applyProtection="1">
      <alignment horizontal="left" vertical="center"/>
    </xf>
    <xf numFmtId="0" fontId="43" fillId="0" borderId="58" xfId="0" applyFont="1" applyBorder="1" applyAlignment="1" applyProtection="1">
      <alignment horizontal="left" vertical="center"/>
    </xf>
    <xf numFmtId="0" fontId="26" fillId="0" borderId="52" xfId="82" applyFont="1" applyBorder="1" applyAlignment="1" applyProtection="1">
      <alignment horizontal="center" vertical="center"/>
    </xf>
    <xf numFmtId="0" fontId="26" fillId="0" borderId="53" xfId="82" applyFont="1" applyBorder="1" applyAlignment="1" applyProtection="1">
      <alignment horizontal="center" vertical="center"/>
    </xf>
    <xf numFmtId="0" fontId="26" fillId="0" borderId="54" xfId="82" applyFont="1" applyBorder="1" applyAlignment="1" applyProtection="1">
      <alignment horizontal="center" vertical="center"/>
    </xf>
    <xf numFmtId="0" fontId="2" fillId="0" borderId="21" xfId="82" applyFont="1" applyBorder="1" applyAlignment="1" applyProtection="1">
      <alignment horizontal="center" vertical="center"/>
    </xf>
    <xf numFmtId="0" fontId="2" fillId="0" borderId="23" xfId="82" applyFont="1" applyBorder="1" applyAlignment="1" applyProtection="1">
      <alignment horizontal="center" vertical="center"/>
    </xf>
    <xf numFmtId="0" fontId="2" fillId="0" borderId="64" xfId="82" applyFont="1" applyBorder="1" applyAlignment="1" applyProtection="1">
      <alignment horizontal="center" vertical="center"/>
    </xf>
    <xf numFmtId="0" fontId="2" fillId="0" borderId="65" xfId="82" applyFont="1" applyBorder="1" applyAlignment="1" applyProtection="1">
      <alignment horizontal="center" vertical="center"/>
    </xf>
    <xf numFmtId="0" fontId="26" fillId="0" borderId="10" xfId="82" applyFont="1" applyBorder="1" applyAlignment="1" applyProtection="1">
      <alignment horizontal="center" vertical="center"/>
    </xf>
    <xf numFmtId="0" fontId="26" fillId="0" borderId="11" xfId="82" applyFont="1" applyBorder="1" applyAlignment="1" applyProtection="1">
      <alignment horizontal="center" vertical="center"/>
    </xf>
    <xf numFmtId="0" fontId="26" fillId="0" borderId="40" xfId="82" applyFont="1" applyBorder="1" applyAlignment="1" applyProtection="1">
      <alignment horizontal="center" vertical="center"/>
    </xf>
    <xf numFmtId="0" fontId="2" fillId="0" borderId="73" xfId="82" applyFont="1" applyBorder="1" applyAlignment="1" applyProtection="1">
      <alignment horizontal="center" vertical="center"/>
    </xf>
    <xf numFmtId="0" fontId="2" fillId="0" borderId="75" xfId="82" applyFont="1" applyBorder="1" applyAlignment="1" applyProtection="1">
      <alignment horizontal="center" vertical="center"/>
    </xf>
    <xf numFmtId="0" fontId="26" fillId="0" borderId="15" xfId="82" applyFont="1" applyBorder="1" applyAlignment="1" applyProtection="1">
      <alignment horizontal="center" vertical="center" wrapText="1"/>
    </xf>
    <xf numFmtId="0" fontId="26" fillId="0" borderId="20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horizontal="center" vertical="center" wrapText="1"/>
    </xf>
    <xf numFmtId="0" fontId="26" fillId="0" borderId="58" xfId="82" applyFont="1" applyBorder="1" applyAlignment="1" applyProtection="1">
      <alignment horizontal="center" vertical="center"/>
    </xf>
    <xf numFmtId="0" fontId="26" fillId="0" borderId="58" xfId="82" applyFont="1" applyBorder="1" applyAlignment="1" applyProtection="1">
      <alignment horizontal="center" vertical="center" wrapText="1"/>
    </xf>
    <xf numFmtId="0" fontId="26" fillId="0" borderId="44" xfId="82" applyFont="1" applyBorder="1" applyAlignment="1" applyProtection="1">
      <alignment horizontal="center" vertical="center" wrapText="1"/>
    </xf>
    <xf numFmtId="0" fontId="26" fillId="0" borderId="18" xfId="82" applyFont="1" applyBorder="1" applyAlignment="1" applyProtection="1">
      <alignment horizontal="center" vertical="center"/>
    </xf>
    <xf numFmtId="0" fontId="26" fillId="0" borderId="19" xfId="82" applyFont="1" applyBorder="1" applyAlignment="1" applyProtection="1">
      <alignment horizontal="center" vertical="center"/>
    </xf>
    <xf numFmtId="0" fontId="26" fillId="0" borderId="65" xfId="82" applyFont="1" applyBorder="1" applyAlignment="1" applyProtection="1">
      <alignment horizontal="center" vertical="center"/>
    </xf>
    <xf numFmtId="0" fontId="26" fillId="0" borderId="68" xfId="82" applyFont="1" applyBorder="1" applyAlignment="1" applyProtection="1">
      <alignment vertical="center" wrapText="1"/>
    </xf>
    <xf numFmtId="0" fontId="26" fillId="0" borderId="58" xfId="82" applyFont="1" applyBorder="1" applyAlignment="1" applyProtection="1">
      <alignment vertical="center"/>
    </xf>
    <xf numFmtId="0" fontId="26" fillId="0" borderId="44" xfId="82" applyFont="1" applyBorder="1" applyAlignment="1" applyProtection="1">
      <alignment vertical="center" wrapText="1"/>
    </xf>
    <xf numFmtId="0" fontId="26" fillId="0" borderId="17" xfId="82" applyFont="1" applyBorder="1" applyAlignment="1" applyProtection="1">
      <alignment horizontal="center" vertical="center" wrapText="1"/>
    </xf>
    <xf numFmtId="1" fontId="26" fillId="0" borderId="21" xfId="68" applyNumberFormat="1" applyFont="1" applyBorder="1" applyAlignment="1" applyProtection="1">
      <alignment horizontal="center" vertical="center" wrapText="1"/>
    </xf>
    <xf numFmtId="1" fontId="26" fillId="0" borderId="22" xfId="68" applyNumberFormat="1" applyFont="1" applyBorder="1" applyAlignment="1" applyProtection="1">
      <alignment horizontal="center" vertical="center" wrapText="1"/>
    </xf>
    <xf numFmtId="1" fontId="26" fillId="0" borderId="87" xfId="68" applyNumberFormat="1" applyFont="1" applyBorder="1" applyAlignment="1" applyProtection="1">
      <alignment horizontal="center" vertical="center" wrapText="1"/>
    </xf>
    <xf numFmtId="1" fontId="26" fillId="0" borderId="27" xfId="68" applyNumberFormat="1" applyFont="1" applyBorder="1" applyAlignment="1" applyProtection="1">
      <alignment horizontal="center" vertical="center" wrapText="1"/>
    </xf>
    <xf numFmtId="1" fontId="26" fillId="0" borderId="0" xfId="68" applyNumberFormat="1" applyFont="1" applyBorder="1" applyAlignment="1" applyProtection="1">
      <alignment horizontal="center" vertical="center" wrapText="1"/>
    </xf>
    <xf numFmtId="1" fontId="26" fillId="0" borderId="17" xfId="68" applyNumberFormat="1" applyFont="1" applyBorder="1" applyAlignment="1" applyProtection="1">
      <alignment horizontal="center" vertical="center" wrapText="1"/>
    </xf>
    <xf numFmtId="1" fontId="26" fillId="0" borderId="30" xfId="68" applyNumberFormat="1" applyFont="1" applyBorder="1" applyAlignment="1" applyProtection="1">
      <alignment horizontal="center" vertical="center" wrapText="1"/>
    </xf>
    <xf numFmtId="1" fontId="26" fillId="0" borderId="31" xfId="68" applyNumberFormat="1" applyFont="1" applyBorder="1" applyAlignment="1" applyProtection="1">
      <alignment horizontal="center" vertical="center" wrapText="1"/>
    </xf>
    <xf numFmtId="1" fontId="26" fillId="0" borderId="74" xfId="68" applyNumberFormat="1" applyFont="1" applyBorder="1" applyAlignment="1" applyProtection="1">
      <alignment horizontal="center" vertical="center" wrapText="1"/>
    </xf>
    <xf numFmtId="1" fontId="26" fillId="0" borderId="51" xfId="68" applyNumberFormat="1" applyFont="1" applyBorder="1" applyAlignment="1" applyProtection="1">
      <alignment horizontal="center" vertical="center" wrapText="1"/>
    </xf>
    <xf numFmtId="1" fontId="26" fillId="0" borderId="62" xfId="68" applyNumberFormat="1" applyFont="1" applyBorder="1" applyAlignment="1" applyProtection="1">
      <alignment horizontal="center" vertical="center" wrapText="1"/>
    </xf>
    <xf numFmtId="1" fontId="26" fillId="0" borderId="63" xfId="68" applyNumberFormat="1" applyFont="1" applyBorder="1" applyAlignment="1" applyProtection="1">
      <alignment horizontal="center" vertical="center" wrapText="1"/>
    </xf>
    <xf numFmtId="1" fontId="26" fillId="0" borderId="52" xfId="68" applyNumberFormat="1" applyFont="1" applyBorder="1" applyAlignment="1" applyProtection="1">
      <alignment horizontal="center" vertical="center" wrapText="1"/>
    </xf>
    <xf numFmtId="1" fontId="26" fillId="0" borderId="54" xfId="68" applyNumberFormat="1" applyFont="1" applyBorder="1" applyAlignment="1" applyProtection="1">
      <alignment horizontal="center" vertical="center" wrapText="1"/>
    </xf>
    <xf numFmtId="0" fontId="20" fillId="0" borderId="10" xfId="0" quotePrefix="1" applyFont="1" applyBorder="1" applyAlignment="1">
      <alignment horizontal="center"/>
    </xf>
    <xf numFmtId="0" fontId="20" fillId="0" borderId="11" xfId="0" quotePrefix="1" applyFont="1" applyBorder="1" applyAlignment="1">
      <alignment horizontal="center"/>
    </xf>
    <xf numFmtId="0" fontId="20" fillId="0" borderId="12" xfId="0" quotePrefix="1" applyFont="1" applyBorder="1" applyAlignment="1">
      <alignment horizontal="center"/>
    </xf>
    <xf numFmtId="0" fontId="22" fillId="0" borderId="10" xfId="0" quotePrefix="1" applyFont="1" applyBorder="1" applyAlignment="1">
      <alignment horizontal="center"/>
    </xf>
    <xf numFmtId="0" fontId="22" fillId="0" borderId="11" xfId="0" quotePrefix="1" applyFont="1" applyBorder="1" applyAlignment="1">
      <alignment horizontal="center"/>
    </xf>
    <xf numFmtId="0" fontId="22" fillId="0" borderId="12" xfId="0" quotePrefix="1" applyFont="1" applyBorder="1" applyAlignment="1">
      <alignment horizontal="center"/>
    </xf>
    <xf numFmtId="0" fontId="30" fillId="0" borderId="70" xfId="86" applyFont="1" applyBorder="1" applyAlignment="1">
      <alignment horizontal="center" textRotation="90" wrapText="1"/>
    </xf>
    <xf numFmtId="0" fontId="30" fillId="0" borderId="45" xfId="86" applyFont="1" applyBorder="1" applyAlignment="1">
      <alignment horizontal="center" textRotation="90" wrapText="1"/>
    </xf>
    <xf numFmtId="0" fontId="30" fillId="0" borderId="60" xfId="86" applyFont="1" applyBorder="1" applyAlignment="1">
      <alignment horizontal="center" textRotation="90" wrapText="1"/>
    </xf>
    <xf numFmtId="0" fontId="30" fillId="0" borderId="0" xfId="0" applyFont="1" applyBorder="1" applyAlignment="1" applyProtection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13" xfId="86" applyFont="1" applyBorder="1" applyAlignment="1">
      <alignment horizontal="center" textRotation="90" wrapText="1"/>
    </xf>
    <xf numFmtId="0" fontId="30" fillId="0" borderId="16" xfId="86" applyFont="1" applyBorder="1" applyAlignment="1">
      <alignment horizontal="center" textRotation="90" wrapText="1"/>
    </xf>
    <xf numFmtId="0" fontId="30" fillId="0" borderId="18" xfId="86" applyFont="1" applyBorder="1" applyAlignment="1">
      <alignment horizontal="center" textRotation="90" wrapText="1"/>
    </xf>
    <xf numFmtId="0" fontId="29" fillId="0" borderId="24" xfId="86" applyFont="1" applyBorder="1" applyAlignment="1">
      <alignment horizontal="center" vertical="center" textRotation="90" wrapText="1"/>
    </xf>
    <xf numFmtId="0" fontId="29" fillId="0" borderId="29" xfId="86" applyFont="1" applyBorder="1" applyAlignment="1">
      <alignment horizontal="center" vertical="center" textRotation="90" wrapText="1"/>
    </xf>
    <xf numFmtId="0" fontId="29" fillId="0" borderId="75" xfId="86" applyFont="1" applyBorder="1" applyAlignment="1">
      <alignment horizontal="center" vertical="center" textRotation="90" wrapText="1"/>
    </xf>
    <xf numFmtId="0" fontId="30" fillId="11" borderId="10" xfId="86" applyFont="1" applyFill="1" applyBorder="1" applyAlignment="1">
      <alignment horizontal="center"/>
    </xf>
    <xf numFmtId="0" fontId="30" fillId="11" borderId="11" xfId="86" applyFont="1" applyFill="1" applyBorder="1" applyAlignment="1">
      <alignment horizontal="center"/>
    </xf>
    <xf numFmtId="0" fontId="30" fillId="11" borderId="12" xfId="86" applyFont="1" applyFill="1" applyBorder="1" applyAlignment="1">
      <alignment horizontal="center"/>
    </xf>
    <xf numFmtId="0" fontId="30" fillId="27" borderId="10" xfId="86" applyFont="1" applyFill="1" applyBorder="1" applyAlignment="1">
      <alignment horizontal="center"/>
    </xf>
    <xf numFmtId="0" fontId="30" fillId="27" borderId="11" xfId="86" applyFont="1" applyFill="1" applyBorder="1" applyAlignment="1">
      <alignment horizontal="center"/>
    </xf>
    <xf numFmtId="0" fontId="30" fillId="27" borderId="12" xfId="86" applyFont="1" applyFill="1" applyBorder="1" applyAlignment="1">
      <alignment horizontal="center"/>
    </xf>
    <xf numFmtId="0" fontId="30" fillId="0" borderId="10" xfId="86" applyFont="1" applyBorder="1" applyAlignment="1">
      <alignment horizontal="center"/>
    </xf>
    <xf numFmtId="0" fontId="30" fillId="0" borderId="11" xfId="86" applyFont="1" applyBorder="1" applyAlignment="1">
      <alignment horizontal="center"/>
    </xf>
    <xf numFmtId="0" fontId="30" fillId="0" borderId="12" xfId="86" applyFont="1" applyBorder="1" applyAlignment="1">
      <alignment horizontal="center"/>
    </xf>
    <xf numFmtId="0" fontId="56" fillId="0" borderId="21" xfId="0" applyFont="1" applyBorder="1" applyAlignment="1">
      <alignment horizontal="left" vertical="center" indent="1"/>
    </xf>
    <xf numFmtId="0" fontId="56" fillId="0" borderId="22" xfId="0" applyFont="1" applyBorder="1" applyAlignment="1">
      <alignment horizontal="left" vertical="center" indent="1"/>
    </xf>
    <xf numFmtId="0" fontId="56" fillId="0" borderId="23" xfId="0" applyFont="1" applyBorder="1" applyAlignment="1">
      <alignment horizontal="left" vertical="center" indent="1"/>
    </xf>
    <xf numFmtId="0" fontId="56" fillId="0" borderId="30" xfId="0" applyFont="1" applyBorder="1" applyAlignment="1">
      <alignment horizontal="left" vertical="center" indent="1"/>
    </xf>
    <xf numFmtId="0" fontId="56" fillId="0" borderId="31" xfId="0" applyFont="1" applyBorder="1" applyAlignment="1">
      <alignment horizontal="left" vertical="center" indent="1"/>
    </xf>
    <xf numFmtId="0" fontId="56" fillId="0" borderId="32" xfId="0" applyFont="1" applyBorder="1" applyAlignment="1">
      <alignment horizontal="left" vertical="center" indent="1"/>
    </xf>
    <xf numFmtId="0" fontId="49" fillId="28" borderId="77" xfId="0" applyFont="1" applyFill="1" applyBorder="1" applyAlignment="1" applyProtection="1">
      <alignment horizontal="center" vertical="center"/>
    </xf>
    <xf numFmtId="0" fontId="49" fillId="28" borderId="25" xfId="0" applyFont="1" applyFill="1" applyBorder="1" applyAlignment="1" applyProtection="1">
      <alignment horizontal="center" vertical="center"/>
    </xf>
    <xf numFmtId="0" fontId="49" fillId="28" borderId="26" xfId="0" applyFont="1" applyFill="1" applyBorder="1" applyAlignment="1" applyProtection="1">
      <alignment horizontal="center" vertical="center"/>
    </xf>
    <xf numFmtId="0" fontId="29" fillId="27" borderId="77" xfId="0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9" fillId="11" borderId="77" xfId="0" applyFont="1" applyFill="1" applyBorder="1" applyAlignment="1" applyProtection="1">
      <alignment horizontal="center" vertical="center"/>
    </xf>
    <xf numFmtId="0" fontId="29" fillId="11" borderId="25" xfId="0" applyFont="1" applyFill="1" applyBorder="1" applyAlignment="1" applyProtection="1">
      <alignment horizontal="center" vertical="center"/>
    </xf>
    <xf numFmtId="0" fontId="29" fillId="11" borderId="26" xfId="0" applyFont="1" applyFill="1" applyBorder="1" applyAlignment="1" applyProtection="1">
      <alignment horizontal="center" vertical="center"/>
    </xf>
    <xf numFmtId="0" fontId="49" fillId="0" borderId="27" xfId="0" applyFont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wrapText="1"/>
    </xf>
    <xf numFmtId="0" fontId="49" fillId="0" borderId="33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0" fontId="28" fillId="0" borderId="60" xfId="0" applyFont="1" applyFill="1" applyBorder="1" applyAlignment="1" applyProtection="1">
      <alignment horizontal="left" vertical="center"/>
    </xf>
    <xf numFmtId="0" fontId="28" fillId="0" borderId="59" xfId="0" applyFont="1" applyFill="1" applyBorder="1" applyAlignment="1" applyProtection="1">
      <alignment horizontal="left" vertical="center"/>
    </xf>
    <xf numFmtId="175" fontId="48" fillId="22" borderId="41" xfId="0" applyNumberFormat="1" applyFont="1" applyFill="1" applyBorder="1" applyAlignment="1" applyProtection="1">
      <alignment horizontal="right" vertical="center"/>
      <protection locked="0"/>
    </xf>
    <xf numFmtId="175" fontId="48" fillId="22" borderId="58" xfId="0" applyNumberFormat="1" applyFont="1" applyFill="1" applyBorder="1" applyAlignment="1" applyProtection="1">
      <alignment horizontal="right" vertical="center"/>
      <protection locked="0"/>
    </xf>
    <xf numFmtId="175" fontId="48" fillId="22" borderId="51" xfId="0" applyNumberFormat="1" applyFont="1" applyFill="1" applyBorder="1" applyAlignment="1" applyProtection="1">
      <alignment horizontal="right" vertical="center"/>
      <protection locked="0"/>
    </xf>
    <xf numFmtId="175" fontId="48" fillId="22" borderId="59" xfId="0" applyNumberFormat="1" applyFont="1" applyFill="1" applyBorder="1" applyAlignment="1" applyProtection="1">
      <alignment horizontal="right" vertical="center"/>
      <protection locked="0"/>
    </xf>
    <xf numFmtId="175" fontId="28" fillId="29" borderId="24" xfId="0" applyNumberFormat="1" applyFont="1" applyFill="1" applyBorder="1" applyAlignment="1">
      <alignment horizontal="right" vertical="center"/>
    </xf>
    <xf numFmtId="175" fontId="28" fillId="29" borderId="75" xfId="0" applyNumberFormat="1" applyFont="1" applyFill="1" applyBorder="1" applyAlignment="1">
      <alignment horizontal="right" vertical="center"/>
    </xf>
    <xf numFmtId="0" fontId="28" fillId="0" borderId="47" xfId="0" applyFont="1" applyFill="1" applyBorder="1" applyAlignment="1" applyProtection="1">
      <alignment horizontal="left" vertical="center"/>
    </xf>
    <xf numFmtId="0" fontId="28" fillId="0" borderId="61" xfId="0" applyFont="1" applyFill="1" applyBorder="1" applyAlignment="1" applyProtection="1">
      <alignment horizontal="left" vertical="center"/>
    </xf>
    <xf numFmtId="0" fontId="56" fillId="0" borderId="68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28" fillId="0" borderId="10" xfId="0" applyFont="1" applyFill="1" applyBorder="1" applyAlignment="1" applyProtection="1">
      <alignment horizontal="left" vertical="center"/>
    </xf>
    <xf numFmtId="0" fontId="28" fillId="0" borderId="40" xfId="0" applyFont="1" applyFill="1" applyBorder="1" applyAlignment="1" applyProtection="1">
      <alignment horizontal="left" vertical="center"/>
    </xf>
    <xf numFmtId="175" fontId="48" fillId="22" borderId="68" xfId="0" applyNumberFormat="1" applyFont="1" applyFill="1" applyBorder="1" applyAlignment="1" applyProtection="1">
      <alignment horizontal="right" vertical="center"/>
      <protection locked="0"/>
    </xf>
    <xf numFmtId="175" fontId="48" fillId="22" borderId="44" xfId="0" applyNumberFormat="1" applyFont="1" applyFill="1" applyBorder="1" applyAlignment="1" applyProtection="1">
      <alignment horizontal="right" vertical="center"/>
      <protection locked="0"/>
    </xf>
    <xf numFmtId="175" fontId="28" fillId="29" borderId="73" xfId="0" applyNumberFormat="1" applyFont="1" applyFill="1" applyBorder="1" applyAlignment="1">
      <alignment horizontal="right" vertical="center"/>
    </xf>
    <xf numFmtId="175" fontId="28" fillId="29" borderId="29" xfId="0" applyNumberFormat="1" applyFont="1" applyFill="1" applyBorder="1" applyAlignment="1">
      <alignment horizontal="right" vertical="center"/>
    </xf>
    <xf numFmtId="0" fontId="28" fillId="0" borderId="35" xfId="0" applyFont="1" applyFill="1" applyBorder="1" applyAlignment="1" applyProtection="1">
      <alignment horizontal="left" vertical="center"/>
    </xf>
    <xf numFmtId="0" fontId="28" fillId="0" borderId="39" xfId="0" applyFont="1" applyFill="1" applyBorder="1" applyAlignment="1" applyProtection="1">
      <alignment horizontal="left" vertical="center"/>
    </xf>
    <xf numFmtId="0" fontId="49" fillId="0" borderId="77" xfId="0" applyFont="1" applyBorder="1" applyAlignment="1" applyProtection="1">
      <alignment horizontal="left" vertical="center" wrapText="1"/>
    </xf>
    <xf numFmtId="0" fontId="49" fillId="0" borderId="25" xfId="0" applyFont="1" applyBorder="1" applyAlignment="1" applyProtection="1">
      <alignment horizontal="left" vertical="center" wrapText="1"/>
    </xf>
    <xf numFmtId="0" fontId="49" fillId="0" borderId="26" xfId="0" applyFont="1" applyBorder="1" applyAlignment="1" applyProtection="1">
      <alignment horizontal="left" vertical="center" wrapText="1"/>
    </xf>
    <xf numFmtId="0" fontId="56" fillId="0" borderId="58" xfId="0" applyFont="1" applyBorder="1" applyAlignment="1">
      <alignment horizontal="center" vertical="center"/>
    </xf>
    <xf numFmtId="0" fontId="56" fillId="0" borderId="46" xfId="0" applyFont="1" applyBorder="1" applyAlignment="1">
      <alignment horizontal="center" vertical="center"/>
    </xf>
    <xf numFmtId="0" fontId="56" fillId="0" borderId="68" xfId="0" applyFont="1" applyBorder="1" applyAlignment="1">
      <alignment horizontal="center" vertical="center"/>
    </xf>
    <xf numFmtId="0" fontId="28" fillId="0" borderId="47" xfId="0" applyFont="1" applyFill="1" applyBorder="1" applyAlignment="1" applyProtection="1">
      <alignment horizontal="left" vertical="center" wrapText="1"/>
    </xf>
    <xf numFmtId="0" fontId="28" fillId="0" borderId="61" xfId="0" applyFont="1" applyFill="1" applyBorder="1" applyAlignment="1" applyProtection="1">
      <alignment horizontal="left" vertical="center" wrapText="1"/>
    </xf>
    <xf numFmtId="0" fontId="28" fillId="0" borderId="70" xfId="0" applyFont="1" applyFill="1" applyBorder="1" applyAlignment="1" applyProtection="1">
      <alignment horizontal="left" vertical="center"/>
    </xf>
    <xf numFmtId="0" fontId="28" fillId="0" borderId="69" xfId="0" applyFont="1" applyFill="1" applyBorder="1" applyAlignment="1" applyProtection="1">
      <alignment horizontal="left" vertical="center"/>
    </xf>
    <xf numFmtId="0" fontId="56" fillId="0" borderId="55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 vertical="center"/>
    </xf>
    <xf numFmtId="0" fontId="28" fillId="0" borderId="56" xfId="0" applyFont="1" applyFill="1" applyBorder="1" applyAlignment="1" applyProtection="1">
      <alignment horizontal="left" vertical="center"/>
    </xf>
    <xf numFmtId="0" fontId="28" fillId="0" borderId="57" xfId="0" applyFont="1" applyFill="1" applyBorder="1" applyAlignment="1" applyProtection="1">
      <alignment horizontal="left" vertical="center"/>
    </xf>
    <xf numFmtId="0" fontId="56" fillId="0" borderId="41" xfId="0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77" xfId="0" applyFont="1" applyBorder="1" applyAlignment="1">
      <alignment horizontal="left" vertical="center"/>
    </xf>
    <xf numFmtId="0" fontId="49" fillId="0" borderId="25" xfId="0" applyFont="1" applyBorder="1" applyAlignment="1">
      <alignment horizontal="left" vertical="center"/>
    </xf>
    <xf numFmtId="0" fontId="49" fillId="0" borderId="26" xfId="0" applyFont="1" applyBorder="1" applyAlignment="1">
      <alignment horizontal="left" vertical="center"/>
    </xf>
    <xf numFmtId="0" fontId="49" fillId="0" borderId="77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49" fillId="0" borderId="26" xfId="0" applyFont="1" applyBorder="1" applyAlignment="1" applyProtection="1">
      <alignment horizontal="center" vertical="center"/>
    </xf>
    <xf numFmtId="0" fontId="28" fillId="0" borderId="52" xfId="0" applyFont="1" applyBorder="1" applyAlignment="1" applyProtection="1">
      <alignment horizontal="left" vertical="center"/>
    </xf>
    <xf numFmtId="0" fontId="28" fillId="0" borderId="53" xfId="0" applyFont="1" applyBorder="1" applyAlignment="1" applyProtection="1">
      <alignment horizontal="left" vertical="center"/>
    </xf>
    <xf numFmtId="0" fontId="28" fillId="0" borderId="54" xfId="0" applyFont="1" applyBorder="1" applyAlignment="1" applyProtection="1">
      <alignment horizontal="left" vertical="center"/>
    </xf>
    <xf numFmtId="0" fontId="28" fillId="0" borderId="79" xfId="0" applyFont="1" applyBorder="1" applyAlignment="1" applyProtection="1">
      <alignment horizontal="left" vertical="center"/>
    </xf>
    <xf numFmtId="0" fontId="28" fillId="0" borderId="80" xfId="0" applyFont="1" applyBorder="1" applyAlignment="1" applyProtection="1">
      <alignment horizontal="left" vertical="center"/>
    </xf>
    <xf numFmtId="0" fontId="28" fillId="0" borderId="72" xfId="0" applyFont="1" applyBorder="1" applyAlignment="1" applyProtection="1">
      <alignment horizontal="left" vertical="center"/>
    </xf>
    <xf numFmtId="0" fontId="56" fillId="0" borderId="77" xfId="0" applyFont="1" applyBorder="1" applyAlignment="1">
      <alignment horizontal="left" vertical="center"/>
    </xf>
    <xf numFmtId="0" fontId="56" fillId="0" borderId="25" xfId="0" applyFont="1" applyBorder="1" applyAlignment="1">
      <alignment horizontal="left" vertical="center"/>
    </xf>
    <xf numFmtId="0" fontId="56" fillId="0" borderId="26" xfId="0" applyFont="1" applyBorder="1" applyAlignment="1">
      <alignment horizontal="left" vertical="center"/>
    </xf>
    <xf numFmtId="0" fontId="39" fillId="0" borderId="21" xfId="0" applyFont="1" applyBorder="1" applyAlignment="1" applyProtection="1">
      <alignment horizontal="left" vertical="center"/>
    </xf>
    <xf numFmtId="0" fontId="39" fillId="0" borderId="22" xfId="0" applyFont="1" applyBorder="1" applyAlignment="1" applyProtection="1">
      <alignment horizontal="left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30" xfId="0" applyFont="1" applyBorder="1" applyAlignment="1" applyProtection="1">
      <alignment horizontal="left" vertical="center"/>
    </xf>
    <xf numFmtId="0" fontId="39" fillId="0" borderId="31" xfId="0" applyFont="1" applyBorder="1" applyAlignment="1" applyProtection="1">
      <alignment horizontal="left" vertical="center"/>
    </xf>
    <xf numFmtId="0" fontId="39" fillId="0" borderId="32" xfId="0" applyFont="1" applyBorder="1" applyAlignment="1" applyProtection="1">
      <alignment horizontal="left" vertical="center"/>
    </xf>
    <xf numFmtId="0" fontId="28" fillId="0" borderId="52" xfId="0" applyFont="1" applyBorder="1" applyAlignment="1" applyProtection="1">
      <alignment horizontal="left" vertical="center" wrapText="1" indent="1"/>
    </xf>
    <xf numFmtId="0" fontId="28" fillId="0" borderId="53" xfId="0" applyFont="1" applyBorder="1" applyAlignment="1" applyProtection="1">
      <alignment horizontal="left" vertical="center" wrapText="1" indent="1"/>
    </xf>
    <xf numFmtId="0" fontId="28" fillId="0" borderId="54" xfId="0" applyFont="1" applyBorder="1" applyAlignment="1" applyProtection="1">
      <alignment horizontal="left" vertical="center" wrapText="1" indent="1"/>
    </xf>
    <xf numFmtId="0" fontId="28" fillId="0" borderId="77" xfId="0" applyFont="1" applyBorder="1" applyAlignment="1" applyProtection="1">
      <alignment horizontal="left" vertical="center" wrapText="1" indent="1"/>
    </xf>
    <xf numFmtId="0" fontId="28" fillId="0" borderId="26" xfId="0" applyFont="1" applyBorder="1" applyAlignment="1" applyProtection="1">
      <alignment horizontal="left" vertical="center" wrapText="1" indent="1"/>
    </xf>
    <xf numFmtId="0" fontId="49" fillId="0" borderId="71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56" fillId="0" borderId="23" xfId="0" applyFont="1" applyBorder="1" applyAlignment="1">
      <alignment horizontal="left" vertical="center"/>
    </xf>
    <xf numFmtId="0" fontId="56" fillId="0" borderId="30" xfId="0" applyFont="1" applyBorder="1" applyAlignment="1">
      <alignment horizontal="left" vertical="center"/>
    </xf>
    <xf numFmtId="0" fontId="56" fillId="0" borderId="32" xfId="0" applyFont="1" applyBorder="1" applyAlignment="1">
      <alignment horizontal="left" vertical="center"/>
    </xf>
    <xf numFmtId="0" fontId="49" fillId="0" borderId="52" xfId="0" applyFont="1" applyBorder="1" applyAlignment="1">
      <alignment horizontal="left" vertical="center"/>
    </xf>
    <xf numFmtId="0" fontId="49" fillId="0" borderId="54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indent="1"/>
    </xf>
    <xf numFmtId="0" fontId="28" fillId="0" borderId="40" xfId="0" applyFont="1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49" fillId="0" borderId="41" xfId="0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28" fillId="0" borderId="79" xfId="0" applyFont="1" applyBorder="1" applyAlignment="1">
      <alignment horizontal="left" vertical="center" indent="1"/>
    </xf>
    <xf numFmtId="0" fontId="0" fillId="0" borderId="72" xfId="0" applyBorder="1" applyAlignment="1">
      <alignment horizontal="left" vertical="center" indent="1"/>
    </xf>
    <xf numFmtId="0" fontId="0" fillId="0" borderId="26" xfId="0" applyBorder="1" applyAlignment="1">
      <alignment horizontal="left" vertical="center"/>
    </xf>
    <xf numFmtId="0" fontId="56" fillId="0" borderId="27" xfId="0" applyFont="1" applyBorder="1" applyAlignment="1">
      <alignment horizontal="left" vertical="center"/>
    </xf>
    <xf numFmtId="0" fontId="56" fillId="0" borderId="28" xfId="0" applyFont="1" applyBorder="1" applyAlignment="1">
      <alignment horizontal="left" vertical="center"/>
    </xf>
    <xf numFmtId="0" fontId="49" fillId="27" borderId="30" xfId="0" applyFont="1" applyFill="1" applyBorder="1" applyAlignment="1" applyProtection="1">
      <alignment horizontal="center" vertical="center" wrapText="1"/>
    </xf>
    <xf numFmtId="0" fontId="49" fillId="27" borderId="32" xfId="0" applyFont="1" applyFill="1" applyBorder="1" applyAlignment="1" applyProtection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0" fontId="49" fillId="0" borderId="48" xfId="0" applyFont="1" applyBorder="1" applyAlignment="1">
      <alignment horizontal="center" vertical="center" wrapText="1"/>
    </xf>
    <xf numFmtId="0" fontId="28" fillId="0" borderId="71" xfId="0" applyFont="1" applyBorder="1" applyAlignment="1" applyProtection="1">
      <alignment horizontal="left" indent="1"/>
    </xf>
    <xf numFmtId="0" fontId="25" fillId="0" borderId="40" xfId="0" applyFont="1" applyBorder="1" applyAlignment="1">
      <alignment horizontal="left" indent="1"/>
    </xf>
    <xf numFmtId="0" fontId="49" fillId="0" borderId="77" xfId="0" applyFont="1" applyBorder="1" applyAlignment="1">
      <alignment horizontal="left"/>
    </xf>
    <xf numFmtId="0" fontId="49" fillId="0" borderId="26" xfId="0" applyFont="1" applyBorder="1" applyAlignment="1">
      <alignment horizontal="left"/>
    </xf>
    <xf numFmtId="0" fontId="40" fillId="0" borderId="77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28" fillId="0" borderId="52" xfId="0" applyFont="1" applyBorder="1" applyAlignment="1" applyProtection="1">
      <alignment horizontal="left" indent="1"/>
    </xf>
    <xf numFmtId="0" fontId="28" fillId="0" borderId="54" xfId="0" applyFont="1" applyBorder="1" applyAlignment="1" applyProtection="1">
      <alignment horizontal="left" indent="1"/>
    </xf>
    <xf numFmtId="0" fontId="0" fillId="0" borderId="40" xfId="0" applyBorder="1" applyAlignment="1">
      <alignment horizontal="left" indent="1"/>
    </xf>
    <xf numFmtId="0" fontId="28" fillId="0" borderId="79" xfId="0" applyFont="1" applyBorder="1" applyAlignment="1" applyProtection="1">
      <alignment horizontal="left" indent="1"/>
    </xf>
    <xf numFmtId="0" fontId="25" fillId="0" borderId="72" xfId="0" applyFont="1" applyBorder="1" applyAlignment="1">
      <alignment horizontal="left" indent="1"/>
    </xf>
    <xf numFmtId="0" fontId="49" fillId="0" borderId="77" xfId="0" applyFont="1" applyBorder="1" applyAlignment="1" applyProtection="1">
      <alignment horizontal="left"/>
    </xf>
    <xf numFmtId="0" fontId="25" fillId="0" borderId="26" xfId="0" applyFont="1" applyBorder="1" applyAlignment="1">
      <alignment horizontal="left"/>
    </xf>
    <xf numFmtId="0" fontId="28" fillId="0" borderId="77" xfId="0" applyFont="1" applyBorder="1" applyAlignment="1">
      <alignment horizontal="left" indent="1"/>
    </xf>
    <xf numFmtId="0" fontId="25" fillId="0" borderId="26" xfId="0" applyFont="1" applyBorder="1" applyAlignment="1">
      <alignment horizontal="left" indent="1"/>
    </xf>
    <xf numFmtId="0" fontId="56" fillId="0" borderId="21" xfId="0" applyFont="1" applyFill="1" applyBorder="1" applyAlignment="1">
      <alignment horizontal="left" vertical="center"/>
    </xf>
    <xf numFmtId="0" fontId="56" fillId="0" borderId="23" xfId="0" applyFont="1" applyFill="1" applyBorder="1" applyAlignment="1">
      <alignment horizontal="left" vertical="center"/>
    </xf>
    <xf numFmtId="0" fontId="56" fillId="0" borderId="30" xfId="0" applyFont="1" applyFill="1" applyBorder="1" applyAlignment="1">
      <alignment horizontal="left" vertical="center"/>
    </xf>
    <xf numFmtId="0" fontId="56" fillId="0" borderId="32" xfId="0" applyFont="1" applyFill="1" applyBorder="1" applyAlignment="1">
      <alignment horizontal="left" vertical="center"/>
    </xf>
    <xf numFmtId="0" fontId="0" fillId="0" borderId="54" xfId="0" applyBorder="1" applyAlignment="1">
      <alignment horizontal="left" indent="1"/>
    </xf>
    <xf numFmtId="0" fontId="0" fillId="0" borderId="72" xfId="0" applyBorder="1" applyAlignment="1">
      <alignment horizontal="left" indent="1"/>
    </xf>
    <xf numFmtId="0" fontId="0" fillId="0" borderId="26" xfId="0" applyBorder="1" applyAlignment="1">
      <alignment horizontal="left"/>
    </xf>
    <xf numFmtId="0" fontId="30" fillId="0" borderId="0" xfId="0" applyFont="1" applyBorder="1" applyAlignment="1" applyProtection="1">
      <alignment horizontal="left" vertical="center"/>
    </xf>
    <xf numFmtId="0" fontId="30" fillId="0" borderId="28" xfId="0" applyFont="1" applyBorder="1" applyAlignment="1" applyProtection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28" xfId="0" applyFont="1" applyFill="1" applyBorder="1" applyAlignment="1">
      <alignment horizontal="left" vertical="center"/>
    </xf>
    <xf numFmtId="176" fontId="29" fillId="0" borderId="47" xfId="0" applyNumberFormat="1" applyFont="1" applyBorder="1" applyAlignment="1">
      <alignment horizontal="center" vertical="center"/>
    </xf>
    <xf numFmtId="0" fontId="30" fillId="0" borderId="28" xfId="0" applyFont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28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9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29" fillId="0" borderId="0" xfId="0" applyFont="1" applyBorder="1" applyAlignment="1" applyProtection="1">
      <alignment horizontal="right" vertical="center"/>
    </xf>
    <xf numFmtId="0" fontId="29" fillId="0" borderId="28" xfId="0" applyFont="1" applyBorder="1" applyAlignment="1" applyProtection="1">
      <alignment horizontal="right" vertical="center"/>
    </xf>
    <xf numFmtId="176" fontId="59" fillId="22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176" fontId="29" fillId="0" borderId="47" xfId="0" applyNumberFormat="1" applyFont="1" applyBorder="1" applyAlignment="1">
      <alignment horizontal="left" vertical="center"/>
    </xf>
    <xf numFmtId="176" fontId="59" fillId="22" borderId="17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left" vertical="center" wrapText="1"/>
    </xf>
    <xf numFmtId="171" fontId="29" fillId="29" borderId="16" xfId="0" applyNumberFormat="1" applyFont="1" applyFill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 wrapText="1"/>
    </xf>
    <xf numFmtId="0" fontId="29" fillId="0" borderId="28" xfId="0" applyFont="1" applyFill="1" applyBorder="1" applyAlignment="1">
      <alignment horizontal="right" vertical="center"/>
    </xf>
    <xf numFmtId="0" fontId="39" fillId="0" borderId="0" xfId="0" applyFont="1" applyAlignment="1" applyProtection="1">
      <alignment horizontal="left"/>
    </xf>
    <xf numFmtId="0" fontId="28" fillId="0" borderId="52" xfId="75" applyFont="1" applyFill="1" applyBorder="1" applyAlignment="1" applyProtection="1">
      <alignment horizontal="center" vertical="center"/>
    </xf>
    <xf numFmtId="0" fontId="28" fillId="0" borderId="53" xfId="75" applyFont="1" applyFill="1" applyBorder="1" applyAlignment="1" applyProtection="1">
      <alignment horizontal="center" vertical="center"/>
    </xf>
    <xf numFmtId="0" fontId="28" fillId="0" borderId="54" xfId="75" applyFont="1" applyFill="1" applyBorder="1" applyAlignment="1" applyProtection="1">
      <alignment horizontal="center" vertical="center"/>
    </xf>
    <xf numFmtId="0" fontId="28" fillId="0" borderId="22" xfId="75" applyFont="1" applyFill="1" applyBorder="1" applyAlignment="1" applyProtection="1">
      <alignment horizontal="center" vertical="center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6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3" xfId="0" quotePrefix="1" applyFont="1" applyBorder="1" applyAlignment="1">
      <alignment horizontal="center" wrapText="1"/>
    </xf>
    <xf numFmtId="0" fontId="22" fillId="0" borderId="15" xfId="0" quotePrefix="1" applyFont="1" applyBorder="1" applyAlignment="1">
      <alignment horizontal="center" wrapText="1"/>
    </xf>
    <xf numFmtId="0" fontId="22" fillId="0" borderId="16" xfId="0" quotePrefix="1" applyFont="1" applyBorder="1" applyAlignment="1">
      <alignment horizontal="center" wrapText="1"/>
    </xf>
    <xf numFmtId="0" fontId="22" fillId="0" borderId="17" xfId="0" quotePrefix="1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14" xfId="0" quotePrefix="1" applyFont="1" applyBorder="1" applyAlignment="1">
      <alignment horizontal="center" wrapText="1"/>
    </xf>
    <xf numFmtId="0" fontId="20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88">
    <cellStyle name="Bad" xfId="11" builtinId="27" hidden="1"/>
    <cellStyle name="Calculation" xfId="15" builtinId="22" hidden="1"/>
    <cellStyle name="Check Cell" xfId="17" builtinId="23" hidden="1"/>
    <cellStyle name="Comma" xfId="2" builtinId="3"/>
    <cellStyle name="Comma [0]" xfId="3" builtinId="6" hidden="1"/>
    <cellStyle name="Currency [0]" xfId="4" builtinId="7" hidden="1"/>
    <cellStyle name="Explanatory Text" xfId="20" builtinId="53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Good" xfId="10" builtinId="26" hidden="1"/>
    <cellStyle name="Heading 1" xfId="6" builtinId="16" hidden="1"/>
    <cellStyle name="Heading 2" xfId="7" builtinId="17" hidden="1"/>
    <cellStyle name="Heading 3" xfId="8" builtinId="18" hidden="1"/>
    <cellStyle name="Heading 4" xfId="9" builtinId="19" hidden="1"/>
    <cellStyle name="Hyperlink" xfId="22" builtinId="8" hidden="1"/>
    <cellStyle name="Hyperlink" xfId="67" builtinId="8"/>
    <cellStyle name="Input" xfId="13" builtinId="20" hidden="1"/>
    <cellStyle name="Linked Cell" xfId="16" builtinId="24" hidden="1"/>
    <cellStyle name="Neutral" xfId="12" builtinId="28" hidden="1"/>
    <cellStyle name="Normal" xfId="0" builtinId="0"/>
    <cellStyle name="Normal 2" xfId="87"/>
    <cellStyle name="Normal 2 2" xfId="76"/>
    <cellStyle name="Normal 2_EDFE_SPN_Main_FBPQ (v030909) v4.7" xfId="82"/>
    <cellStyle name="Normal 3" xfId="69"/>
    <cellStyle name="Normal 3_EDFE_SPN_Main_FBPQ (v030909) v4.7" xfId="83"/>
    <cellStyle name="Normal 3_EPN FBPQ Connections Aug v 5 0 (opt3) Rounded" xfId="73"/>
    <cellStyle name="Normal 3_SPN FBPQ Connections Aug v 5 0 (opt3) Rounded" xfId="72"/>
    <cellStyle name="Normal_07-08 RRP - Section 5" xfId="70"/>
    <cellStyle name="Normal_CE-NEDL_0607_RRP_RAV_Draft HLFBPQ1" xfId="79"/>
    <cellStyle name="Normal_EDFE_SPN_Main_FBPQ (v030909) v4.7" xfId="81"/>
    <cellStyle name="Normal_Network Tables 07_08" xfId="68"/>
    <cellStyle name="Normal_Network Tables 07_08 2" xfId="78"/>
    <cellStyle name="Normal_Opex Tables" xfId="85"/>
    <cellStyle name="Normal_risk table" xfId="75"/>
    <cellStyle name="Normal_risk table_EDFE_SPN_Main_FBPQ (v030909) v4.7" xfId="84"/>
    <cellStyle name="Normal_RRP table 4_3 update" xfId="74"/>
    <cellStyle name="Normal_SPN FBPQ Connections Aug v 5 0 (opt3) Rounded" xfId="71"/>
    <cellStyle name="Normal_Tables for 2005-06 Cost report (linked data v2)" xfId="86"/>
    <cellStyle name="Note" xfId="19" builtinId="10" hidden="1"/>
    <cellStyle name="Output" xfId="14" builtinId="21" hidden="1"/>
    <cellStyle name="Percent" xfId="1" builtinId="5"/>
    <cellStyle name="Percent 2 2" xfId="77"/>
    <cellStyle name="Percent 4" xfId="80"/>
    <cellStyle name="Title" xfId="5" builtinId="15" hidden="1"/>
    <cellStyle name="Total" xfId="21" builtinId="25" hidden="1"/>
    <cellStyle name="Warning Text" xfId="18" builtinId="11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12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11</xdr:row>
          <xdr:rowOff>47625</xdr:rowOff>
        </xdr:from>
        <xdr:to>
          <xdr:col>1</xdr:col>
          <xdr:colOff>1095375</xdr:colOff>
          <xdr:row>11</xdr:row>
          <xdr:rowOff>381000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47625</xdr:rowOff>
        </xdr:from>
        <xdr:to>
          <xdr:col>3</xdr:col>
          <xdr:colOff>0</xdr:colOff>
          <xdr:row>11</xdr:row>
          <xdr:rowOff>381000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Geneva"/>
                </a:rPr>
                <a:t>LR1 opt 3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333375</xdr:rowOff>
    </xdr:from>
    <xdr:to>
      <xdr:col>4</xdr:col>
      <xdr:colOff>47625</xdr:colOff>
      <xdr:row>2</xdr:row>
      <xdr:rowOff>123825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267575" y="333375"/>
          <a:ext cx="1209675" cy="35242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1238250</xdr:colOff>
      <xdr:row>2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238750" y="333375"/>
          <a:ext cx="1000125" cy="333375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BCBCBC"/>
            </a:gs>
            <a:gs pos="35001">
              <a:srgbClr val="D0D0D0"/>
            </a:gs>
            <a:gs pos="100000">
              <a:srgbClr val="EDEDED"/>
            </a:gs>
          </a:gsLst>
          <a:lin ang="16200000" scaled="1"/>
        </a:gradFill>
        <a:ln w="9525" algn="ctr">
          <a:solidFill>
            <a:srgbClr val="000000"/>
          </a:solidFill>
          <a:round/>
          <a:headEnd/>
          <a:tailEnd/>
        </a:ln>
        <a:effectLst>
          <a:outerShdw dist="20000" dir="5400000" rotWithShape="0">
            <a:srgbClr val="808080">
              <a:alpha val="37999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Calibri"/>
            </a:rPr>
            <a:t>Navigate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B37"/>
  <sheetViews>
    <sheetView showGridLines="0" workbookViewId="0">
      <selection activeCell="A13" sqref="A13"/>
    </sheetView>
  </sheetViews>
  <sheetFormatPr defaultColWidth="22.28515625" defaultRowHeight="15"/>
  <cols>
    <col min="1" max="1" width="32.85546875" style="2" customWidth="1"/>
    <col min="2" max="2" width="115.42578125" style="2" customWidth="1"/>
    <col min="3" max="16384" width="22.28515625" style="2"/>
  </cols>
  <sheetData>
    <row r="1" spans="1:2" ht="19.5">
      <c r="A1" s="4" t="str">
        <f>"Index for Method M ("&amp;'Calc-Net capex'!B5&amp;") for "&amp;Inputs!B6&amp;" in "&amp;Inputs!C6&amp;"  Status: "&amp;Inputs!D6&amp;""</f>
        <v>Index for Method M (LR1) for Mid West in April 17  Status: Finals</v>
      </c>
    </row>
    <row r="3" spans="1:2">
      <c r="A3" s="2" t="s">
        <v>978</v>
      </c>
    </row>
    <row r="4" spans="1:2">
      <c r="A4" s="2" t="s">
        <v>979</v>
      </c>
    </row>
    <row r="5" spans="1:2">
      <c r="A5" s="2" t="s">
        <v>980</v>
      </c>
    </row>
    <row r="7" spans="1:2">
      <c r="A7" s="14" t="s">
        <v>971</v>
      </c>
      <c r="B7" s="14" t="s">
        <v>0</v>
      </c>
    </row>
    <row r="8" spans="1:2">
      <c r="A8" s="2" t="s">
        <v>1</v>
      </c>
      <c r="B8" s="2" t="s">
        <v>2</v>
      </c>
    </row>
    <row r="9" spans="1:2">
      <c r="A9" s="2" t="s">
        <v>3</v>
      </c>
      <c r="B9" s="2" t="s">
        <v>4</v>
      </c>
    </row>
    <row r="10" spans="1:2">
      <c r="A10" s="2" t="s">
        <v>5</v>
      </c>
      <c r="B10" s="2" t="s">
        <v>4</v>
      </c>
    </row>
    <row r="11" spans="1:2">
      <c r="A11" s="2" t="s">
        <v>6</v>
      </c>
      <c r="B11" s="2" t="s">
        <v>975</v>
      </c>
    </row>
    <row r="12" spans="1:2">
      <c r="A12" s="2" t="s">
        <v>7</v>
      </c>
      <c r="B12" s="2" t="s">
        <v>975</v>
      </c>
    </row>
    <row r="13" spans="1:2">
      <c r="A13" s="2" t="s">
        <v>8</v>
      </c>
      <c r="B13" s="2" t="s">
        <v>4</v>
      </c>
    </row>
    <row r="14" spans="1:2">
      <c r="A14" s="2" t="s">
        <v>9</v>
      </c>
      <c r="B14" s="2" t="s">
        <v>4</v>
      </c>
    </row>
    <row r="15" spans="1:2">
      <c r="A15" s="2" t="s">
        <v>10</v>
      </c>
      <c r="B15" s="2" t="s">
        <v>4</v>
      </c>
    </row>
    <row r="16" spans="1:2">
      <c r="A16" s="2" t="s">
        <v>11</v>
      </c>
      <c r="B16" s="2" t="s">
        <v>4</v>
      </c>
    </row>
    <row r="17" spans="1:2">
      <c r="A17" s="2" t="s">
        <v>12</v>
      </c>
      <c r="B17" s="2" t="s">
        <v>4</v>
      </c>
    </row>
    <row r="18" spans="1:2">
      <c r="A18" s="2" t="s">
        <v>13</v>
      </c>
      <c r="B18" s="2" t="s">
        <v>977</v>
      </c>
    </row>
    <row r="19" spans="1:2">
      <c r="A19" s="2" t="s">
        <v>14</v>
      </c>
      <c r="B19" s="2" t="s">
        <v>4</v>
      </c>
    </row>
    <row r="20" spans="1:2">
      <c r="A20" s="2" t="s">
        <v>15</v>
      </c>
      <c r="B20" s="2" t="s">
        <v>4</v>
      </c>
    </row>
    <row r="21" spans="1:2">
      <c r="A21" s="2" t="s">
        <v>16</v>
      </c>
      <c r="B21" s="2" t="s">
        <v>4</v>
      </c>
    </row>
    <row r="22" spans="1:2">
      <c r="A22" s="2" t="s">
        <v>17</v>
      </c>
      <c r="B22" s="2" t="s">
        <v>4</v>
      </c>
    </row>
    <row r="23" spans="1:2">
      <c r="A23" s="2" t="s">
        <v>18</v>
      </c>
      <c r="B23" s="2" t="s">
        <v>4</v>
      </c>
    </row>
    <row r="24" spans="1:2">
      <c r="A24" s="2" t="s">
        <v>19</v>
      </c>
      <c r="B24" s="2" t="s">
        <v>4</v>
      </c>
    </row>
    <row r="25" spans="1:2">
      <c r="A25" s="2" t="s">
        <v>20</v>
      </c>
      <c r="B25" s="2" t="s">
        <v>4</v>
      </c>
    </row>
    <row r="27" spans="1:2">
      <c r="A27" s="14" t="s">
        <v>972</v>
      </c>
      <c r="B27" s="14" t="s">
        <v>0</v>
      </c>
    </row>
    <row r="28" spans="1:2">
      <c r="A28" s="2" t="s">
        <v>21</v>
      </c>
      <c r="B28" s="2" t="s">
        <v>22</v>
      </c>
    </row>
    <row r="29" spans="1:2">
      <c r="A29" s="2" t="s">
        <v>23</v>
      </c>
      <c r="B29" s="2" t="s">
        <v>22</v>
      </c>
    </row>
    <row r="30" spans="1:2">
      <c r="A30" s="2" t="s">
        <v>24</v>
      </c>
      <c r="B30" s="2" t="s">
        <v>22</v>
      </c>
    </row>
    <row r="31" spans="1:2">
      <c r="A31" s="42" t="s">
        <v>965</v>
      </c>
      <c r="B31" s="2" t="s">
        <v>22</v>
      </c>
    </row>
    <row r="32" spans="1:2">
      <c r="A32" s="42" t="s">
        <v>25</v>
      </c>
      <c r="B32" s="2" t="s">
        <v>22</v>
      </c>
    </row>
    <row r="33" spans="1:2">
      <c r="A33" s="42" t="s">
        <v>966</v>
      </c>
      <c r="B33" s="2" t="s">
        <v>22</v>
      </c>
    </row>
    <row r="34" spans="1:2">
      <c r="A34" s="42" t="s">
        <v>967</v>
      </c>
      <c r="B34" s="2" t="s">
        <v>22</v>
      </c>
    </row>
    <row r="35" spans="1:2">
      <c r="A35" s="42"/>
    </row>
    <row r="36" spans="1:2">
      <c r="A36" s="43" t="s">
        <v>973</v>
      </c>
      <c r="B36" s="14" t="s">
        <v>0</v>
      </c>
    </row>
    <row r="37" spans="1:2">
      <c r="A37" s="42" t="s">
        <v>968</v>
      </c>
      <c r="B37" s="2" t="s">
        <v>964</v>
      </c>
    </row>
  </sheetData>
  <sheetProtection sheet="1" objects="1" scenarios="1"/>
  <phoneticPr fontId="1" type="noConversion"/>
  <pageMargins left="0.75" right="0.75" top="1" bottom="1" header="0.5" footer="0.5"/>
  <pageSetup paperSize="9" scale="5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tabColor rgb="FFC5FFFF"/>
    <pageSetUpPr fitToPage="1"/>
  </sheetPr>
  <dimension ref="A1:X137"/>
  <sheetViews>
    <sheetView zoomScaleSheetLayoutView="85" workbookViewId="0">
      <selection sqref="A1:XFD1048576"/>
    </sheetView>
  </sheetViews>
  <sheetFormatPr defaultColWidth="10.28515625" defaultRowHeight="12.75"/>
  <cols>
    <col min="1" max="1" width="3.28515625" style="855" customWidth="1"/>
    <col min="2" max="2" width="30.85546875" style="855" customWidth="1"/>
    <col min="3" max="3" width="14.42578125" style="855" customWidth="1"/>
    <col min="4" max="25" width="15" style="855" customWidth="1"/>
    <col min="26" max="16384" width="10.28515625" style="855"/>
  </cols>
  <sheetData>
    <row r="1" spans="1:13" s="850" customFormat="1" ht="26.25">
      <c r="A1" s="846" t="s">
        <v>340</v>
      </c>
      <c r="B1" s="847"/>
      <c r="C1" s="848"/>
      <c r="D1" s="848"/>
      <c r="E1" s="848"/>
      <c r="F1" s="848"/>
      <c r="G1" s="849"/>
    </row>
    <row r="2" spans="1:13" s="850" customFormat="1" ht="18">
      <c r="A2" s="847" t="s">
        <v>990</v>
      </c>
      <c r="B2" s="851"/>
    </row>
    <row r="3" spans="1:13" s="854" customFormat="1" ht="27" thickBot="1">
      <c r="A3" s="852" t="s">
        <v>463</v>
      </c>
      <c r="B3" s="853"/>
    </row>
    <row r="5" spans="1:13">
      <c r="B5" s="856" t="s">
        <v>464</v>
      </c>
    </row>
    <row r="6" spans="1:13" ht="13.5" thickBot="1"/>
    <row r="7" spans="1:13">
      <c r="B7" s="1575"/>
      <c r="C7" s="1576"/>
      <c r="D7" s="857" t="s">
        <v>191</v>
      </c>
      <c r="E7" s="858"/>
      <c r="F7" s="858"/>
      <c r="G7" s="858"/>
      <c r="H7" s="859"/>
      <c r="I7" s="857" t="s">
        <v>192</v>
      </c>
      <c r="J7" s="860"/>
      <c r="K7" s="860"/>
      <c r="L7" s="860"/>
      <c r="M7" s="859"/>
    </row>
    <row r="8" spans="1:13">
      <c r="B8" s="1577"/>
      <c r="C8" s="1578"/>
      <c r="D8" s="861" t="s">
        <v>79</v>
      </c>
      <c r="E8" s="862" t="s">
        <v>80</v>
      </c>
      <c r="F8" s="862" t="s">
        <v>81</v>
      </c>
      <c r="G8" s="862" t="s">
        <v>82</v>
      </c>
      <c r="H8" s="863" t="s">
        <v>44</v>
      </c>
      <c r="I8" s="861" t="s">
        <v>193</v>
      </c>
      <c r="J8" s="862" t="s">
        <v>194</v>
      </c>
      <c r="K8" s="862" t="s">
        <v>195</v>
      </c>
      <c r="L8" s="862" t="s">
        <v>196</v>
      </c>
      <c r="M8" s="863" t="s">
        <v>197</v>
      </c>
    </row>
    <row r="9" spans="1:13" ht="15" customHeight="1">
      <c r="B9" s="864" t="s">
        <v>465</v>
      </c>
      <c r="C9" s="865"/>
      <c r="D9" s="866"/>
      <c r="E9" s="867"/>
      <c r="F9" s="867"/>
      <c r="G9" s="867"/>
      <c r="H9" s="868"/>
      <c r="I9" s="866"/>
      <c r="J9" s="867"/>
      <c r="K9" s="867"/>
      <c r="L9" s="867"/>
      <c r="M9" s="868"/>
    </row>
    <row r="10" spans="1:13" ht="15" customHeight="1">
      <c r="B10" s="869" t="s">
        <v>466</v>
      </c>
      <c r="C10" s="865" t="s">
        <v>203</v>
      </c>
      <c r="D10" s="870"/>
      <c r="E10" s="871"/>
      <c r="F10" s="871"/>
      <c r="G10" s="871"/>
      <c r="H10" s="868"/>
      <c r="I10" s="870"/>
      <c r="J10" s="872"/>
      <c r="K10" s="872"/>
      <c r="L10" s="872"/>
      <c r="M10" s="873"/>
    </row>
    <row r="11" spans="1:13" ht="15" customHeight="1">
      <c r="B11" s="869" t="s">
        <v>467</v>
      </c>
      <c r="C11" s="865" t="s">
        <v>203</v>
      </c>
      <c r="D11" s="874"/>
      <c r="E11" s="874"/>
      <c r="F11" s="874"/>
      <c r="G11" s="874"/>
      <c r="H11" s="875"/>
      <c r="I11" s="876"/>
      <c r="J11" s="877"/>
      <c r="K11" s="877"/>
      <c r="L11" s="877"/>
      <c r="M11" s="878"/>
    </row>
    <row r="12" spans="1:13" ht="15" customHeight="1">
      <c r="B12" s="869" t="s">
        <v>468</v>
      </c>
      <c r="C12" s="865" t="s">
        <v>203</v>
      </c>
      <c r="D12" s="874"/>
      <c r="E12" s="874"/>
      <c r="F12" s="874"/>
      <c r="G12" s="874"/>
      <c r="H12" s="875"/>
      <c r="I12" s="876"/>
      <c r="J12" s="877"/>
      <c r="K12" s="877"/>
      <c r="L12" s="877"/>
      <c r="M12" s="878"/>
    </row>
    <row r="13" spans="1:13" ht="15" customHeight="1">
      <c r="B13" s="864" t="s">
        <v>469</v>
      </c>
      <c r="C13" s="865"/>
      <c r="D13" s="866"/>
      <c r="E13" s="867"/>
      <c r="F13" s="867"/>
      <c r="G13" s="867"/>
      <c r="H13" s="868"/>
      <c r="I13" s="866"/>
      <c r="J13" s="867"/>
      <c r="K13" s="867"/>
      <c r="L13" s="867"/>
      <c r="M13" s="868"/>
    </row>
    <row r="14" spans="1:13" ht="15" customHeight="1">
      <c r="B14" s="869" t="s">
        <v>470</v>
      </c>
      <c r="C14" s="865" t="s">
        <v>203</v>
      </c>
      <c r="D14" s="874"/>
      <c r="E14" s="874"/>
      <c r="F14" s="874"/>
      <c r="G14" s="874"/>
      <c r="H14" s="875"/>
      <c r="I14" s="876"/>
      <c r="J14" s="877"/>
      <c r="K14" s="877"/>
      <c r="L14" s="877"/>
      <c r="M14" s="878"/>
    </row>
    <row r="15" spans="1:13" ht="15" customHeight="1">
      <c r="B15" s="869" t="s">
        <v>471</v>
      </c>
      <c r="C15" s="865" t="s">
        <v>203</v>
      </c>
      <c r="D15" s="874"/>
      <c r="E15" s="874"/>
      <c r="F15" s="874"/>
      <c r="G15" s="874"/>
      <c r="H15" s="875"/>
      <c r="I15" s="876"/>
      <c r="J15" s="877"/>
      <c r="K15" s="877"/>
      <c r="L15" s="877"/>
      <c r="M15" s="878"/>
    </row>
    <row r="16" spans="1:13" ht="15" customHeight="1">
      <c r="B16" s="869" t="s">
        <v>472</v>
      </c>
      <c r="C16" s="865" t="s">
        <v>203</v>
      </c>
      <c r="D16" s="874"/>
      <c r="E16" s="874"/>
      <c r="F16" s="874"/>
      <c r="G16" s="874"/>
      <c r="H16" s="875"/>
      <c r="I16" s="876"/>
      <c r="J16" s="877"/>
      <c r="K16" s="877"/>
      <c r="L16" s="877"/>
      <c r="M16" s="878"/>
    </row>
    <row r="17" spans="2:13" ht="15" customHeight="1">
      <c r="B17" s="864" t="s">
        <v>410</v>
      </c>
      <c r="C17" s="865"/>
      <c r="D17" s="866"/>
      <c r="E17" s="867"/>
      <c r="F17" s="867"/>
      <c r="G17" s="867"/>
      <c r="H17" s="868"/>
      <c r="I17" s="866"/>
      <c r="J17" s="867"/>
      <c r="K17" s="867"/>
      <c r="L17" s="867"/>
      <c r="M17" s="868"/>
    </row>
    <row r="18" spans="2:13" ht="15" customHeight="1">
      <c r="B18" s="869" t="s">
        <v>473</v>
      </c>
      <c r="C18" s="865" t="s">
        <v>203</v>
      </c>
      <c r="D18" s="874"/>
      <c r="E18" s="874"/>
      <c r="F18" s="874"/>
      <c r="G18" s="874"/>
      <c r="H18" s="875"/>
      <c r="I18" s="876"/>
      <c r="J18" s="877"/>
      <c r="K18" s="877"/>
      <c r="L18" s="877"/>
      <c r="M18" s="878"/>
    </row>
    <row r="19" spans="2:13" ht="15" customHeight="1">
      <c r="B19" s="869" t="s">
        <v>474</v>
      </c>
      <c r="C19" s="865" t="s">
        <v>203</v>
      </c>
      <c r="D19" s="874"/>
      <c r="E19" s="874"/>
      <c r="F19" s="874"/>
      <c r="G19" s="874"/>
      <c r="H19" s="875"/>
      <c r="I19" s="876"/>
      <c r="J19" s="877"/>
      <c r="K19" s="877"/>
      <c r="L19" s="877"/>
      <c r="M19" s="878"/>
    </row>
    <row r="20" spans="2:13" ht="15" customHeight="1">
      <c r="B20" s="869" t="s">
        <v>475</v>
      </c>
      <c r="C20" s="865" t="s">
        <v>203</v>
      </c>
      <c r="D20" s="874"/>
      <c r="E20" s="874"/>
      <c r="F20" s="874"/>
      <c r="G20" s="874"/>
      <c r="H20" s="875"/>
      <c r="I20" s="876"/>
      <c r="J20" s="877"/>
      <c r="K20" s="877"/>
      <c r="L20" s="877"/>
      <c r="M20" s="878"/>
    </row>
    <row r="21" spans="2:13" ht="15" customHeight="1">
      <c r="B21" s="869" t="s">
        <v>476</v>
      </c>
      <c r="C21" s="865" t="s">
        <v>203</v>
      </c>
      <c r="D21" s="874"/>
      <c r="E21" s="874"/>
      <c r="F21" s="874"/>
      <c r="G21" s="874"/>
      <c r="H21" s="875"/>
      <c r="I21" s="876"/>
      <c r="J21" s="877"/>
      <c r="K21" s="877"/>
      <c r="L21" s="877"/>
      <c r="M21" s="878"/>
    </row>
    <row r="22" spans="2:13" s="881" customFormat="1" ht="15" customHeight="1">
      <c r="B22" s="879"/>
      <c r="C22" s="880" t="s">
        <v>203</v>
      </c>
      <c r="D22" s="874"/>
      <c r="E22" s="874"/>
      <c r="F22" s="874"/>
      <c r="G22" s="874"/>
      <c r="H22" s="875"/>
      <c r="I22" s="876"/>
      <c r="J22" s="877"/>
      <c r="K22" s="877"/>
      <c r="L22" s="877"/>
      <c r="M22" s="878"/>
    </row>
    <row r="23" spans="2:13" s="881" customFormat="1" ht="15" customHeight="1">
      <c r="B23" s="879" t="s">
        <v>477</v>
      </c>
      <c r="C23" s="880" t="s">
        <v>203</v>
      </c>
      <c r="D23" s="882"/>
      <c r="E23" s="882"/>
      <c r="F23" s="882"/>
      <c r="G23" s="882"/>
      <c r="H23" s="883"/>
      <c r="I23" s="884"/>
      <c r="J23" s="885"/>
      <c r="K23" s="885"/>
      <c r="L23" s="885"/>
      <c r="M23" s="886"/>
    </row>
    <row r="24" spans="2:13" s="881" customFormat="1" ht="15" customHeight="1">
      <c r="B24" s="879" t="s">
        <v>478</v>
      </c>
      <c r="C24" s="880" t="s">
        <v>203</v>
      </c>
      <c r="D24" s="882"/>
      <c r="E24" s="882"/>
      <c r="F24" s="882"/>
      <c r="G24" s="882"/>
      <c r="H24" s="883"/>
      <c r="I24" s="884"/>
      <c r="J24" s="885"/>
      <c r="K24" s="885"/>
      <c r="L24" s="885"/>
      <c r="M24" s="886"/>
    </row>
    <row r="25" spans="2:13" s="881" customFormat="1" ht="15" customHeight="1" thickBot="1">
      <c r="B25" s="887" t="s">
        <v>200</v>
      </c>
      <c r="C25" s="888" t="s">
        <v>203</v>
      </c>
      <c r="D25" s="889">
        <f t="shared" ref="D25:M25" si="0">SUM(D10:D24)</f>
        <v>0</v>
      </c>
      <c r="E25" s="890">
        <f t="shared" si="0"/>
        <v>0</v>
      </c>
      <c r="F25" s="890">
        <f t="shared" si="0"/>
        <v>0</v>
      </c>
      <c r="G25" s="890">
        <f t="shared" si="0"/>
        <v>0</v>
      </c>
      <c r="H25" s="890">
        <f t="shared" si="0"/>
        <v>0</v>
      </c>
      <c r="I25" s="889">
        <f t="shared" si="0"/>
        <v>0</v>
      </c>
      <c r="J25" s="890">
        <f t="shared" si="0"/>
        <v>0</v>
      </c>
      <c r="K25" s="890">
        <f t="shared" si="0"/>
        <v>0</v>
      </c>
      <c r="L25" s="890">
        <f t="shared" si="0"/>
        <v>0</v>
      </c>
      <c r="M25" s="891">
        <f t="shared" si="0"/>
        <v>0</v>
      </c>
    </row>
    <row r="26" spans="2:13" ht="15" customHeight="1">
      <c r="B26" s="892"/>
      <c r="C26" s="893"/>
      <c r="D26" s="894"/>
      <c r="E26" s="894"/>
      <c r="F26" s="894"/>
    </row>
    <row r="27" spans="2:13" ht="15" customHeight="1"/>
    <row r="28" spans="2:13" ht="15" customHeight="1">
      <c r="B28" s="856" t="s">
        <v>479</v>
      </c>
      <c r="C28" s="856"/>
      <c r="D28" s="856"/>
      <c r="E28" s="856"/>
      <c r="F28" s="856"/>
      <c r="G28" s="856"/>
      <c r="H28" s="856"/>
      <c r="I28" s="856"/>
      <c r="J28" s="856"/>
      <c r="K28" s="856"/>
    </row>
    <row r="29" spans="2:13" ht="15" customHeight="1">
      <c r="B29" s="856"/>
      <c r="C29" s="856"/>
      <c r="D29" s="856"/>
      <c r="E29" s="856"/>
      <c r="F29" s="856"/>
      <c r="G29" s="856"/>
      <c r="H29" s="856"/>
      <c r="I29" s="856"/>
      <c r="J29" s="856"/>
      <c r="K29" s="856"/>
    </row>
    <row r="30" spans="2:13" ht="15" customHeight="1" thickBot="1">
      <c r="B30" s="895" t="s">
        <v>480</v>
      </c>
      <c r="C30" s="856"/>
      <c r="D30" s="856"/>
      <c r="E30" s="856"/>
      <c r="F30" s="856"/>
      <c r="G30" s="856"/>
      <c r="H30" s="856"/>
      <c r="I30" s="856"/>
      <c r="J30" s="856"/>
      <c r="K30" s="856"/>
    </row>
    <row r="31" spans="2:13" ht="15" customHeight="1">
      <c r="B31" s="1575"/>
      <c r="C31" s="1576"/>
      <c r="D31" s="858" t="s">
        <v>191</v>
      </c>
      <c r="E31" s="858"/>
      <c r="F31" s="858"/>
      <c r="G31" s="858"/>
      <c r="H31" s="859"/>
      <c r="I31" s="857" t="s">
        <v>192</v>
      </c>
      <c r="J31" s="860"/>
      <c r="K31" s="860"/>
      <c r="L31" s="860"/>
      <c r="M31" s="859"/>
    </row>
    <row r="32" spans="2:13" ht="15" customHeight="1">
      <c r="B32" s="1577"/>
      <c r="C32" s="1578"/>
      <c r="D32" s="896" t="s">
        <v>79</v>
      </c>
      <c r="E32" s="862" t="s">
        <v>80</v>
      </c>
      <c r="F32" s="862" t="s">
        <v>81</v>
      </c>
      <c r="G32" s="862" t="s">
        <v>82</v>
      </c>
      <c r="H32" s="863" t="s">
        <v>44</v>
      </c>
      <c r="I32" s="861" t="s">
        <v>193</v>
      </c>
      <c r="J32" s="862" t="s">
        <v>194</v>
      </c>
      <c r="K32" s="862" t="s">
        <v>195</v>
      </c>
      <c r="L32" s="862" t="s">
        <v>196</v>
      </c>
      <c r="M32" s="863" t="s">
        <v>197</v>
      </c>
    </row>
    <row r="33" spans="2:13" ht="15" customHeight="1">
      <c r="B33" s="869" t="s">
        <v>413</v>
      </c>
      <c r="C33" s="865" t="s">
        <v>203</v>
      </c>
      <c r="D33" s="874"/>
      <c r="E33" s="874"/>
      <c r="F33" s="874"/>
      <c r="G33" s="874"/>
      <c r="H33" s="875"/>
      <c r="I33" s="876"/>
      <c r="J33" s="877"/>
      <c r="K33" s="877"/>
      <c r="L33" s="877"/>
      <c r="M33" s="878"/>
    </row>
    <row r="34" spans="2:13" ht="15" customHeight="1">
      <c r="B34" s="869" t="s">
        <v>223</v>
      </c>
      <c r="C34" s="865" t="s">
        <v>203</v>
      </c>
      <c r="D34" s="874"/>
      <c r="E34" s="874"/>
      <c r="F34" s="874"/>
      <c r="G34" s="874"/>
      <c r="H34" s="875"/>
      <c r="I34" s="876"/>
      <c r="J34" s="877"/>
      <c r="K34" s="877"/>
      <c r="L34" s="877"/>
      <c r="M34" s="878"/>
    </row>
    <row r="35" spans="2:13" ht="15" customHeight="1">
      <c r="B35" s="869" t="s">
        <v>402</v>
      </c>
      <c r="C35" s="865" t="s">
        <v>203</v>
      </c>
      <c r="D35" s="874"/>
      <c r="E35" s="874"/>
      <c r="F35" s="874"/>
      <c r="G35" s="874"/>
      <c r="H35" s="875"/>
      <c r="I35" s="876"/>
      <c r="J35" s="877"/>
      <c r="K35" s="877"/>
      <c r="L35" s="877"/>
      <c r="M35" s="878"/>
    </row>
    <row r="36" spans="2:13" ht="15" customHeight="1">
      <c r="B36" s="869" t="s">
        <v>481</v>
      </c>
      <c r="C36" s="897" t="s">
        <v>203</v>
      </c>
      <c r="D36" s="874"/>
      <c r="E36" s="874"/>
      <c r="F36" s="874"/>
      <c r="G36" s="874"/>
      <c r="H36" s="875"/>
      <c r="I36" s="876"/>
      <c r="J36" s="877"/>
      <c r="K36" s="877"/>
      <c r="L36" s="877"/>
      <c r="M36" s="878"/>
    </row>
    <row r="37" spans="2:13" ht="15" customHeight="1" thickBot="1">
      <c r="B37" s="898" t="s">
        <v>200</v>
      </c>
      <c r="C37" s="899" t="s">
        <v>203</v>
      </c>
      <c r="D37" s="900">
        <f t="shared" ref="D37:M37" si="1">SUM(D33:D36)</f>
        <v>0</v>
      </c>
      <c r="E37" s="901">
        <f t="shared" si="1"/>
        <v>0</v>
      </c>
      <c r="F37" s="901">
        <f t="shared" si="1"/>
        <v>0</v>
      </c>
      <c r="G37" s="901">
        <f t="shared" si="1"/>
        <v>0</v>
      </c>
      <c r="H37" s="902">
        <f t="shared" si="1"/>
        <v>0</v>
      </c>
      <c r="I37" s="903">
        <f t="shared" si="1"/>
        <v>0</v>
      </c>
      <c r="J37" s="901">
        <f t="shared" si="1"/>
        <v>0</v>
      </c>
      <c r="K37" s="901">
        <f t="shared" si="1"/>
        <v>0</v>
      </c>
      <c r="L37" s="901">
        <f t="shared" si="1"/>
        <v>0</v>
      </c>
      <c r="M37" s="902">
        <f t="shared" si="1"/>
        <v>0</v>
      </c>
    </row>
    <row r="38" spans="2:13" ht="15" customHeight="1"/>
    <row r="39" spans="2:13" ht="15" customHeight="1" thickBot="1">
      <c r="B39" s="895" t="s">
        <v>482</v>
      </c>
      <c r="C39" s="856"/>
      <c r="D39" s="856"/>
      <c r="E39" s="856"/>
      <c r="F39" s="856"/>
      <c r="G39" s="856"/>
      <c r="H39" s="856"/>
      <c r="I39" s="856"/>
      <c r="J39" s="856"/>
      <c r="K39" s="856"/>
    </row>
    <row r="40" spans="2:13" ht="15" customHeight="1">
      <c r="B40" s="1575"/>
      <c r="C40" s="1576"/>
      <c r="D40" s="858" t="s">
        <v>191</v>
      </c>
      <c r="E40" s="858"/>
      <c r="F40" s="858"/>
      <c r="G40" s="858"/>
      <c r="H40" s="859"/>
      <c r="I40" s="857" t="s">
        <v>192</v>
      </c>
      <c r="J40" s="860"/>
      <c r="K40" s="860"/>
      <c r="L40" s="860"/>
      <c r="M40" s="859"/>
    </row>
    <row r="41" spans="2:13" ht="15" customHeight="1">
      <c r="B41" s="1577"/>
      <c r="C41" s="1578"/>
      <c r="D41" s="896" t="s">
        <v>79</v>
      </c>
      <c r="E41" s="862" t="s">
        <v>80</v>
      </c>
      <c r="F41" s="862" t="s">
        <v>81</v>
      </c>
      <c r="G41" s="862" t="s">
        <v>82</v>
      </c>
      <c r="H41" s="863" t="s">
        <v>44</v>
      </c>
      <c r="I41" s="861" t="s">
        <v>193</v>
      </c>
      <c r="J41" s="862" t="s">
        <v>194</v>
      </c>
      <c r="K41" s="862" t="s">
        <v>195</v>
      </c>
      <c r="L41" s="862" t="s">
        <v>196</v>
      </c>
      <c r="M41" s="863" t="s">
        <v>197</v>
      </c>
    </row>
    <row r="42" spans="2:13" ht="15" customHeight="1">
      <c r="B42" s="869" t="s">
        <v>413</v>
      </c>
      <c r="C42" s="865" t="s">
        <v>203</v>
      </c>
      <c r="D42" s="904"/>
      <c r="E42" s="905"/>
      <c r="F42" s="874"/>
      <c r="G42" s="874"/>
      <c r="H42" s="875"/>
      <c r="I42" s="876"/>
      <c r="J42" s="877"/>
      <c r="K42" s="877"/>
      <c r="L42" s="877"/>
      <c r="M42" s="878"/>
    </row>
    <row r="43" spans="2:13" ht="15" customHeight="1">
      <c r="B43" s="869" t="s">
        <v>223</v>
      </c>
      <c r="C43" s="865" t="s">
        <v>203</v>
      </c>
      <c r="D43" s="904"/>
      <c r="E43" s="905"/>
      <c r="F43" s="874"/>
      <c r="G43" s="874"/>
      <c r="H43" s="875"/>
      <c r="I43" s="876"/>
      <c r="J43" s="877"/>
      <c r="K43" s="877"/>
      <c r="L43" s="877"/>
      <c r="M43" s="878"/>
    </row>
    <row r="44" spans="2:13" ht="15" customHeight="1">
      <c r="B44" s="869" t="s">
        <v>402</v>
      </c>
      <c r="C44" s="865" t="s">
        <v>203</v>
      </c>
      <c r="D44" s="904"/>
      <c r="E44" s="905"/>
      <c r="F44" s="874"/>
      <c r="G44" s="874"/>
      <c r="H44" s="875"/>
      <c r="I44" s="876"/>
      <c r="J44" s="877"/>
      <c r="K44" s="877"/>
      <c r="L44" s="877"/>
      <c r="M44" s="878"/>
    </row>
    <row r="45" spans="2:13" ht="15" customHeight="1">
      <c r="B45" s="869" t="s">
        <v>481</v>
      </c>
      <c r="C45" s="897" t="s">
        <v>203</v>
      </c>
      <c r="D45" s="904"/>
      <c r="E45" s="905"/>
      <c r="F45" s="874"/>
      <c r="G45" s="874"/>
      <c r="H45" s="875"/>
      <c r="I45" s="876"/>
      <c r="J45" s="877"/>
      <c r="K45" s="877"/>
      <c r="L45" s="877"/>
      <c r="M45" s="878"/>
    </row>
    <row r="46" spans="2:13" ht="15" customHeight="1" thickBot="1">
      <c r="B46" s="898" t="s">
        <v>200</v>
      </c>
      <c r="C46" s="899" t="s">
        <v>203</v>
      </c>
      <c r="D46" s="900">
        <f t="shared" ref="D46:M46" si="2">SUM(D42:D45)</f>
        <v>0</v>
      </c>
      <c r="E46" s="901">
        <f t="shared" si="2"/>
        <v>0</v>
      </c>
      <c r="F46" s="901">
        <f t="shared" si="2"/>
        <v>0</v>
      </c>
      <c r="G46" s="901">
        <f t="shared" si="2"/>
        <v>0</v>
      </c>
      <c r="H46" s="902">
        <f t="shared" si="2"/>
        <v>0</v>
      </c>
      <c r="I46" s="903">
        <f t="shared" si="2"/>
        <v>0</v>
      </c>
      <c r="J46" s="901">
        <f t="shared" si="2"/>
        <v>0</v>
      </c>
      <c r="K46" s="901">
        <f t="shared" si="2"/>
        <v>0</v>
      </c>
      <c r="L46" s="901">
        <f t="shared" si="2"/>
        <v>0</v>
      </c>
      <c r="M46" s="902">
        <f t="shared" si="2"/>
        <v>0</v>
      </c>
    </row>
    <row r="47" spans="2:13" ht="15" customHeight="1"/>
    <row r="48" spans="2:13" ht="15" customHeight="1">
      <c r="B48" s="856" t="s">
        <v>483</v>
      </c>
      <c r="C48" s="856"/>
      <c r="D48" s="856"/>
      <c r="E48" s="856"/>
      <c r="F48" s="856"/>
      <c r="G48" s="856"/>
      <c r="H48" s="856"/>
      <c r="I48" s="856"/>
      <c r="J48" s="856"/>
      <c r="K48" s="856"/>
      <c r="L48" s="856"/>
    </row>
    <row r="49" spans="2:24" ht="15" customHeight="1" thickBot="1">
      <c r="B49" s="895"/>
      <c r="C49" s="856"/>
      <c r="D49" s="856"/>
      <c r="E49" s="856"/>
      <c r="F49" s="856"/>
      <c r="G49" s="856"/>
      <c r="H49" s="856"/>
      <c r="I49" s="856"/>
      <c r="J49" s="856"/>
      <c r="K49" s="856"/>
      <c r="L49" s="856"/>
    </row>
    <row r="50" spans="2:24" ht="15" customHeight="1">
      <c r="B50" s="906"/>
      <c r="C50" s="907" t="s">
        <v>484</v>
      </c>
      <c r="D50" s="908" t="s">
        <v>485</v>
      </c>
      <c r="E50" s="908" t="s">
        <v>486</v>
      </c>
      <c r="F50" s="908" t="s">
        <v>487</v>
      </c>
      <c r="G50" s="908" t="s">
        <v>488</v>
      </c>
      <c r="H50" s="909" t="s">
        <v>489</v>
      </c>
      <c r="I50" s="856"/>
    </row>
    <row r="51" spans="2:24" ht="15" customHeight="1">
      <c r="B51" s="910" t="s">
        <v>413</v>
      </c>
      <c r="C51" s="911">
        <f>D51+E51</f>
        <v>0</v>
      </c>
      <c r="D51" s="912">
        <f>C61</f>
        <v>0</v>
      </c>
      <c r="E51" s="913"/>
      <c r="F51" s="912">
        <f>K61</f>
        <v>0</v>
      </c>
      <c r="G51" s="912">
        <f>S61</f>
        <v>0</v>
      </c>
      <c r="H51" s="914">
        <f>E51-SUM(F51:G51)</f>
        <v>0</v>
      </c>
      <c r="I51" s="856"/>
    </row>
    <row r="52" spans="2:24" ht="15" customHeight="1">
      <c r="B52" s="910" t="s">
        <v>223</v>
      </c>
      <c r="C52" s="911">
        <f>D52+E52</f>
        <v>0</v>
      </c>
      <c r="D52" s="912">
        <f>C62</f>
        <v>0</v>
      </c>
      <c r="E52" s="913"/>
      <c r="F52" s="912">
        <f>K62</f>
        <v>0</v>
      </c>
      <c r="G52" s="912">
        <f>S62</f>
        <v>0</v>
      </c>
      <c r="H52" s="914">
        <f>E52-SUM(F52:G52)</f>
        <v>0</v>
      </c>
      <c r="I52" s="856"/>
    </row>
    <row r="53" spans="2:24" ht="15" customHeight="1">
      <c r="B53" s="910" t="s">
        <v>402</v>
      </c>
      <c r="C53" s="911">
        <f>D53+E53</f>
        <v>0</v>
      </c>
      <c r="D53" s="912">
        <f>C63</f>
        <v>0</v>
      </c>
      <c r="E53" s="913"/>
      <c r="F53" s="912">
        <f>K63</f>
        <v>0</v>
      </c>
      <c r="G53" s="912">
        <f>S63</f>
        <v>0</v>
      </c>
      <c r="H53" s="914">
        <f>E53-SUM(F53:G53)</f>
        <v>0</v>
      </c>
      <c r="I53" s="856"/>
    </row>
    <row r="54" spans="2:24" ht="15" customHeight="1">
      <c r="B54" s="910" t="s">
        <v>481</v>
      </c>
      <c r="C54" s="911">
        <f>D54+E54</f>
        <v>0</v>
      </c>
      <c r="D54" s="912">
        <f>C64</f>
        <v>0</v>
      </c>
      <c r="E54" s="913"/>
      <c r="F54" s="912">
        <f>K64</f>
        <v>0</v>
      </c>
      <c r="G54" s="912">
        <f>S64</f>
        <v>0</v>
      </c>
      <c r="H54" s="914">
        <f>E54-SUM(F54:G54)</f>
        <v>0</v>
      </c>
      <c r="I54" s="856"/>
    </row>
    <row r="55" spans="2:24" ht="15" customHeight="1" thickBot="1">
      <c r="B55" s="915" t="s">
        <v>200</v>
      </c>
      <c r="C55" s="916">
        <f t="shared" ref="C55:H55" si="3">SUM(C51:C54)</f>
        <v>0</v>
      </c>
      <c r="D55" s="917">
        <f t="shared" si="3"/>
        <v>0</v>
      </c>
      <c r="E55" s="917">
        <f t="shared" si="3"/>
        <v>0</v>
      </c>
      <c r="F55" s="917">
        <f t="shared" si="3"/>
        <v>0</v>
      </c>
      <c r="G55" s="917">
        <f t="shared" si="3"/>
        <v>0</v>
      </c>
      <c r="H55" s="918">
        <f t="shared" si="3"/>
        <v>0</v>
      </c>
      <c r="I55" s="856"/>
    </row>
    <row r="56" spans="2:24" ht="15" customHeight="1">
      <c r="B56" s="856"/>
      <c r="C56" s="856"/>
      <c r="D56" s="856"/>
      <c r="E56" s="856"/>
      <c r="F56" s="856"/>
      <c r="G56" s="856"/>
      <c r="H56" s="856"/>
      <c r="I56" s="856"/>
    </row>
    <row r="57" spans="2:24" ht="15" customHeight="1" thickBot="1"/>
    <row r="58" spans="2:24" ht="15" customHeight="1">
      <c r="B58" s="1572" t="s">
        <v>490</v>
      </c>
      <c r="C58" s="1573"/>
      <c r="D58" s="1573"/>
      <c r="E58" s="1573"/>
      <c r="F58" s="1573"/>
      <c r="G58" s="1573"/>
      <c r="H58" s="1574"/>
      <c r="I58" s="919"/>
      <c r="J58" s="1572" t="s">
        <v>491</v>
      </c>
      <c r="K58" s="1573"/>
      <c r="L58" s="1573"/>
      <c r="M58" s="1573"/>
      <c r="N58" s="1573"/>
      <c r="O58" s="1573"/>
      <c r="P58" s="1574"/>
      <c r="R58" s="1572" t="s">
        <v>192</v>
      </c>
      <c r="S58" s="1573"/>
      <c r="T58" s="1573"/>
      <c r="U58" s="1573"/>
      <c r="V58" s="1573"/>
      <c r="W58" s="1573"/>
      <c r="X58" s="1574"/>
    </row>
    <row r="59" spans="2:24" ht="15" customHeight="1">
      <c r="B59" s="1582"/>
      <c r="C59" s="1586" t="s">
        <v>492</v>
      </c>
      <c r="D59" s="1579" t="s">
        <v>493</v>
      </c>
      <c r="E59" s="1580"/>
      <c r="F59" s="1580"/>
      <c r="G59" s="1580"/>
      <c r="H59" s="1581"/>
      <c r="J59" s="920"/>
      <c r="K59" s="1586" t="s">
        <v>492</v>
      </c>
      <c r="L59" s="921" t="s">
        <v>494</v>
      </c>
      <c r="M59" s="922"/>
      <c r="N59" s="922"/>
      <c r="O59" s="922"/>
      <c r="P59" s="923"/>
      <c r="R59" s="1582"/>
      <c r="S59" s="1586" t="s">
        <v>492</v>
      </c>
      <c r="T59" s="1579" t="s">
        <v>494</v>
      </c>
      <c r="U59" s="1580"/>
      <c r="V59" s="1580"/>
      <c r="W59" s="1580"/>
      <c r="X59" s="1581"/>
    </row>
    <row r="60" spans="2:24" ht="25.5">
      <c r="B60" s="1583"/>
      <c r="C60" s="1587"/>
      <c r="D60" s="924" t="s">
        <v>495</v>
      </c>
      <c r="E60" s="924" t="s">
        <v>496</v>
      </c>
      <c r="F60" s="924" t="s">
        <v>497</v>
      </c>
      <c r="G60" s="925" t="s">
        <v>498</v>
      </c>
      <c r="H60" s="926" t="s">
        <v>499</v>
      </c>
      <c r="I60" s="927"/>
      <c r="J60" s="928"/>
      <c r="K60" s="1588"/>
      <c r="L60" s="925" t="s">
        <v>495</v>
      </c>
      <c r="M60" s="925" t="s">
        <v>496</v>
      </c>
      <c r="N60" s="925" t="s">
        <v>497</v>
      </c>
      <c r="O60" s="925" t="s">
        <v>498</v>
      </c>
      <c r="P60" s="926" t="s">
        <v>499</v>
      </c>
      <c r="R60" s="1583"/>
      <c r="S60" s="1588"/>
      <c r="T60" s="925" t="s">
        <v>495</v>
      </c>
      <c r="U60" s="925" t="s">
        <v>496</v>
      </c>
      <c r="V60" s="925" t="s">
        <v>497</v>
      </c>
      <c r="W60" s="925" t="s">
        <v>498</v>
      </c>
      <c r="X60" s="926" t="s">
        <v>499</v>
      </c>
    </row>
    <row r="61" spans="2:24" ht="15" customHeight="1">
      <c r="B61" s="910" t="s">
        <v>413</v>
      </c>
      <c r="C61" s="911">
        <f>SUM(D61:H61)</f>
        <v>0</v>
      </c>
      <c r="D61" s="929"/>
      <c r="E61" s="929"/>
      <c r="F61" s="929"/>
      <c r="G61" s="913"/>
      <c r="H61" s="930"/>
      <c r="I61" s="927"/>
      <c r="J61" s="931" t="s">
        <v>413</v>
      </c>
      <c r="K61" s="932">
        <f>SUM(L61:P61)</f>
        <v>0</v>
      </c>
      <c r="L61" s="933"/>
      <c r="M61" s="933"/>
      <c r="N61" s="933"/>
      <c r="O61" s="934"/>
      <c r="P61" s="935"/>
      <c r="R61" s="931" t="s">
        <v>413</v>
      </c>
      <c r="S61" s="932">
        <f>SUM(T61:X61)</f>
        <v>0</v>
      </c>
      <c r="T61" s="933"/>
      <c r="U61" s="933"/>
      <c r="V61" s="933"/>
      <c r="W61" s="934"/>
      <c r="X61" s="935"/>
    </row>
    <row r="62" spans="2:24" ht="15" customHeight="1">
      <c r="B62" s="910" t="s">
        <v>223</v>
      </c>
      <c r="C62" s="932">
        <f>SUM(D62:H62)</f>
        <v>0</v>
      </c>
      <c r="D62" s="929"/>
      <c r="E62" s="929"/>
      <c r="F62" s="929"/>
      <c r="G62" s="913"/>
      <c r="H62" s="930"/>
      <c r="I62" s="927"/>
      <c r="J62" s="910" t="s">
        <v>223</v>
      </c>
      <c r="K62" s="932">
        <f>SUM(L62:P62)</f>
        <v>0</v>
      </c>
      <c r="L62" s="929"/>
      <c r="M62" s="929"/>
      <c r="N62" s="929"/>
      <c r="O62" s="913"/>
      <c r="P62" s="930"/>
      <c r="R62" s="910" t="s">
        <v>223</v>
      </c>
      <c r="S62" s="932">
        <f>SUM(T62:X62)</f>
        <v>0</v>
      </c>
      <c r="T62" s="929"/>
      <c r="U62" s="929"/>
      <c r="V62" s="929"/>
      <c r="W62" s="913"/>
      <c r="X62" s="930"/>
    </row>
    <row r="63" spans="2:24" ht="15" customHeight="1">
      <c r="B63" s="910" t="s">
        <v>402</v>
      </c>
      <c r="C63" s="932">
        <f>SUM(D63:H63)</f>
        <v>0</v>
      </c>
      <c r="D63" s="929"/>
      <c r="E63" s="929"/>
      <c r="F63" s="929"/>
      <c r="G63" s="913"/>
      <c r="H63" s="930"/>
      <c r="I63" s="927"/>
      <c r="J63" s="910" t="s">
        <v>402</v>
      </c>
      <c r="K63" s="932">
        <f>SUM(L63:P63)</f>
        <v>0</v>
      </c>
      <c r="L63" s="929"/>
      <c r="M63" s="929"/>
      <c r="N63" s="929"/>
      <c r="O63" s="913"/>
      <c r="P63" s="930"/>
      <c r="R63" s="910" t="s">
        <v>402</v>
      </c>
      <c r="S63" s="932">
        <f>SUM(T63:X63)</f>
        <v>0</v>
      </c>
      <c r="T63" s="929"/>
      <c r="U63" s="929"/>
      <c r="V63" s="929"/>
      <c r="W63" s="913"/>
      <c r="X63" s="930"/>
    </row>
    <row r="64" spans="2:24" ht="15" customHeight="1">
      <c r="B64" s="910" t="s">
        <v>481</v>
      </c>
      <c r="C64" s="932">
        <f>SUM(D64:H64)</f>
        <v>0</v>
      </c>
      <c r="D64" s="929"/>
      <c r="E64" s="929"/>
      <c r="F64" s="929"/>
      <c r="G64" s="913"/>
      <c r="H64" s="930"/>
      <c r="I64" s="927"/>
      <c r="J64" s="910" t="s">
        <v>481</v>
      </c>
      <c r="K64" s="932">
        <f>SUM(L64:P64)</f>
        <v>0</v>
      </c>
      <c r="L64" s="929"/>
      <c r="M64" s="929"/>
      <c r="N64" s="929"/>
      <c r="O64" s="913"/>
      <c r="P64" s="930"/>
      <c r="R64" s="910" t="s">
        <v>481</v>
      </c>
      <c r="S64" s="932">
        <f>SUM(T64:X64)</f>
        <v>0</v>
      </c>
      <c r="T64" s="929"/>
      <c r="U64" s="929"/>
      <c r="V64" s="929"/>
      <c r="W64" s="913"/>
      <c r="X64" s="930"/>
    </row>
    <row r="65" spans="2:24" ht="15" customHeight="1" thickBot="1">
      <c r="B65" s="915" t="s">
        <v>200</v>
      </c>
      <c r="C65" s="916">
        <f t="shared" ref="C65:H65" si="4">SUM(C61:C64)</f>
        <v>0</v>
      </c>
      <c r="D65" s="917">
        <f t="shared" si="4"/>
        <v>0</v>
      </c>
      <c r="E65" s="917">
        <f t="shared" si="4"/>
        <v>0</v>
      </c>
      <c r="F65" s="917">
        <f t="shared" si="4"/>
        <v>0</v>
      </c>
      <c r="G65" s="917">
        <f t="shared" si="4"/>
        <v>0</v>
      </c>
      <c r="H65" s="918">
        <f t="shared" si="4"/>
        <v>0</v>
      </c>
      <c r="I65" s="927"/>
      <c r="J65" s="915" t="s">
        <v>200</v>
      </c>
      <c r="K65" s="916">
        <f t="shared" ref="K65:P65" si="5">SUM(K61:K64)</f>
        <v>0</v>
      </c>
      <c r="L65" s="917">
        <f t="shared" si="5"/>
        <v>0</v>
      </c>
      <c r="M65" s="917">
        <f t="shared" si="5"/>
        <v>0</v>
      </c>
      <c r="N65" s="917">
        <f t="shared" si="5"/>
        <v>0</v>
      </c>
      <c r="O65" s="917">
        <f t="shared" si="5"/>
        <v>0</v>
      </c>
      <c r="P65" s="918">
        <f t="shared" si="5"/>
        <v>0</v>
      </c>
      <c r="R65" s="915" t="s">
        <v>200</v>
      </c>
      <c r="S65" s="916">
        <f t="shared" ref="S65:X65" si="6">SUM(S61:S64)</f>
        <v>0</v>
      </c>
      <c r="T65" s="917">
        <f t="shared" si="6"/>
        <v>0</v>
      </c>
      <c r="U65" s="917">
        <f t="shared" si="6"/>
        <v>0</v>
      </c>
      <c r="V65" s="917">
        <f t="shared" si="6"/>
        <v>0</v>
      </c>
      <c r="W65" s="917">
        <f t="shared" si="6"/>
        <v>0</v>
      </c>
      <c r="X65" s="918">
        <f t="shared" si="6"/>
        <v>0</v>
      </c>
    </row>
    <row r="66" spans="2:24" ht="15" customHeight="1" thickBot="1">
      <c r="B66" s="936"/>
      <c r="C66" s="937"/>
      <c r="D66" s="937"/>
      <c r="E66" s="937"/>
      <c r="F66" s="937"/>
      <c r="G66" s="937"/>
      <c r="H66" s="937"/>
      <c r="I66" s="927"/>
      <c r="J66" s="936"/>
      <c r="K66" s="937"/>
      <c r="L66" s="937"/>
      <c r="M66" s="937"/>
      <c r="N66" s="937"/>
      <c r="O66" s="937"/>
      <c r="P66" s="937"/>
      <c r="R66" s="936"/>
      <c r="S66" s="937"/>
      <c r="T66" s="937"/>
      <c r="U66" s="937"/>
      <c r="V66" s="937"/>
      <c r="W66" s="937"/>
      <c r="X66" s="937"/>
    </row>
    <row r="67" spans="2:24" ht="15" customHeight="1">
      <c r="B67" s="1572" t="s">
        <v>490</v>
      </c>
      <c r="C67" s="1573"/>
      <c r="D67" s="1573"/>
      <c r="E67" s="1573"/>
      <c r="F67" s="1573"/>
      <c r="G67" s="1573"/>
      <c r="H67" s="1574"/>
      <c r="I67" s="919"/>
      <c r="J67" s="1572" t="s">
        <v>491</v>
      </c>
      <c r="K67" s="1573"/>
      <c r="L67" s="1573"/>
      <c r="M67" s="1573"/>
      <c r="N67" s="1573"/>
      <c r="O67" s="1573"/>
      <c r="P67" s="1574"/>
      <c r="R67" s="1572" t="s">
        <v>192</v>
      </c>
      <c r="S67" s="1573"/>
      <c r="T67" s="1573"/>
      <c r="U67" s="1573"/>
      <c r="V67" s="1573"/>
      <c r="W67" s="1573"/>
      <c r="X67" s="1574"/>
    </row>
    <row r="68" spans="2:24" ht="15" customHeight="1">
      <c r="B68" s="1582"/>
      <c r="C68" s="1584" t="s">
        <v>500</v>
      </c>
      <c r="D68" s="938" t="s">
        <v>493</v>
      </c>
      <c r="E68" s="939"/>
      <c r="F68" s="939"/>
      <c r="G68" s="939"/>
      <c r="H68" s="940"/>
      <c r="J68" s="941"/>
      <c r="K68" s="1586" t="s">
        <v>500</v>
      </c>
      <c r="L68" s="942" t="s">
        <v>494</v>
      </c>
      <c r="M68" s="943"/>
      <c r="N68" s="943"/>
      <c r="O68" s="943"/>
      <c r="P68" s="944"/>
      <c r="R68" s="1582"/>
      <c r="S68" s="1586" t="s">
        <v>500</v>
      </c>
      <c r="T68" s="938" t="s">
        <v>494</v>
      </c>
      <c r="U68" s="939"/>
      <c r="V68" s="939"/>
      <c r="W68" s="939"/>
      <c r="X68" s="940"/>
    </row>
    <row r="69" spans="2:24" ht="25.5">
      <c r="B69" s="1583"/>
      <c r="C69" s="1585"/>
      <c r="D69" s="925" t="s">
        <v>495</v>
      </c>
      <c r="E69" s="925" t="s">
        <v>496</v>
      </c>
      <c r="F69" s="925" t="s">
        <v>497</v>
      </c>
      <c r="G69" s="925" t="s">
        <v>498</v>
      </c>
      <c r="H69" s="945" t="s">
        <v>499</v>
      </c>
      <c r="I69" s="927"/>
      <c r="J69" s="946"/>
      <c r="K69" s="1587"/>
      <c r="L69" s="925" t="s">
        <v>495</v>
      </c>
      <c r="M69" s="925" t="s">
        <v>496</v>
      </c>
      <c r="N69" s="925" t="s">
        <v>497</v>
      </c>
      <c r="O69" s="925" t="s">
        <v>498</v>
      </c>
      <c r="P69" s="945" t="s">
        <v>499</v>
      </c>
      <c r="R69" s="1583"/>
      <c r="S69" s="1587"/>
      <c r="T69" s="925" t="s">
        <v>495</v>
      </c>
      <c r="U69" s="925" t="s">
        <v>496</v>
      </c>
      <c r="V69" s="925" t="s">
        <v>497</v>
      </c>
      <c r="W69" s="925" t="s">
        <v>498</v>
      </c>
      <c r="X69" s="945" t="s">
        <v>499</v>
      </c>
    </row>
    <row r="70" spans="2:24" ht="15" customHeight="1">
      <c r="B70" s="947" t="s">
        <v>413</v>
      </c>
      <c r="C70" s="933"/>
      <c r="D70" s="933"/>
      <c r="E70" s="933"/>
      <c r="F70" s="933"/>
      <c r="G70" s="934"/>
      <c r="H70" s="948"/>
      <c r="I70" s="927"/>
      <c r="J70" s="931" t="s">
        <v>413</v>
      </c>
      <c r="K70" s="949"/>
      <c r="L70" s="933"/>
      <c r="M70" s="933"/>
      <c r="N70" s="933"/>
      <c r="O70" s="934"/>
      <c r="P70" s="950"/>
      <c r="R70" s="931" t="s">
        <v>413</v>
      </c>
      <c r="S70" s="949"/>
      <c r="T70" s="933"/>
      <c r="U70" s="933"/>
      <c r="V70" s="933"/>
      <c r="W70" s="934"/>
      <c r="X70" s="950"/>
    </row>
    <row r="71" spans="2:24" ht="15" customHeight="1">
      <c r="B71" s="951" t="s">
        <v>223</v>
      </c>
      <c r="C71" s="929"/>
      <c r="D71" s="929"/>
      <c r="E71" s="929"/>
      <c r="F71" s="929"/>
      <c r="G71" s="913"/>
      <c r="H71" s="952"/>
      <c r="I71" s="927"/>
      <c r="J71" s="910" t="s">
        <v>223</v>
      </c>
      <c r="K71" s="953"/>
      <c r="L71" s="929"/>
      <c r="M71" s="929"/>
      <c r="N71" s="929"/>
      <c r="O71" s="913"/>
      <c r="P71" s="954"/>
      <c r="R71" s="910" t="s">
        <v>223</v>
      </c>
      <c r="S71" s="953"/>
      <c r="T71" s="929"/>
      <c r="U71" s="929"/>
      <c r="V71" s="929"/>
      <c r="W71" s="913"/>
      <c r="X71" s="954"/>
    </row>
    <row r="72" spans="2:24" ht="15" customHeight="1">
      <c r="B72" s="951" t="s">
        <v>402</v>
      </c>
      <c r="C72" s="929"/>
      <c r="D72" s="929"/>
      <c r="E72" s="929"/>
      <c r="F72" s="929"/>
      <c r="G72" s="913"/>
      <c r="H72" s="952"/>
      <c r="I72" s="927"/>
      <c r="J72" s="910" t="s">
        <v>402</v>
      </c>
      <c r="K72" s="953"/>
      <c r="L72" s="929"/>
      <c r="M72" s="929"/>
      <c r="N72" s="929"/>
      <c r="O72" s="913"/>
      <c r="P72" s="954"/>
      <c r="R72" s="910" t="s">
        <v>402</v>
      </c>
      <c r="S72" s="953"/>
      <c r="T72" s="929"/>
      <c r="U72" s="929"/>
      <c r="V72" s="929"/>
      <c r="W72" s="913"/>
      <c r="X72" s="954"/>
    </row>
    <row r="73" spans="2:24" ht="15" customHeight="1">
      <c r="B73" s="951" t="s">
        <v>481</v>
      </c>
      <c r="C73" s="929"/>
      <c r="D73" s="929"/>
      <c r="E73" s="929"/>
      <c r="F73" s="929"/>
      <c r="G73" s="913"/>
      <c r="H73" s="952"/>
      <c r="I73" s="927"/>
      <c r="J73" s="910" t="s">
        <v>481</v>
      </c>
      <c r="K73" s="953"/>
      <c r="L73" s="929"/>
      <c r="M73" s="929"/>
      <c r="N73" s="929"/>
      <c r="O73" s="913"/>
      <c r="P73" s="954"/>
      <c r="R73" s="910" t="s">
        <v>481</v>
      </c>
      <c r="S73" s="953"/>
      <c r="T73" s="929"/>
      <c r="U73" s="929"/>
      <c r="V73" s="929"/>
      <c r="W73" s="913"/>
      <c r="X73" s="954"/>
    </row>
    <row r="74" spans="2:24" ht="15" customHeight="1" thickBot="1">
      <c r="B74" s="955" t="s">
        <v>200</v>
      </c>
      <c r="C74" s="956">
        <f t="shared" ref="C74:H74" si="7">SUM(C70:C73)</f>
        <v>0</v>
      </c>
      <c r="D74" s="917">
        <f t="shared" si="7"/>
        <v>0</v>
      </c>
      <c r="E74" s="917">
        <f t="shared" si="7"/>
        <v>0</v>
      </c>
      <c r="F74" s="917">
        <f t="shared" si="7"/>
        <v>0</v>
      </c>
      <c r="G74" s="917">
        <f t="shared" si="7"/>
        <v>0</v>
      </c>
      <c r="H74" s="957">
        <f t="shared" si="7"/>
        <v>0</v>
      </c>
      <c r="I74" s="927"/>
      <c r="J74" s="915" t="s">
        <v>200</v>
      </c>
      <c r="K74" s="916">
        <f t="shared" ref="K74:P74" si="8">SUM(K70:K73)</f>
        <v>0</v>
      </c>
      <c r="L74" s="917">
        <f t="shared" si="8"/>
        <v>0</v>
      </c>
      <c r="M74" s="917">
        <f t="shared" si="8"/>
        <v>0</v>
      </c>
      <c r="N74" s="917">
        <f t="shared" si="8"/>
        <v>0</v>
      </c>
      <c r="O74" s="917">
        <f t="shared" si="8"/>
        <v>0</v>
      </c>
      <c r="P74" s="957">
        <f t="shared" si="8"/>
        <v>0</v>
      </c>
      <c r="R74" s="915" t="s">
        <v>200</v>
      </c>
      <c r="S74" s="916">
        <f t="shared" ref="S74:X74" si="9">SUM(S70:S73)</f>
        <v>0</v>
      </c>
      <c r="T74" s="917">
        <f t="shared" si="9"/>
        <v>0</v>
      </c>
      <c r="U74" s="917">
        <f t="shared" si="9"/>
        <v>0</v>
      </c>
      <c r="V74" s="917">
        <f t="shared" si="9"/>
        <v>0</v>
      </c>
      <c r="W74" s="917">
        <f t="shared" si="9"/>
        <v>0</v>
      </c>
      <c r="X74" s="957">
        <f t="shared" si="9"/>
        <v>0</v>
      </c>
    </row>
    <row r="75" spans="2:24" ht="15" customHeight="1" thickBot="1">
      <c r="B75" s="936"/>
      <c r="C75" s="937"/>
      <c r="D75" s="937"/>
      <c r="E75" s="937"/>
      <c r="F75" s="937"/>
      <c r="G75" s="937"/>
      <c r="H75" s="937"/>
      <c r="I75" s="927"/>
      <c r="J75" s="958"/>
      <c r="K75" s="959"/>
      <c r="L75" s="959"/>
      <c r="M75" s="959"/>
      <c r="N75" s="959"/>
      <c r="O75" s="959"/>
      <c r="P75" s="959"/>
      <c r="R75" s="936"/>
      <c r="S75" s="937"/>
      <c r="T75" s="937"/>
      <c r="U75" s="937"/>
      <c r="V75" s="937"/>
      <c r="W75" s="937"/>
      <c r="X75" s="937"/>
    </row>
    <row r="76" spans="2:24" ht="15" customHeight="1">
      <c r="B76" s="1572" t="s">
        <v>490</v>
      </c>
      <c r="C76" s="1573"/>
      <c r="D76" s="1573"/>
      <c r="E76" s="1573"/>
      <c r="F76" s="1573"/>
      <c r="G76" s="1573"/>
      <c r="H76" s="1574"/>
      <c r="J76" s="1572" t="s">
        <v>491</v>
      </c>
      <c r="K76" s="1573"/>
      <c r="L76" s="1573"/>
      <c r="M76" s="1573"/>
      <c r="N76" s="1573"/>
      <c r="O76" s="1573"/>
      <c r="P76" s="1574"/>
      <c r="R76" s="1572" t="s">
        <v>192</v>
      </c>
      <c r="S76" s="1573"/>
      <c r="T76" s="1573"/>
      <c r="U76" s="1573"/>
      <c r="V76" s="1573"/>
      <c r="W76" s="1573"/>
      <c r="X76" s="1574"/>
    </row>
    <row r="77" spans="2:24" ht="15" customHeight="1">
      <c r="B77" s="1582"/>
      <c r="C77" s="1589" t="s">
        <v>501</v>
      </c>
      <c r="D77" s="942" t="s">
        <v>502</v>
      </c>
      <c r="E77" s="943"/>
      <c r="F77" s="943"/>
      <c r="G77" s="943"/>
      <c r="H77" s="944"/>
      <c r="J77" s="920"/>
      <c r="K77" s="1589" t="s">
        <v>501</v>
      </c>
      <c r="L77" s="942" t="s">
        <v>503</v>
      </c>
      <c r="M77" s="943"/>
      <c r="N77" s="943"/>
      <c r="O77" s="943"/>
      <c r="P77" s="944"/>
      <c r="R77" s="1582"/>
      <c r="S77" s="1589" t="s">
        <v>501</v>
      </c>
      <c r="T77" s="942" t="s">
        <v>503</v>
      </c>
      <c r="U77" s="943"/>
      <c r="V77" s="943"/>
      <c r="W77" s="943"/>
      <c r="X77" s="944"/>
    </row>
    <row r="78" spans="2:24" ht="25.5">
      <c r="B78" s="1583"/>
      <c r="C78" s="1587"/>
      <c r="D78" s="925" t="s">
        <v>495</v>
      </c>
      <c r="E78" s="925" t="s">
        <v>496</v>
      </c>
      <c r="F78" s="925" t="s">
        <v>497</v>
      </c>
      <c r="G78" s="925" t="s">
        <v>498</v>
      </c>
      <c r="H78" s="945" t="s">
        <v>499</v>
      </c>
      <c r="J78" s="960"/>
      <c r="K78" s="1587"/>
      <c r="L78" s="925" t="s">
        <v>495</v>
      </c>
      <c r="M78" s="925" t="s">
        <v>496</v>
      </c>
      <c r="N78" s="925" t="s">
        <v>497</v>
      </c>
      <c r="O78" s="925" t="s">
        <v>498</v>
      </c>
      <c r="P78" s="945" t="s">
        <v>499</v>
      </c>
      <c r="R78" s="1583"/>
      <c r="S78" s="1587"/>
      <c r="T78" s="925" t="s">
        <v>495</v>
      </c>
      <c r="U78" s="925" t="s">
        <v>496</v>
      </c>
      <c r="V78" s="925" t="s">
        <v>497</v>
      </c>
      <c r="W78" s="925" t="s">
        <v>498</v>
      </c>
      <c r="X78" s="945" t="s">
        <v>499</v>
      </c>
    </row>
    <row r="79" spans="2:24" ht="15" customHeight="1">
      <c r="B79" s="931" t="s">
        <v>413</v>
      </c>
      <c r="C79" s="961"/>
      <c r="D79" s="962"/>
      <c r="E79" s="962"/>
      <c r="F79" s="962"/>
      <c r="G79" s="877"/>
      <c r="H79" s="963"/>
      <c r="J79" s="931" t="s">
        <v>413</v>
      </c>
      <c r="K79" s="961">
        <f>SUM(G33:H33)</f>
        <v>0</v>
      </c>
      <c r="L79" s="962"/>
      <c r="M79" s="962"/>
      <c r="N79" s="962"/>
      <c r="O79" s="964"/>
      <c r="P79" s="965"/>
      <c r="R79" s="931" t="s">
        <v>413</v>
      </c>
      <c r="S79" s="961">
        <f>SUM(I33:M33)</f>
        <v>0</v>
      </c>
      <c r="T79" s="962"/>
      <c r="U79" s="962"/>
      <c r="V79" s="962"/>
      <c r="W79" s="964"/>
      <c r="X79" s="965"/>
    </row>
    <row r="80" spans="2:24" ht="15" customHeight="1">
      <c r="B80" s="910" t="s">
        <v>223</v>
      </c>
      <c r="C80" s="961"/>
      <c r="D80" s="874"/>
      <c r="E80" s="874"/>
      <c r="F80" s="874"/>
      <c r="G80" s="877"/>
      <c r="H80" s="963"/>
      <c r="J80" s="910" t="s">
        <v>223</v>
      </c>
      <c r="K80" s="961">
        <f>SUM(G34:H34)</f>
        <v>0</v>
      </c>
      <c r="L80" s="874"/>
      <c r="M80" s="874"/>
      <c r="N80" s="874"/>
      <c r="O80" s="877"/>
      <c r="P80" s="963"/>
      <c r="R80" s="910" t="s">
        <v>223</v>
      </c>
      <c r="S80" s="961">
        <f>SUM(I34:M34)</f>
        <v>0</v>
      </c>
      <c r="T80" s="874"/>
      <c r="U80" s="874"/>
      <c r="V80" s="874"/>
      <c r="W80" s="877"/>
      <c r="X80" s="963"/>
    </row>
    <row r="81" spans="2:24" ht="15" customHeight="1">
      <c r="B81" s="910" t="s">
        <v>402</v>
      </c>
      <c r="C81" s="961"/>
      <c r="D81" s="874"/>
      <c r="E81" s="874"/>
      <c r="F81" s="874"/>
      <c r="G81" s="877"/>
      <c r="H81" s="963"/>
      <c r="J81" s="910" t="s">
        <v>402</v>
      </c>
      <c r="K81" s="961">
        <f>SUM(G35:H35)</f>
        <v>0</v>
      </c>
      <c r="L81" s="874"/>
      <c r="M81" s="874"/>
      <c r="N81" s="874"/>
      <c r="O81" s="877"/>
      <c r="P81" s="963"/>
      <c r="R81" s="910" t="s">
        <v>402</v>
      </c>
      <c r="S81" s="961">
        <f>SUM(I35:M35)</f>
        <v>0</v>
      </c>
      <c r="T81" s="874"/>
      <c r="U81" s="874"/>
      <c r="V81" s="874"/>
      <c r="W81" s="877"/>
      <c r="X81" s="963"/>
    </row>
    <row r="82" spans="2:24" ht="15" customHeight="1">
      <c r="B82" s="910" t="s">
        <v>481</v>
      </c>
      <c r="C82" s="961"/>
      <c r="D82" s="874"/>
      <c r="E82" s="874"/>
      <c r="F82" s="874"/>
      <c r="G82" s="877"/>
      <c r="H82" s="963"/>
      <c r="J82" s="910" t="s">
        <v>481</v>
      </c>
      <c r="K82" s="961">
        <f>SUM(G36:H36)</f>
        <v>0</v>
      </c>
      <c r="L82" s="874"/>
      <c r="M82" s="874"/>
      <c r="N82" s="874"/>
      <c r="O82" s="877"/>
      <c r="P82" s="963"/>
      <c r="R82" s="910" t="s">
        <v>481</v>
      </c>
      <c r="S82" s="961">
        <f>SUM(I36:M36)</f>
        <v>0</v>
      </c>
      <c r="T82" s="874"/>
      <c r="U82" s="874"/>
      <c r="V82" s="874"/>
      <c r="W82" s="877"/>
      <c r="X82" s="963"/>
    </row>
    <row r="83" spans="2:24" ht="15" customHeight="1" thickBot="1">
      <c r="B83" s="915" t="s">
        <v>200</v>
      </c>
      <c r="C83" s="966">
        <f t="shared" ref="C83:H83" si="10">SUM(C79:C82)</f>
        <v>0</v>
      </c>
      <c r="D83" s="967">
        <f t="shared" si="10"/>
        <v>0</v>
      </c>
      <c r="E83" s="967">
        <f t="shared" si="10"/>
        <v>0</v>
      </c>
      <c r="F83" s="967">
        <f t="shared" si="10"/>
        <v>0</v>
      </c>
      <c r="G83" s="967">
        <f t="shared" si="10"/>
        <v>0</v>
      </c>
      <c r="H83" s="957">
        <f t="shared" si="10"/>
        <v>0</v>
      </c>
      <c r="J83" s="915" t="s">
        <v>200</v>
      </c>
      <c r="K83" s="966">
        <f t="shared" ref="K83:P83" si="11">SUM(K79:K82)</f>
        <v>0</v>
      </c>
      <c r="L83" s="967">
        <f t="shared" si="11"/>
        <v>0</v>
      </c>
      <c r="M83" s="967">
        <f t="shared" si="11"/>
        <v>0</v>
      </c>
      <c r="N83" s="967">
        <f t="shared" si="11"/>
        <v>0</v>
      </c>
      <c r="O83" s="967">
        <f t="shared" si="11"/>
        <v>0</v>
      </c>
      <c r="P83" s="957">
        <f t="shared" si="11"/>
        <v>0</v>
      </c>
      <c r="R83" s="915" t="s">
        <v>200</v>
      </c>
      <c r="S83" s="966">
        <f t="shared" ref="S83:X83" si="12">SUM(S79:S82)</f>
        <v>0</v>
      </c>
      <c r="T83" s="967">
        <f t="shared" si="12"/>
        <v>0</v>
      </c>
      <c r="U83" s="967">
        <f t="shared" si="12"/>
        <v>0</v>
      </c>
      <c r="V83" s="967">
        <f t="shared" si="12"/>
        <v>0</v>
      </c>
      <c r="W83" s="967">
        <f t="shared" si="12"/>
        <v>0</v>
      </c>
      <c r="X83" s="957">
        <f t="shared" si="12"/>
        <v>0</v>
      </c>
    </row>
    <row r="84" spans="2:24" ht="15" customHeight="1" thickBot="1">
      <c r="J84" s="968"/>
      <c r="K84" s="968"/>
      <c r="L84" s="968"/>
      <c r="M84" s="968"/>
      <c r="N84" s="968"/>
      <c r="O84" s="968"/>
      <c r="P84" s="968"/>
    </row>
    <row r="85" spans="2:24" ht="15" customHeight="1">
      <c r="B85" s="1572" t="s">
        <v>490</v>
      </c>
      <c r="C85" s="1573"/>
      <c r="D85" s="1573"/>
      <c r="E85" s="1573"/>
      <c r="F85" s="1573"/>
      <c r="G85" s="1573"/>
      <c r="H85" s="1574"/>
      <c r="J85" s="1572" t="s">
        <v>491</v>
      </c>
      <c r="K85" s="1573"/>
      <c r="L85" s="1573"/>
      <c r="M85" s="1573"/>
      <c r="N85" s="1573"/>
      <c r="O85" s="1573"/>
      <c r="P85" s="1574"/>
      <c r="R85" s="1572" t="s">
        <v>192</v>
      </c>
      <c r="S85" s="1573"/>
      <c r="T85" s="1573"/>
      <c r="U85" s="1573"/>
      <c r="V85" s="1573"/>
      <c r="W85" s="1573"/>
      <c r="X85" s="1574"/>
    </row>
    <row r="86" spans="2:24" ht="15" customHeight="1">
      <c r="B86" s="1582"/>
      <c r="C86" s="1589" t="s">
        <v>504</v>
      </c>
      <c r="D86" s="1579" t="s">
        <v>505</v>
      </c>
      <c r="E86" s="1580"/>
      <c r="F86" s="1580"/>
      <c r="G86" s="1580"/>
      <c r="H86" s="1581"/>
      <c r="J86" s="920"/>
      <c r="K86" s="1589" t="s">
        <v>504</v>
      </c>
      <c r="L86" s="942" t="s">
        <v>506</v>
      </c>
      <c r="M86" s="943"/>
      <c r="N86" s="943"/>
      <c r="O86" s="943"/>
      <c r="P86" s="944"/>
      <c r="R86" s="1582"/>
      <c r="S86" s="1589" t="s">
        <v>504</v>
      </c>
      <c r="T86" s="942" t="s">
        <v>506</v>
      </c>
      <c r="U86" s="943"/>
      <c r="V86" s="943"/>
      <c r="W86" s="943"/>
      <c r="X86" s="944"/>
    </row>
    <row r="87" spans="2:24" ht="26.25" thickBot="1">
      <c r="B87" s="1583"/>
      <c r="C87" s="1587"/>
      <c r="D87" s="925" t="s">
        <v>495</v>
      </c>
      <c r="E87" s="925" t="s">
        <v>496</v>
      </c>
      <c r="F87" s="925" t="s">
        <v>497</v>
      </c>
      <c r="G87" s="925" t="s">
        <v>498</v>
      </c>
      <c r="H87" s="969" t="s">
        <v>499</v>
      </c>
      <c r="J87" s="960"/>
      <c r="K87" s="1587"/>
      <c r="L87" s="925" t="s">
        <v>495</v>
      </c>
      <c r="M87" s="925" t="s">
        <v>496</v>
      </c>
      <c r="N87" s="925" t="s">
        <v>497</v>
      </c>
      <c r="O87" s="925" t="s">
        <v>498</v>
      </c>
      <c r="P87" s="945"/>
      <c r="R87" s="1583"/>
      <c r="S87" s="1587"/>
      <c r="T87" s="925" t="s">
        <v>495</v>
      </c>
      <c r="U87" s="925" t="s">
        <v>496</v>
      </c>
      <c r="V87" s="925" t="s">
        <v>497</v>
      </c>
      <c r="W87" s="925" t="s">
        <v>498</v>
      </c>
      <c r="X87" s="945"/>
    </row>
    <row r="88" spans="2:24" ht="15" customHeight="1">
      <c r="B88" s="931" t="s">
        <v>413</v>
      </c>
      <c r="C88" s="961">
        <f t="shared" ref="C88:G91" si="13">IF(C70&gt;0,C79*1000/C70,0)</f>
        <v>0</v>
      </c>
      <c r="D88" s="970">
        <f t="shared" si="13"/>
        <v>0</v>
      </c>
      <c r="E88" s="970">
        <f t="shared" si="13"/>
        <v>0</v>
      </c>
      <c r="F88" s="970">
        <f t="shared" si="13"/>
        <v>0</v>
      </c>
      <c r="G88" s="970">
        <f t="shared" si="13"/>
        <v>0</v>
      </c>
      <c r="H88" s="971"/>
      <c r="J88" s="931" t="s">
        <v>413</v>
      </c>
      <c r="K88" s="961">
        <f t="shared" ref="K88:O91" si="14">IF(K70&gt;0,K79*1000/K70,0)</f>
        <v>0</v>
      </c>
      <c r="L88" s="970">
        <f t="shared" si="14"/>
        <v>0</v>
      </c>
      <c r="M88" s="970">
        <f t="shared" si="14"/>
        <v>0</v>
      </c>
      <c r="N88" s="970">
        <f t="shared" si="14"/>
        <v>0</v>
      </c>
      <c r="O88" s="970">
        <f t="shared" si="14"/>
        <v>0</v>
      </c>
      <c r="P88" s="965"/>
      <c r="R88" s="931" t="s">
        <v>413</v>
      </c>
      <c r="S88" s="961">
        <f t="shared" ref="S88:W91" si="15">IF(S70&gt;0,S79*1000/S70,0)</f>
        <v>0</v>
      </c>
      <c r="T88" s="970">
        <f t="shared" si="15"/>
        <v>0</v>
      </c>
      <c r="U88" s="970">
        <f t="shared" si="15"/>
        <v>0</v>
      </c>
      <c r="V88" s="970">
        <f t="shared" si="15"/>
        <v>0</v>
      </c>
      <c r="W88" s="970">
        <f t="shared" si="15"/>
        <v>0</v>
      </c>
      <c r="X88" s="965"/>
    </row>
    <row r="89" spans="2:24" ht="15" customHeight="1">
      <c r="B89" s="910" t="s">
        <v>223</v>
      </c>
      <c r="C89" s="972">
        <f t="shared" si="13"/>
        <v>0</v>
      </c>
      <c r="D89" s="973">
        <f t="shared" si="13"/>
        <v>0</v>
      </c>
      <c r="E89" s="973">
        <f t="shared" si="13"/>
        <v>0</v>
      </c>
      <c r="F89" s="973">
        <f t="shared" si="13"/>
        <v>0</v>
      </c>
      <c r="G89" s="973">
        <f t="shared" si="13"/>
        <v>0</v>
      </c>
      <c r="H89" s="963"/>
      <c r="J89" s="910" t="s">
        <v>223</v>
      </c>
      <c r="K89" s="972">
        <f t="shared" si="14"/>
        <v>0</v>
      </c>
      <c r="L89" s="973">
        <f t="shared" si="14"/>
        <v>0</v>
      </c>
      <c r="M89" s="973">
        <f t="shared" si="14"/>
        <v>0</v>
      </c>
      <c r="N89" s="973">
        <f t="shared" si="14"/>
        <v>0</v>
      </c>
      <c r="O89" s="973">
        <f t="shared" si="14"/>
        <v>0</v>
      </c>
      <c r="P89" s="963"/>
      <c r="R89" s="910" t="s">
        <v>223</v>
      </c>
      <c r="S89" s="972">
        <f t="shared" si="15"/>
        <v>0</v>
      </c>
      <c r="T89" s="973">
        <f t="shared" si="15"/>
        <v>0</v>
      </c>
      <c r="U89" s="973">
        <f t="shared" si="15"/>
        <v>0</v>
      </c>
      <c r="V89" s="973">
        <f t="shared" si="15"/>
        <v>0</v>
      </c>
      <c r="W89" s="973">
        <f t="shared" si="15"/>
        <v>0</v>
      </c>
      <c r="X89" s="963"/>
    </row>
    <row r="90" spans="2:24" ht="15" customHeight="1">
      <c r="B90" s="910" t="s">
        <v>402</v>
      </c>
      <c r="C90" s="972">
        <f t="shared" si="13"/>
        <v>0</v>
      </c>
      <c r="D90" s="973">
        <f t="shared" si="13"/>
        <v>0</v>
      </c>
      <c r="E90" s="973">
        <f t="shared" si="13"/>
        <v>0</v>
      </c>
      <c r="F90" s="973">
        <f t="shared" si="13"/>
        <v>0</v>
      </c>
      <c r="G90" s="973">
        <f t="shared" si="13"/>
        <v>0</v>
      </c>
      <c r="H90" s="963"/>
      <c r="J90" s="910" t="s">
        <v>402</v>
      </c>
      <c r="K90" s="972">
        <f t="shared" si="14"/>
        <v>0</v>
      </c>
      <c r="L90" s="973">
        <f t="shared" si="14"/>
        <v>0</v>
      </c>
      <c r="M90" s="973">
        <f t="shared" si="14"/>
        <v>0</v>
      </c>
      <c r="N90" s="973">
        <f t="shared" si="14"/>
        <v>0</v>
      </c>
      <c r="O90" s="973">
        <f t="shared" si="14"/>
        <v>0</v>
      </c>
      <c r="P90" s="963"/>
      <c r="R90" s="910" t="s">
        <v>402</v>
      </c>
      <c r="S90" s="972">
        <f t="shared" si="15"/>
        <v>0</v>
      </c>
      <c r="T90" s="973">
        <f t="shared" si="15"/>
        <v>0</v>
      </c>
      <c r="U90" s="973">
        <f t="shared" si="15"/>
        <v>0</v>
      </c>
      <c r="V90" s="973">
        <f t="shared" si="15"/>
        <v>0</v>
      </c>
      <c r="W90" s="973">
        <f t="shared" si="15"/>
        <v>0</v>
      </c>
      <c r="X90" s="963"/>
    </row>
    <row r="91" spans="2:24" ht="15" customHeight="1" thickBot="1">
      <c r="B91" s="974" t="s">
        <v>481</v>
      </c>
      <c r="C91" s="975">
        <f t="shared" si="13"/>
        <v>0</v>
      </c>
      <c r="D91" s="976">
        <f t="shared" si="13"/>
        <v>0</v>
      </c>
      <c r="E91" s="976">
        <f t="shared" si="13"/>
        <v>0</v>
      </c>
      <c r="F91" s="976">
        <f t="shared" si="13"/>
        <v>0</v>
      </c>
      <c r="G91" s="976">
        <f t="shared" si="13"/>
        <v>0</v>
      </c>
      <c r="H91" s="977"/>
      <c r="J91" s="974" t="s">
        <v>481</v>
      </c>
      <c r="K91" s="975">
        <f t="shared" si="14"/>
        <v>0</v>
      </c>
      <c r="L91" s="976">
        <f t="shared" si="14"/>
        <v>0</v>
      </c>
      <c r="M91" s="976">
        <f t="shared" si="14"/>
        <v>0</v>
      </c>
      <c r="N91" s="976">
        <f t="shared" si="14"/>
        <v>0</v>
      </c>
      <c r="O91" s="976">
        <f t="shared" si="14"/>
        <v>0</v>
      </c>
      <c r="P91" s="977"/>
      <c r="R91" s="974" t="s">
        <v>481</v>
      </c>
      <c r="S91" s="975">
        <f t="shared" si="15"/>
        <v>0</v>
      </c>
      <c r="T91" s="976">
        <f t="shared" si="15"/>
        <v>0</v>
      </c>
      <c r="U91" s="976">
        <f t="shared" si="15"/>
        <v>0</v>
      </c>
      <c r="V91" s="976">
        <f t="shared" si="15"/>
        <v>0</v>
      </c>
      <c r="W91" s="976">
        <f t="shared" si="15"/>
        <v>0</v>
      </c>
      <c r="X91" s="977"/>
    </row>
    <row r="92" spans="2:24" ht="15" customHeight="1"/>
    <row r="93" spans="2:24" ht="15" customHeight="1"/>
    <row r="94" spans="2:24" ht="15" customHeight="1">
      <c r="B94" s="856" t="s">
        <v>507</v>
      </c>
    </row>
    <row r="95" spans="2:24" ht="15" customHeight="1" thickBot="1"/>
    <row r="96" spans="2:24" ht="15" customHeight="1">
      <c r="B96" s="978"/>
      <c r="C96" s="907" t="s">
        <v>484</v>
      </c>
      <c r="D96" s="908" t="s">
        <v>485</v>
      </c>
      <c r="E96" s="908" t="s">
        <v>486</v>
      </c>
      <c r="F96" s="908" t="s">
        <v>487</v>
      </c>
      <c r="G96" s="908" t="s">
        <v>488</v>
      </c>
      <c r="H96" s="909" t="s">
        <v>489</v>
      </c>
      <c r="I96" s="856"/>
    </row>
    <row r="97" spans="2:24" ht="15" customHeight="1">
      <c r="B97" s="931" t="s">
        <v>413</v>
      </c>
      <c r="C97" s="932">
        <f>D97+E97</f>
        <v>0</v>
      </c>
      <c r="D97" s="979">
        <f>C107</f>
        <v>0</v>
      </c>
      <c r="E97" s="934"/>
      <c r="F97" s="979">
        <f>K107</f>
        <v>0</v>
      </c>
      <c r="G97" s="979">
        <f>S107</f>
        <v>0</v>
      </c>
      <c r="H97" s="980">
        <f>E97-SUM(F97:G97)</f>
        <v>0</v>
      </c>
      <c r="I97" s="856"/>
    </row>
    <row r="98" spans="2:24" ht="15" customHeight="1">
      <c r="B98" s="910" t="s">
        <v>223</v>
      </c>
      <c r="C98" s="932">
        <f>D98+E98</f>
        <v>0</v>
      </c>
      <c r="D98" s="979">
        <f>C108</f>
        <v>0</v>
      </c>
      <c r="E98" s="934"/>
      <c r="F98" s="979">
        <f>K108</f>
        <v>0</v>
      </c>
      <c r="G98" s="979">
        <f>S108</f>
        <v>0</v>
      </c>
      <c r="H98" s="980">
        <f>E98-SUM(F98:G98)</f>
        <v>0</v>
      </c>
      <c r="I98" s="856"/>
    </row>
    <row r="99" spans="2:24" ht="15" customHeight="1">
      <c r="B99" s="910" t="s">
        <v>402</v>
      </c>
      <c r="C99" s="932">
        <f>D99+E99</f>
        <v>0</v>
      </c>
      <c r="D99" s="979">
        <f>C109</f>
        <v>0</v>
      </c>
      <c r="E99" s="934"/>
      <c r="F99" s="979">
        <f>K109</f>
        <v>0</v>
      </c>
      <c r="G99" s="979">
        <f>S109</f>
        <v>0</v>
      </c>
      <c r="H99" s="980">
        <f>E99-SUM(F99:G99)</f>
        <v>0</v>
      </c>
      <c r="I99" s="856"/>
    </row>
    <row r="100" spans="2:24" ht="15" customHeight="1">
      <c r="B100" s="910" t="s">
        <v>481</v>
      </c>
      <c r="C100" s="932">
        <f>D100+E100</f>
        <v>0</v>
      </c>
      <c r="D100" s="979">
        <f>C110</f>
        <v>0</v>
      </c>
      <c r="E100" s="934"/>
      <c r="F100" s="979">
        <f>K110</f>
        <v>0</v>
      </c>
      <c r="G100" s="979">
        <f>S110</f>
        <v>0</v>
      </c>
      <c r="H100" s="980">
        <f>E100-SUM(F100:G100)</f>
        <v>0</v>
      </c>
      <c r="I100" s="856"/>
    </row>
    <row r="101" spans="2:24" ht="15" customHeight="1" thickBot="1">
      <c r="B101" s="915" t="s">
        <v>200</v>
      </c>
      <c r="C101" s="916">
        <f t="shared" ref="C101:H101" si="16">SUM(C97:C100)</f>
        <v>0</v>
      </c>
      <c r="D101" s="917">
        <f t="shared" si="16"/>
        <v>0</v>
      </c>
      <c r="E101" s="917">
        <f t="shared" si="16"/>
        <v>0</v>
      </c>
      <c r="F101" s="917">
        <f t="shared" si="16"/>
        <v>0</v>
      </c>
      <c r="G101" s="917">
        <f t="shared" si="16"/>
        <v>0</v>
      </c>
      <c r="H101" s="918">
        <f t="shared" si="16"/>
        <v>0</v>
      </c>
      <c r="I101" s="856"/>
    </row>
    <row r="102" spans="2:24" ht="15" customHeight="1">
      <c r="B102" s="856"/>
      <c r="C102" s="856"/>
      <c r="D102" s="856"/>
      <c r="E102" s="856"/>
      <c r="F102" s="856"/>
      <c r="G102" s="856"/>
      <c r="H102" s="856"/>
      <c r="I102" s="856"/>
    </row>
    <row r="103" spans="2:24" ht="15" customHeight="1" thickBot="1"/>
    <row r="104" spans="2:24" ht="15" customHeight="1">
      <c r="B104" s="1572" t="s">
        <v>490</v>
      </c>
      <c r="C104" s="1573"/>
      <c r="D104" s="1573"/>
      <c r="E104" s="1573"/>
      <c r="F104" s="1573"/>
      <c r="G104" s="1573"/>
      <c r="H104" s="1574"/>
      <c r="I104" s="919"/>
      <c r="J104" s="1572" t="s">
        <v>491</v>
      </c>
      <c r="K104" s="1573"/>
      <c r="L104" s="1573"/>
      <c r="M104" s="1573"/>
      <c r="N104" s="1573"/>
      <c r="O104" s="1573"/>
      <c r="P104" s="1574"/>
      <c r="R104" s="1572" t="s">
        <v>192</v>
      </c>
      <c r="S104" s="1573"/>
      <c r="T104" s="1573"/>
      <c r="U104" s="1573"/>
      <c r="V104" s="1573"/>
      <c r="W104" s="1573"/>
      <c r="X104" s="1574"/>
    </row>
    <row r="105" spans="2:24" ht="15" customHeight="1">
      <c r="B105" s="1582"/>
      <c r="C105" s="1589" t="s">
        <v>492</v>
      </c>
      <c r="D105" s="1590" t="s">
        <v>493</v>
      </c>
      <c r="E105" s="1591"/>
      <c r="F105" s="1591"/>
      <c r="G105" s="1591"/>
      <c r="H105" s="1592"/>
      <c r="J105" s="981"/>
      <c r="K105" s="1593" t="s">
        <v>492</v>
      </c>
      <c r="L105" s="938" t="s">
        <v>494</v>
      </c>
      <c r="M105" s="939"/>
      <c r="N105" s="939"/>
      <c r="O105" s="939"/>
      <c r="P105" s="940"/>
      <c r="R105" s="920"/>
      <c r="S105" s="1595" t="s">
        <v>492</v>
      </c>
      <c r="T105" s="942" t="s">
        <v>494</v>
      </c>
      <c r="U105" s="943"/>
      <c r="V105" s="943"/>
      <c r="W105" s="943"/>
      <c r="X105" s="944"/>
    </row>
    <row r="106" spans="2:24" ht="25.5">
      <c r="B106" s="1583"/>
      <c r="C106" s="1587"/>
      <c r="D106" s="925" t="s">
        <v>508</v>
      </c>
      <c r="E106" s="925" t="s">
        <v>497</v>
      </c>
      <c r="F106" s="925" t="s">
        <v>410</v>
      </c>
      <c r="G106" s="925" t="s">
        <v>509</v>
      </c>
      <c r="H106" s="926" t="s">
        <v>499</v>
      </c>
      <c r="I106" s="927"/>
      <c r="J106" s="928"/>
      <c r="K106" s="1594"/>
      <c r="L106" s="925" t="s">
        <v>508</v>
      </c>
      <c r="M106" s="925" t="s">
        <v>497</v>
      </c>
      <c r="N106" s="925" t="s">
        <v>410</v>
      </c>
      <c r="O106" s="925" t="s">
        <v>509</v>
      </c>
      <c r="P106" s="926" t="s">
        <v>499</v>
      </c>
      <c r="R106" s="928"/>
      <c r="S106" s="1594"/>
      <c r="T106" s="982" t="s">
        <v>508</v>
      </c>
      <c r="U106" s="982" t="s">
        <v>497</v>
      </c>
      <c r="V106" s="982" t="s">
        <v>410</v>
      </c>
      <c r="W106" s="982" t="s">
        <v>509</v>
      </c>
      <c r="X106" s="983" t="s">
        <v>499</v>
      </c>
    </row>
    <row r="107" spans="2:24" ht="15" customHeight="1">
      <c r="B107" s="931" t="s">
        <v>413</v>
      </c>
      <c r="C107" s="932">
        <f>SUM(D107:H107)</f>
        <v>0</v>
      </c>
      <c r="D107" s="933"/>
      <c r="E107" s="933"/>
      <c r="F107" s="933"/>
      <c r="G107" s="934"/>
      <c r="H107" s="935"/>
      <c r="I107" s="927"/>
      <c r="J107" s="931" t="s">
        <v>413</v>
      </c>
      <c r="K107" s="932">
        <f>SUM(L107:P107)</f>
        <v>0</v>
      </c>
      <c r="L107" s="933"/>
      <c r="M107" s="933"/>
      <c r="N107" s="933"/>
      <c r="O107" s="934"/>
      <c r="P107" s="935"/>
      <c r="R107" s="931" t="s">
        <v>413</v>
      </c>
      <c r="S107" s="932">
        <f>SUM(T107:X107)</f>
        <v>0</v>
      </c>
      <c r="T107" s="933"/>
      <c r="U107" s="933"/>
      <c r="V107" s="933"/>
      <c r="W107" s="934"/>
      <c r="X107" s="935"/>
    </row>
    <row r="108" spans="2:24" ht="15" customHeight="1">
      <c r="B108" s="910" t="s">
        <v>223</v>
      </c>
      <c r="C108" s="932">
        <f>SUM(D108:H108)</f>
        <v>0</v>
      </c>
      <c r="D108" s="929"/>
      <c r="E108" s="929"/>
      <c r="F108" s="929"/>
      <c r="G108" s="913"/>
      <c r="H108" s="930"/>
      <c r="I108" s="927"/>
      <c r="J108" s="910" t="s">
        <v>223</v>
      </c>
      <c r="K108" s="932">
        <f>SUM(L108:P108)</f>
        <v>0</v>
      </c>
      <c r="L108" s="929"/>
      <c r="M108" s="929"/>
      <c r="N108" s="929"/>
      <c r="O108" s="913"/>
      <c r="P108" s="930"/>
      <c r="R108" s="910" t="s">
        <v>223</v>
      </c>
      <c r="S108" s="932">
        <f>SUM(T108:X108)</f>
        <v>0</v>
      </c>
      <c r="T108" s="929"/>
      <c r="U108" s="929"/>
      <c r="V108" s="929"/>
      <c r="W108" s="913"/>
      <c r="X108" s="930"/>
    </row>
    <row r="109" spans="2:24" ht="15" customHeight="1">
      <c r="B109" s="910" t="s">
        <v>402</v>
      </c>
      <c r="C109" s="932">
        <f>SUM(D109:H109)</f>
        <v>0</v>
      </c>
      <c r="D109" s="929"/>
      <c r="E109" s="929"/>
      <c r="F109" s="929"/>
      <c r="G109" s="913"/>
      <c r="H109" s="930"/>
      <c r="I109" s="927"/>
      <c r="J109" s="910" t="s">
        <v>402</v>
      </c>
      <c r="K109" s="932">
        <f>SUM(L109:P109)</f>
        <v>0</v>
      </c>
      <c r="L109" s="929"/>
      <c r="M109" s="929"/>
      <c r="N109" s="929"/>
      <c r="O109" s="913"/>
      <c r="P109" s="930"/>
      <c r="R109" s="910" t="s">
        <v>402</v>
      </c>
      <c r="S109" s="932">
        <f>SUM(T109:X109)</f>
        <v>0</v>
      </c>
      <c r="T109" s="929"/>
      <c r="U109" s="929"/>
      <c r="V109" s="929"/>
      <c r="W109" s="913"/>
      <c r="X109" s="930"/>
    </row>
    <row r="110" spans="2:24" ht="15" customHeight="1">
      <c r="B110" s="910" t="s">
        <v>481</v>
      </c>
      <c r="C110" s="932">
        <f>SUM(D110:H110)</f>
        <v>0</v>
      </c>
      <c r="D110" s="929"/>
      <c r="E110" s="929"/>
      <c r="F110" s="929"/>
      <c r="G110" s="913"/>
      <c r="H110" s="930"/>
      <c r="I110" s="927"/>
      <c r="J110" s="910" t="s">
        <v>481</v>
      </c>
      <c r="K110" s="932">
        <f>SUM(L110:P110)</f>
        <v>0</v>
      </c>
      <c r="L110" s="929"/>
      <c r="M110" s="929"/>
      <c r="N110" s="929"/>
      <c r="O110" s="913"/>
      <c r="P110" s="930"/>
      <c r="R110" s="910" t="s">
        <v>481</v>
      </c>
      <c r="S110" s="932">
        <f>SUM(T110:X110)</f>
        <v>0</v>
      </c>
      <c r="T110" s="929"/>
      <c r="U110" s="929"/>
      <c r="V110" s="929"/>
      <c r="W110" s="913"/>
      <c r="X110" s="930"/>
    </row>
    <row r="111" spans="2:24" ht="15" customHeight="1" thickBot="1">
      <c r="B111" s="915" t="s">
        <v>200</v>
      </c>
      <c r="C111" s="916">
        <f t="shared" ref="C111:H111" si="17">SUM(C107:C110)</f>
        <v>0</v>
      </c>
      <c r="D111" s="917">
        <f t="shared" si="17"/>
        <v>0</v>
      </c>
      <c r="E111" s="917">
        <f t="shared" si="17"/>
        <v>0</v>
      </c>
      <c r="F111" s="917">
        <f t="shared" si="17"/>
        <v>0</v>
      </c>
      <c r="G111" s="917">
        <f t="shared" si="17"/>
        <v>0</v>
      </c>
      <c r="H111" s="918">
        <f t="shared" si="17"/>
        <v>0</v>
      </c>
      <c r="I111" s="927"/>
      <c r="J111" s="915" t="s">
        <v>200</v>
      </c>
      <c r="K111" s="916">
        <f t="shared" ref="K111:P111" si="18">SUM(K107:K110)</f>
        <v>0</v>
      </c>
      <c r="L111" s="917">
        <f t="shared" si="18"/>
        <v>0</v>
      </c>
      <c r="M111" s="917">
        <f t="shared" si="18"/>
        <v>0</v>
      </c>
      <c r="N111" s="917">
        <f t="shared" si="18"/>
        <v>0</v>
      </c>
      <c r="O111" s="917">
        <f t="shared" si="18"/>
        <v>0</v>
      </c>
      <c r="P111" s="918">
        <f t="shared" si="18"/>
        <v>0</v>
      </c>
      <c r="R111" s="915" t="s">
        <v>200</v>
      </c>
      <c r="S111" s="916">
        <f t="shared" ref="S111:X111" si="19">SUM(S107:S110)</f>
        <v>0</v>
      </c>
      <c r="T111" s="917">
        <f t="shared" si="19"/>
        <v>0</v>
      </c>
      <c r="U111" s="917">
        <f t="shared" si="19"/>
        <v>0</v>
      </c>
      <c r="V111" s="917">
        <f t="shared" si="19"/>
        <v>0</v>
      </c>
      <c r="W111" s="917">
        <f t="shared" si="19"/>
        <v>0</v>
      </c>
      <c r="X111" s="918">
        <f t="shared" si="19"/>
        <v>0</v>
      </c>
    </row>
    <row r="112" spans="2:24" ht="15" customHeight="1" thickBot="1">
      <c r="B112" s="936"/>
      <c r="C112" s="937"/>
      <c r="D112" s="937"/>
      <c r="E112" s="937"/>
      <c r="F112" s="937"/>
      <c r="G112" s="937"/>
      <c r="H112" s="937"/>
      <c r="I112" s="927"/>
      <c r="J112" s="936"/>
      <c r="K112" s="937"/>
      <c r="L112" s="937"/>
      <c r="M112" s="937"/>
      <c r="N112" s="937"/>
      <c r="O112" s="937"/>
      <c r="P112" s="937"/>
      <c r="R112" s="936"/>
      <c r="S112" s="937"/>
      <c r="T112" s="937"/>
      <c r="U112" s="937"/>
      <c r="V112" s="937"/>
      <c r="W112" s="937"/>
      <c r="X112" s="937"/>
    </row>
    <row r="113" spans="2:24" ht="15" customHeight="1">
      <c r="B113" s="1572" t="s">
        <v>490</v>
      </c>
      <c r="C113" s="1573"/>
      <c r="D113" s="1573"/>
      <c r="E113" s="1573"/>
      <c r="F113" s="1573"/>
      <c r="G113" s="1573"/>
      <c r="H113" s="1574"/>
      <c r="I113" s="919"/>
      <c r="J113" s="1572" t="s">
        <v>491</v>
      </c>
      <c r="K113" s="1573"/>
      <c r="L113" s="1573"/>
      <c r="M113" s="1573"/>
      <c r="N113" s="1573"/>
      <c r="O113" s="1573"/>
      <c r="P113" s="1574"/>
      <c r="R113" s="1572" t="s">
        <v>192</v>
      </c>
      <c r="S113" s="1573"/>
      <c r="T113" s="1573"/>
      <c r="U113" s="1573"/>
      <c r="V113" s="1573"/>
      <c r="W113" s="1573"/>
      <c r="X113" s="1574"/>
    </row>
    <row r="114" spans="2:24" ht="15" customHeight="1">
      <c r="B114" s="1582"/>
      <c r="C114" s="1596" t="s">
        <v>500</v>
      </c>
      <c r="D114" s="942" t="s">
        <v>493</v>
      </c>
      <c r="E114" s="943"/>
      <c r="F114" s="943"/>
      <c r="G114" s="943"/>
      <c r="H114" s="944"/>
      <c r="J114" s="984"/>
      <c r="K114" s="1586" t="s">
        <v>500</v>
      </c>
      <c r="L114" s="938" t="s">
        <v>494</v>
      </c>
      <c r="M114" s="939"/>
      <c r="N114" s="939"/>
      <c r="O114" s="939"/>
      <c r="P114" s="940"/>
      <c r="R114" s="941"/>
      <c r="S114" s="1586" t="s">
        <v>500</v>
      </c>
      <c r="T114" s="938" t="s">
        <v>494</v>
      </c>
      <c r="U114" s="939"/>
      <c r="V114" s="939"/>
      <c r="W114" s="939"/>
      <c r="X114" s="940"/>
    </row>
    <row r="115" spans="2:24" ht="25.5">
      <c r="B115" s="1583"/>
      <c r="C115" s="1585"/>
      <c r="D115" s="925" t="s">
        <v>508</v>
      </c>
      <c r="E115" s="925" t="s">
        <v>497</v>
      </c>
      <c r="F115" s="925" t="s">
        <v>410</v>
      </c>
      <c r="G115" s="925" t="s">
        <v>509</v>
      </c>
      <c r="H115" s="926" t="s">
        <v>499</v>
      </c>
      <c r="I115" s="927"/>
      <c r="J115" s="946"/>
      <c r="K115" s="1587"/>
      <c r="L115" s="925" t="s">
        <v>508</v>
      </c>
      <c r="M115" s="925" t="s">
        <v>497</v>
      </c>
      <c r="N115" s="925" t="s">
        <v>410</v>
      </c>
      <c r="O115" s="925" t="s">
        <v>509</v>
      </c>
      <c r="P115" s="926" t="s">
        <v>499</v>
      </c>
      <c r="R115" s="946"/>
      <c r="S115" s="1587"/>
      <c r="T115" s="982" t="s">
        <v>508</v>
      </c>
      <c r="U115" s="982" t="s">
        <v>497</v>
      </c>
      <c r="V115" s="982" t="s">
        <v>410</v>
      </c>
      <c r="W115" s="982" t="s">
        <v>509</v>
      </c>
      <c r="X115" s="983" t="s">
        <v>499</v>
      </c>
    </row>
    <row r="116" spans="2:24" ht="15" customHeight="1">
      <c r="B116" s="947" t="s">
        <v>413</v>
      </c>
      <c r="C116" s="933"/>
      <c r="D116" s="933"/>
      <c r="E116" s="933"/>
      <c r="F116" s="933"/>
      <c r="G116" s="950"/>
      <c r="H116" s="948"/>
      <c r="I116" s="927"/>
      <c r="J116" s="931" t="s">
        <v>413</v>
      </c>
      <c r="K116" s="949"/>
      <c r="L116" s="933"/>
      <c r="M116" s="933"/>
      <c r="N116" s="933"/>
      <c r="O116" s="934"/>
      <c r="P116" s="950"/>
      <c r="R116" s="931" t="s">
        <v>413</v>
      </c>
      <c r="S116" s="949"/>
      <c r="T116" s="933"/>
      <c r="U116" s="933"/>
      <c r="V116" s="933"/>
      <c r="W116" s="934"/>
      <c r="X116" s="950"/>
    </row>
    <row r="117" spans="2:24" ht="15" customHeight="1">
      <c r="B117" s="951" t="s">
        <v>223</v>
      </c>
      <c r="C117" s="929"/>
      <c r="D117" s="929"/>
      <c r="E117" s="929"/>
      <c r="F117" s="929"/>
      <c r="G117" s="954"/>
      <c r="H117" s="952"/>
      <c r="I117" s="927"/>
      <c r="J117" s="910" t="s">
        <v>223</v>
      </c>
      <c r="K117" s="953"/>
      <c r="L117" s="929"/>
      <c r="M117" s="929"/>
      <c r="N117" s="929"/>
      <c r="O117" s="913"/>
      <c r="P117" s="954"/>
      <c r="R117" s="910" t="s">
        <v>223</v>
      </c>
      <c r="S117" s="953"/>
      <c r="T117" s="929"/>
      <c r="U117" s="929"/>
      <c r="V117" s="929"/>
      <c r="W117" s="913"/>
      <c r="X117" s="954"/>
    </row>
    <row r="118" spans="2:24" ht="15" customHeight="1">
      <c r="B118" s="951" t="s">
        <v>402</v>
      </c>
      <c r="C118" s="929"/>
      <c r="D118" s="929"/>
      <c r="E118" s="929"/>
      <c r="F118" s="929"/>
      <c r="G118" s="954"/>
      <c r="H118" s="952"/>
      <c r="I118" s="927"/>
      <c r="J118" s="910" t="s">
        <v>402</v>
      </c>
      <c r="K118" s="953"/>
      <c r="L118" s="929"/>
      <c r="M118" s="929"/>
      <c r="N118" s="929"/>
      <c r="O118" s="913"/>
      <c r="P118" s="954"/>
      <c r="R118" s="910" t="s">
        <v>402</v>
      </c>
      <c r="S118" s="953"/>
      <c r="T118" s="929"/>
      <c r="U118" s="929"/>
      <c r="V118" s="929"/>
      <c r="W118" s="913"/>
      <c r="X118" s="954"/>
    </row>
    <row r="119" spans="2:24" ht="15" customHeight="1">
      <c r="B119" s="951" t="s">
        <v>481</v>
      </c>
      <c r="C119" s="929"/>
      <c r="D119" s="929"/>
      <c r="E119" s="929"/>
      <c r="F119" s="929"/>
      <c r="G119" s="954"/>
      <c r="H119" s="952"/>
      <c r="I119" s="927"/>
      <c r="J119" s="910" t="s">
        <v>481</v>
      </c>
      <c r="K119" s="953"/>
      <c r="L119" s="929"/>
      <c r="M119" s="929"/>
      <c r="N119" s="929"/>
      <c r="O119" s="913"/>
      <c r="P119" s="954"/>
      <c r="R119" s="910" t="s">
        <v>481</v>
      </c>
      <c r="S119" s="953"/>
      <c r="T119" s="929"/>
      <c r="U119" s="929"/>
      <c r="V119" s="929"/>
      <c r="W119" s="913"/>
      <c r="X119" s="954"/>
    </row>
    <row r="120" spans="2:24" ht="15" customHeight="1" thickBot="1">
      <c r="B120" s="955" t="s">
        <v>200</v>
      </c>
      <c r="C120" s="956">
        <f>SUM(C116:C119)</f>
        <v>0</v>
      </c>
      <c r="D120" s="917">
        <f>SUM(D116:D119)</f>
        <v>0</v>
      </c>
      <c r="E120" s="917">
        <f>SUM(E116:E119)</f>
        <v>0</v>
      </c>
      <c r="F120" s="917">
        <f>SUM(F116:F119)</f>
        <v>0</v>
      </c>
      <c r="G120" s="985"/>
      <c r="H120" s="957">
        <f>SUM(H116:H119)</f>
        <v>0</v>
      </c>
      <c r="I120" s="927"/>
      <c r="J120" s="915" t="s">
        <v>200</v>
      </c>
      <c r="K120" s="916">
        <f t="shared" ref="K120:P120" si="20">SUM(K116:K119)</f>
        <v>0</v>
      </c>
      <c r="L120" s="917">
        <f t="shared" si="20"/>
        <v>0</v>
      </c>
      <c r="M120" s="917">
        <f t="shared" si="20"/>
        <v>0</v>
      </c>
      <c r="N120" s="917">
        <f t="shared" si="20"/>
        <v>0</v>
      </c>
      <c r="O120" s="917">
        <f t="shared" si="20"/>
        <v>0</v>
      </c>
      <c r="P120" s="957">
        <f t="shared" si="20"/>
        <v>0</v>
      </c>
      <c r="R120" s="915" t="s">
        <v>200</v>
      </c>
      <c r="S120" s="916">
        <f t="shared" ref="S120:X120" si="21">SUM(S116:S119)</f>
        <v>0</v>
      </c>
      <c r="T120" s="917">
        <f t="shared" si="21"/>
        <v>0</v>
      </c>
      <c r="U120" s="917">
        <f t="shared" si="21"/>
        <v>0</v>
      </c>
      <c r="V120" s="917">
        <f t="shared" si="21"/>
        <v>0</v>
      </c>
      <c r="W120" s="917">
        <f t="shared" si="21"/>
        <v>0</v>
      </c>
      <c r="X120" s="957">
        <f t="shared" si="21"/>
        <v>0</v>
      </c>
    </row>
    <row r="121" spans="2:24" ht="15" customHeight="1" thickBot="1">
      <c r="B121" s="936"/>
      <c r="C121" s="937"/>
      <c r="D121" s="937"/>
      <c r="E121" s="937"/>
      <c r="F121" s="937"/>
      <c r="G121" s="937"/>
      <c r="H121" s="937"/>
      <c r="I121" s="927"/>
      <c r="J121" s="936"/>
      <c r="K121" s="937"/>
      <c r="L121" s="937"/>
      <c r="M121" s="937"/>
      <c r="N121" s="937"/>
      <c r="O121" s="937"/>
      <c r="P121" s="937"/>
      <c r="R121" s="936"/>
      <c r="S121" s="937"/>
      <c r="T121" s="937"/>
      <c r="U121" s="937"/>
      <c r="V121" s="937"/>
      <c r="W121" s="937"/>
      <c r="X121" s="937"/>
    </row>
    <row r="122" spans="2:24" ht="15" customHeight="1">
      <c r="B122" s="1572" t="s">
        <v>490</v>
      </c>
      <c r="C122" s="1573"/>
      <c r="D122" s="1573"/>
      <c r="E122" s="1573"/>
      <c r="F122" s="1573"/>
      <c r="G122" s="1573"/>
      <c r="H122" s="1574"/>
      <c r="J122" s="1572" t="s">
        <v>491</v>
      </c>
      <c r="K122" s="1573"/>
      <c r="L122" s="1573"/>
      <c r="M122" s="1573"/>
      <c r="N122" s="1573"/>
      <c r="O122" s="1573"/>
      <c r="P122" s="1574"/>
      <c r="R122" s="1572" t="s">
        <v>192</v>
      </c>
      <c r="S122" s="1573"/>
      <c r="T122" s="1573"/>
      <c r="U122" s="1573"/>
      <c r="V122" s="1573"/>
      <c r="W122" s="1573"/>
      <c r="X122" s="1574"/>
    </row>
    <row r="123" spans="2:24" ht="15" customHeight="1">
      <c r="B123" s="1582"/>
      <c r="C123" s="1586" t="s">
        <v>501</v>
      </c>
      <c r="D123" s="938" t="s">
        <v>502</v>
      </c>
      <c r="E123" s="939"/>
      <c r="F123" s="939"/>
      <c r="G123" s="939"/>
      <c r="H123" s="940"/>
      <c r="J123" s="920"/>
      <c r="K123" s="1589" t="s">
        <v>501</v>
      </c>
      <c r="L123" s="942" t="s">
        <v>503</v>
      </c>
      <c r="M123" s="943"/>
      <c r="N123" s="943"/>
      <c r="O123" s="943"/>
      <c r="P123" s="944"/>
      <c r="R123" s="981"/>
      <c r="S123" s="1586" t="s">
        <v>501</v>
      </c>
      <c r="T123" s="938" t="s">
        <v>503</v>
      </c>
      <c r="U123" s="939"/>
      <c r="V123" s="939"/>
      <c r="W123" s="939"/>
      <c r="X123" s="940"/>
    </row>
    <row r="124" spans="2:24" ht="25.5">
      <c r="B124" s="1583"/>
      <c r="C124" s="1587"/>
      <c r="D124" s="925" t="s">
        <v>508</v>
      </c>
      <c r="E124" s="925" t="s">
        <v>497</v>
      </c>
      <c r="F124" s="925" t="s">
        <v>410</v>
      </c>
      <c r="G124" s="925" t="s">
        <v>509</v>
      </c>
      <c r="H124" s="926" t="s">
        <v>499</v>
      </c>
      <c r="J124" s="960"/>
      <c r="K124" s="1587"/>
      <c r="L124" s="925" t="s">
        <v>508</v>
      </c>
      <c r="M124" s="925" t="s">
        <v>497</v>
      </c>
      <c r="N124" s="925" t="s">
        <v>410</v>
      </c>
      <c r="O124" s="925" t="s">
        <v>509</v>
      </c>
      <c r="P124" s="926" t="s">
        <v>499</v>
      </c>
      <c r="R124" s="960"/>
      <c r="S124" s="1587"/>
      <c r="T124" s="982" t="s">
        <v>508</v>
      </c>
      <c r="U124" s="982" t="s">
        <v>497</v>
      </c>
      <c r="V124" s="982" t="s">
        <v>410</v>
      </c>
      <c r="W124" s="982" t="s">
        <v>509</v>
      </c>
      <c r="X124" s="983" t="s">
        <v>499</v>
      </c>
    </row>
    <row r="125" spans="2:24" ht="15" customHeight="1">
      <c r="B125" s="931" t="s">
        <v>413</v>
      </c>
      <c r="C125" s="961">
        <f>SUM(D42:F42)</f>
        <v>0</v>
      </c>
      <c r="D125" s="962"/>
      <c r="E125" s="962"/>
      <c r="F125" s="962"/>
      <c r="G125" s="950"/>
      <c r="H125" s="965"/>
      <c r="J125" s="931" t="s">
        <v>413</v>
      </c>
      <c r="K125" s="961">
        <f>SUM(G42:H42)</f>
        <v>0</v>
      </c>
      <c r="L125" s="962"/>
      <c r="M125" s="962"/>
      <c r="N125" s="962"/>
      <c r="O125" s="950"/>
      <c r="P125" s="965"/>
      <c r="R125" s="931" t="s">
        <v>413</v>
      </c>
      <c r="S125" s="961">
        <f>SUM(I42:M42)</f>
        <v>0</v>
      </c>
      <c r="T125" s="962"/>
      <c r="U125" s="962"/>
      <c r="V125" s="962"/>
      <c r="W125" s="950"/>
      <c r="X125" s="965"/>
    </row>
    <row r="126" spans="2:24" ht="15" customHeight="1">
      <c r="B126" s="910" t="s">
        <v>223</v>
      </c>
      <c r="C126" s="961">
        <f>SUM(D43:F43)</f>
        <v>0</v>
      </c>
      <c r="D126" s="874"/>
      <c r="E126" s="874"/>
      <c r="F126" s="874"/>
      <c r="G126" s="954"/>
      <c r="H126" s="963"/>
      <c r="J126" s="910" t="s">
        <v>223</v>
      </c>
      <c r="K126" s="961">
        <f>SUM(G43:H43)</f>
        <v>0</v>
      </c>
      <c r="L126" s="874"/>
      <c r="M126" s="874"/>
      <c r="N126" s="874"/>
      <c r="O126" s="954"/>
      <c r="P126" s="963"/>
      <c r="R126" s="910" t="s">
        <v>223</v>
      </c>
      <c r="S126" s="961">
        <f>SUM(I43:M43)</f>
        <v>0</v>
      </c>
      <c r="T126" s="874"/>
      <c r="U126" s="874"/>
      <c r="V126" s="874"/>
      <c r="W126" s="954"/>
      <c r="X126" s="963"/>
    </row>
    <row r="127" spans="2:24" ht="15" customHeight="1">
      <c r="B127" s="910" t="s">
        <v>402</v>
      </c>
      <c r="C127" s="961">
        <f>SUM(D44:F44)</f>
        <v>0</v>
      </c>
      <c r="D127" s="874"/>
      <c r="E127" s="874"/>
      <c r="F127" s="874"/>
      <c r="G127" s="954"/>
      <c r="H127" s="963"/>
      <c r="J127" s="910" t="s">
        <v>402</v>
      </c>
      <c r="K127" s="961">
        <f>SUM(G44:H44)</f>
        <v>0</v>
      </c>
      <c r="L127" s="874"/>
      <c r="M127" s="874"/>
      <c r="N127" s="874"/>
      <c r="O127" s="954"/>
      <c r="P127" s="963"/>
      <c r="R127" s="910" t="s">
        <v>402</v>
      </c>
      <c r="S127" s="961">
        <f>SUM(I44:M44)</f>
        <v>0</v>
      </c>
      <c r="T127" s="874"/>
      <c r="U127" s="874"/>
      <c r="V127" s="874"/>
      <c r="W127" s="954"/>
      <c r="X127" s="963"/>
    </row>
    <row r="128" spans="2:24" ht="15" customHeight="1">
      <c r="B128" s="910" t="s">
        <v>481</v>
      </c>
      <c r="C128" s="961">
        <f>SUM(D45:F45)</f>
        <v>0</v>
      </c>
      <c r="D128" s="874"/>
      <c r="E128" s="874"/>
      <c r="F128" s="874"/>
      <c r="G128" s="954"/>
      <c r="H128" s="963"/>
      <c r="J128" s="910" t="s">
        <v>481</v>
      </c>
      <c r="K128" s="961">
        <f>SUM(G45:H45)</f>
        <v>0</v>
      </c>
      <c r="L128" s="874"/>
      <c r="M128" s="874"/>
      <c r="N128" s="874"/>
      <c r="O128" s="954"/>
      <c r="P128" s="963"/>
      <c r="R128" s="910" t="s">
        <v>481</v>
      </c>
      <c r="S128" s="961">
        <f>SUM(I45:M45)</f>
        <v>0</v>
      </c>
      <c r="T128" s="874"/>
      <c r="U128" s="874"/>
      <c r="V128" s="874"/>
      <c r="W128" s="954"/>
      <c r="X128" s="963"/>
    </row>
    <row r="129" spans="2:24" ht="15" customHeight="1" thickBot="1">
      <c r="B129" s="915" t="s">
        <v>200</v>
      </c>
      <c r="C129" s="966">
        <f>SUM(C125:C128)</f>
        <v>0</v>
      </c>
      <c r="D129" s="967">
        <f>SUM(D125:D128)</f>
        <v>0</v>
      </c>
      <c r="E129" s="967">
        <f>SUM(E125:E128)</f>
        <v>0</v>
      </c>
      <c r="F129" s="967">
        <f>SUM(F125:F128)</f>
        <v>0</v>
      </c>
      <c r="G129" s="985"/>
      <c r="H129" s="957">
        <f>SUM(H125:H128)</f>
        <v>0</v>
      </c>
      <c r="J129" s="915" t="s">
        <v>200</v>
      </c>
      <c r="K129" s="966">
        <f>SUM(K125:K128)</f>
        <v>0</v>
      </c>
      <c r="L129" s="967">
        <f>SUM(L125:L128)</f>
        <v>0</v>
      </c>
      <c r="M129" s="967">
        <f>SUM(M125:M128)</f>
        <v>0</v>
      </c>
      <c r="N129" s="967">
        <f>SUM(N125:N128)</f>
        <v>0</v>
      </c>
      <c r="O129" s="985"/>
      <c r="P129" s="957">
        <f>SUM(P125:P128)</f>
        <v>0</v>
      </c>
      <c r="R129" s="915" t="s">
        <v>200</v>
      </c>
      <c r="S129" s="966">
        <f>SUM(S125:S128)</f>
        <v>0</v>
      </c>
      <c r="T129" s="967">
        <f>SUM(T125:T128)</f>
        <v>0</v>
      </c>
      <c r="U129" s="967">
        <f>SUM(U125:U128)</f>
        <v>0</v>
      </c>
      <c r="V129" s="967">
        <f>SUM(V125:V128)</f>
        <v>0</v>
      </c>
      <c r="W129" s="985"/>
      <c r="X129" s="957">
        <f>SUM(X125:X128)</f>
        <v>0</v>
      </c>
    </row>
    <row r="130" spans="2:24" ht="15" customHeight="1" thickBot="1"/>
    <row r="131" spans="2:24" ht="15" customHeight="1">
      <c r="B131" s="1572" t="s">
        <v>490</v>
      </c>
      <c r="C131" s="1573"/>
      <c r="D131" s="1573"/>
      <c r="E131" s="1573"/>
      <c r="F131" s="1573"/>
      <c r="G131" s="1573"/>
      <c r="H131" s="1574"/>
      <c r="J131" s="1572" t="s">
        <v>491</v>
      </c>
      <c r="K131" s="1573"/>
      <c r="L131" s="1573"/>
      <c r="M131" s="1573"/>
      <c r="N131" s="1573"/>
      <c r="O131" s="1573"/>
      <c r="P131" s="1574"/>
      <c r="R131" s="1572" t="s">
        <v>192</v>
      </c>
      <c r="S131" s="1573"/>
      <c r="T131" s="1573"/>
      <c r="U131" s="1573"/>
      <c r="V131" s="1573"/>
      <c r="W131" s="1573"/>
      <c r="X131" s="1574"/>
    </row>
    <row r="132" spans="2:24" ht="15" customHeight="1">
      <c r="B132" s="1582"/>
      <c r="C132" s="1586" t="s">
        <v>504</v>
      </c>
      <c r="D132" s="938" t="s">
        <v>505</v>
      </c>
      <c r="E132" s="939"/>
      <c r="F132" s="939"/>
      <c r="G132" s="939"/>
      <c r="H132" s="940"/>
      <c r="J132" s="981"/>
      <c r="K132" s="1586" t="s">
        <v>504</v>
      </c>
      <c r="L132" s="938" t="s">
        <v>506</v>
      </c>
      <c r="M132" s="939"/>
      <c r="N132" s="939"/>
      <c r="O132" s="939"/>
      <c r="P132" s="940"/>
      <c r="R132" s="981"/>
      <c r="S132" s="1586" t="s">
        <v>504</v>
      </c>
      <c r="T132" s="938" t="s">
        <v>506</v>
      </c>
      <c r="U132" s="939"/>
      <c r="V132" s="939"/>
      <c r="W132" s="939"/>
      <c r="X132" s="940"/>
    </row>
    <row r="133" spans="2:24" ht="25.5">
      <c r="B133" s="1583"/>
      <c r="C133" s="1587"/>
      <c r="D133" s="925" t="s">
        <v>508</v>
      </c>
      <c r="E133" s="925" t="s">
        <v>497</v>
      </c>
      <c r="F133" s="925" t="s">
        <v>410</v>
      </c>
      <c r="G133" s="925" t="s">
        <v>509</v>
      </c>
      <c r="H133" s="926" t="s">
        <v>499</v>
      </c>
      <c r="J133" s="960"/>
      <c r="K133" s="1587"/>
      <c r="L133" s="925" t="s">
        <v>508</v>
      </c>
      <c r="M133" s="925" t="s">
        <v>497</v>
      </c>
      <c r="N133" s="925" t="s">
        <v>410</v>
      </c>
      <c r="O133" s="925" t="s">
        <v>509</v>
      </c>
      <c r="P133" s="926" t="s">
        <v>499</v>
      </c>
      <c r="R133" s="960"/>
      <c r="S133" s="1587"/>
      <c r="T133" s="982" t="s">
        <v>508</v>
      </c>
      <c r="U133" s="982" t="s">
        <v>497</v>
      </c>
      <c r="V133" s="982" t="s">
        <v>410</v>
      </c>
      <c r="W133" s="982" t="s">
        <v>509</v>
      </c>
      <c r="X133" s="983" t="s">
        <v>499</v>
      </c>
    </row>
    <row r="134" spans="2:24" ht="15" customHeight="1">
      <c r="B134" s="931" t="s">
        <v>413</v>
      </c>
      <c r="C134" s="961">
        <f t="shared" ref="C134:F137" si="22">IF(C116&gt;0,C125*1000/C116,0)</f>
        <v>0</v>
      </c>
      <c r="D134" s="970">
        <f t="shared" si="22"/>
        <v>0</v>
      </c>
      <c r="E134" s="970">
        <f t="shared" si="22"/>
        <v>0</v>
      </c>
      <c r="F134" s="970">
        <f t="shared" si="22"/>
        <v>0</v>
      </c>
      <c r="G134" s="948"/>
      <c r="H134" s="965"/>
      <c r="J134" s="931" t="s">
        <v>413</v>
      </c>
      <c r="K134" s="961">
        <f t="shared" ref="K134:N137" si="23">IF(K116&gt;0,K125*1000/K116,0)</f>
        <v>0</v>
      </c>
      <c r="L134" s="970">
        <f t="shared" si="23"/>
        <v>0</v>
      </c>
      <c r="M134" s="970">
        <f t="shared" si="23"/>
        <v>0</v>
      </c>
      <c r="N134" s="970">
        <f t="shared" si="23"/>
        <v>0</v>
      </c>
      <c r="O134" s="948"/>
      <c r="P134" s="965"/>
      <c r="R134" s="931" t="s">
        <v>413</v>
      </c>
      <c r="S134" s="961">
        <f t="shared" ref="S134:V137" si="24">IF(S116&gt;0,S125*1000/S116,0)</f>
        <v>0</v>
      </c>
      <c r="T134" s="970">
        <f t="shared" si="24"/>
        <v>0</v>
      </c>
      <c r="U134" s="970">
        <f t="shared" si="24"/>
        <v>0</v>
      </c>
      <c r="V134" s="970">
        <f t="shared" si="24"/>
        <v>0</v>
      </c>
      <c r="W134" s="948"/>
      <c r="X134" s="965"/>
    </row>
    <row r="135" spans="2:24" ht="15" customHeight="1">
      <c r="B135" s="910" t="s">
        <v>223</v>
      </c>
      <c r="C135" s="972">
        <f t="shared" si="22"/>
        <v>0</v>
      </c>
      <c r="D135" s="973">
        <f t="shared" si="22"/>
        <v>0</v>
      </c>
      <c r="E135" s="973">
        <f t="shared" si="22"/>
        <v>0</v>
      </c>
      <c r="F135" s="973">
        <f t="shared" si="22"/>
        <v>0</v>
      </c>
      <c r="G135" s="952"/>
      <c r="H135" s="963"/>
      <c r="J135" s="910" t="s">
        <v>223</v>
      </c>
      <c r="K135" s="972">
        <f t="shared" si="23"/>
        <v>0</v>
      </c>
      <c r="L135" s="973">
        <f t="shared" si="23"/>
        <v>0</v>
      </c>
      <c r="M135" s="973">
        <f t="shared" si="23"/>
        <v>0</v>
      </c>
      <c r="N135" s="973">
        <f t="shared" si="23"/>
        <v>0</v>
      </c>
      <c r="O135" s="952"/>
      <c r="P135" s="963"/>
      <c r="R135" s="910" t="s">
        <v>223</v>
      </c>
      <c r="S135" s="972">
        <f t="shared" si="24"/>
        <v>0</v>
      </c>
      <c r="T135" s="973">
        <f t="shared" si="24"/>
        <v>0</v>
      </c>
      <c r="U135" s="973">
        <f t="shared" si="24"/>
        <v>0</v>
      </c>
      <c r="V135" s="973">
        <f t="shared" si="24"/>
        <v>0</v>
      </c>
      <c r="W135" s="952"/>
      <c r="X135" s="963"/>
    </row>
    <row r="136" spans="2:24" ht="15" customHeight="1">
      <c r="B136" s="910" t="s">
        <v>402</v>
      </c>
      <c r="C136" s="972">
        <f t="shared" si="22"/>
        <v>0</v>
      </c>
      <c r="D136" s="973">
        <f t="shared" si="22"/>
        <v>0</v>
      </c>
      <c r="E136" s="973">
        <f t="shared" si="22"/>
        <v>0</v>
      </c>
      <c r="F136" s="973">
        <f t="shared" si="22"/>
        <v>0</v>
      </c>
      <c r="G136" s="952"/>
      <c r="H136" s="963"/>
      <c r="J136" s="910" t="s">
        <v>402</v>
      </c>
      <c r="K136" s="972">
        <f t="shared" si="23"/>
        <v>0</v>
      </c>
      <c r="L136" s="973">
        <f t="shared" si="23"/>
        <v>0</v>
      </c>
      <c r="M136" s="973">
        <f t="shared" si="23"/>
        <v>0</v>
      </c>
      <c r="N136" s="973">
        <f t="shared" si="23"/>
        <v>0</v>
      </c>
      <c r="O136" s="952"/>
      <c r="P136" s="963"/>
      <c r="R136" s="910" t="s">
        <v>402</v>
      </c>
      <c r="S136" s="972">
        <f t="shared" si="24"/>
        <v>0</v>
      </c>
      <c r="T136" s="973">
        <f t="shared" si="24"/>
        <v>0</v>
      </c>
      <c r="U136" s="973">
        <f t="shared" si="24"/>
        <v>0</v>
      </c>
      <c r="V136" s="973">
        <f t="shared" si="24"/>
        <v>0</v>
      </c>
      <c r="W136" s="952"/>
      <c r="X136" s="963"/>
    </row>
    <row r="137" spans="2:24" ht="15" customHeight="1" thickBot="1">
      <c r="B137" s="974" t="s">
        <v>481</v>
      </c>
      <c r="C137" s="975">
        <f t="shared" si="22"/>
        <v>0</v>
      </c>
      <c r="D137" s="976">
        <f t="shared" si="22"/>
        <v>0</v>
      </c>
      <c r="E137" s="976">
        <f t="shared" si="22"/>
        <v>0</v>
      </c>
      <c r="F137" s="976">
        <f t="shared" si="22"/>
        <v>0</v>
      </c>
      <c r="G137" s="986"/>
      <c r="H137" s="977"/>
      <c r="J137" s="974" t="s">
        <v>481</v>
      </c>
      <c r="K137" s="975">
        <f t="shared" si="23"/>
        <v>0</v>
      </c>
      <c r="L137" s="976">
        <f t="shared" si="23"/>
        <v>0</v>
      </c>
      <c r="M137" s="976">
        <f t="shared" si="23"/>
        <v>0</v>
      </c>
      <c r="N137" s="976">
        <f t="shared" si="23"/>
        <v>0</v>
      </c>
      <c r="O137" s="986"/>
      <c r="P137" s="977"/>
      <c r="R137" s="974" t="s">
        <v>481</v>
      </c>
      <c r="S137" s="975">
        <f t="shared" si="24"/>
        <v>0</v>
      </c>
      <c r="T137" s="976">
        <f t="shared" si="24"/>
        <v>0</v>
      </c>
      <c r="U137" s="976">
        <f t="shared" si="24"/>
        <v>0</v>
      </c>
      <c r="V137" s="976">
        <f t="shared" si="24"/>
        <v>0</v>
      </c>
      <c r="W137" s="986"/>
      <c r="X137" s="977"/>
    </row>
  </sheetData>
  <sheetProtection insertRows="0"/>
  <mergeCells count="67">
    <mergeCell ref="B131:H131"/>
    <mergeCell ref="J131:P131"/>
    <mergeCell ref="R131:X131"/>
    <mergeCell ref="B132:B133"/>
    <mergeCell ref="C132:C133"/>
    <mergeCell ref="K132:K133"/>
    <mergeCell ref="S132:S133"/>
    <mergeCell ref="B122:H122"/>
    <mergeCell ref="J122:P122"/>
    <mergeCell ref="R122:X122"/>
    <mergeCell ref="B123:B124"/>
    <mergeCell ref="C123:C124"/>
    <mergeCell ref="K123:K124"/>
    <mergeCell ref="S123:S124"/>
    <mergeCell ref="B113:H113"/>
    <mergeCell ref="J113:P113"/>
    <mergeCell ref="R113:X113"/>
    <mergeCell ref="B114:B115"/>
    <mergeCell ref="C114:C115"/>
    <mergeCell ref="K114:K115"/>
    <mergeCell ref="S114:S115"/>
    <mergeCell ref="B104:H104"/>
    <mergeCell ref="J104:P104"/>
    <mergeCell ref="R104:X104"/>
    <mergeCell ref="B105:B106"/>
    <mergeCell ref="C105:C106"/>
    <mergeCell ref="D105:H105"/>
    <mergeCell ref="K105:K106"/>
    <mergeCell ref="S105:S106"/>
    <mergeCell ref="B85:H85"/>
    <mergeCell ref="J85:P85"/>
    <mergeCell ref="R85:X85"/>
    <mergeCell ref="B86:B87"/>
    <mergeCell ref="C86:C87"/>
    <mergeCell ref="D86:H86"/>
    <mergeCell ref="K86:K87"/>
    <mergeCell ref="R86:R87"/>
    <mergeCell ref="S86:S87"/>
    <mergeCell ref="B76:H76"/>
    <mergeCell ref="J76:P76"/>
    <mergeCell ref="R76:X76"/>
    <mergeCell ref="B77:B78"/>
    <mergeCell ref="C77:C78"/>
    <mergeCell ref="K77:K78"/>
    <mergeCell ref="R77:R78"/>
    <mergeCell ref="S77:S78"/>
    <mergeCell ref="T59:X59"/>
    <mergeCell ref="B67:H67"/>
    <mergeCell ref="J67:P67"/>
    <mergeCell ref="R67:X67"/>
    <mergeCell ref="B68:B69"/>
    <mergeCell ref="C68:C69"/>
    <mergeCell ref="K68:K69"/>
    <mergeCell ref="R68:R69"/>
    <mergeCell ref="S68:S69"/>
    <mergeCell ref="B59:B60"/>
    <mergeCell ref="C59:C60"/>
    <mergeCell ref="D59:H59"/>
    <mergeCell ref="K59:K60"/>
    <mergeCell ref="R59:R60"/>
    <mergeCell ref="S59:S60"/>
    <mergeCell ref="R58:X58"/>
    <mergeCell ref="B7:C8"/>
    <mergeCell ref="B31:C32"/>
    <mergeCell ref="B40:C41"/>
    <mergeCell ref="B58:H58"/>
    <mergeCell ref="J58:P58"/>
  </mergeCells>
  <phoneticPr fontId="1" type="noConversion"/>
  <dataValidations count="1">
    <dataValidation type="decimal" operator="greaterThanOrEqual" showInputMessage="1" showErrorMessage="1" sqref="D18:M24 D14:M16 D33:M36 D42:M45 D10:M12">
      <formula1>0</formula1>
    </dataValidation>
  </dataValidations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rowBreaks count="1" manualBreakCount="1">
    <brk id="93" max="23" man="1"/>
  </row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5FFFF"/>
    <pageSetUpPr fitToPage="1"/>
  </sheetPr>
  <dimension ref="A1:J155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1" bestFit="1" customWidth="1"/>
    <col min="6" max="7" width="8.85546875" customWidth="1"/>
    <col min="8" max="8" width="15.85546875" customWidth="1"/>
    <col min="9" max="9" width="8.85546875" customWidth="1"/>
    <col min="10" max="10" width="15.42578125" customWidth="1"/>
  </cols>
  <sheetData>
    <row r="1" spans="1:10" s="74" customFormat="1">
      <c r="A1" s="726" t="s">
        <v>74</v>
      </c>
      <c r="F1" s="125" t="s">
        <v>985</v>
      </c>
    </row>
    <row r="2" spans="1:10" s="74" customFormat="1">
      <c r="A2" s="726"/>
    </row>
    <row r="3" spans="1:10" s="74" customFormat="1">
      <c r="A3" s="726" t="s">
        <v>510</v>
      </c>
    </row>
    <row r="4" spans="1:10" s="74" customFormat="1">
      <c r="A4" s="726"/>
    </row>
    <row r="5" spans="1:10" s="74" customFormat="1"/>
    <row r="6" spans="1:10" s="74" customFormat="1" ht="13.5" thickBot="1"/>
    <row r="7" spans="1:10" s="74" customFormat="1" ht="38.25" customHeight="1">
      <c r="B7" s="1597" t="s">
        <v>77</v>
      </c>
      <c r="C7" s="1598"/>
      <c r="D7" s="1598"/>
      <c r="E7" s="1599"/>
      <c r="F7" s="1606" t="s">
        <v>190</v>
      </c>
      <c r="G7" s="1609" t="s">
        <v>511</v>
      </c>
      <c r="H7" s="1610"/>
      <c r="I7" s="1609" t="s">
        <v>512</v>
      </c>
      <c r="J7" s="1610"/>
    </row>
    <row r="8" spans="1:10" s="74" customFormat="1" ht="51">
      <c r="B8" s="1600"/>
      <c r="C8" s="1601"/>
      <c r="D8" s="1601"/>
      <c r="E8" s="1602"/>
      <c r="F8" s="1607"/>
      <c r="G8" s="987" t="s">
        <v>513</v>
      </c>
      <c r="H8" s="988" t="s">
        <v>514</v>
      </c>
      <c r="I8" s="987" t="s">
        <v>513</v>
      </c>
      <c r="J8" s="988" t="s">
        <v>514</v>
      </c>
    </row>
    <row r="9" spans="1:10" s="74" customFormat="1" ht="13.5" thickBot="1">
      <c r="B9" s="1603"/>
      <c r="C9" s="1604"/>
      <c r="D9" s="1604"/>
      <c r="E9" s="1605"/>
      <c r="F9" s="1608"/>
      <c r="G9" s="989" t="s">
        <v>515</v>
      </c>
      <c r="H9" s="990" t="s">
        <v>515</v>
      </c>
      <c r="I9" s="989" t="s">
        <v>515</v>
      </c>
      <c r="J9" s="990" t="s">
        <v>515</v>
      </c>
    </row>
    <row r="10" spans="1:10" s="74" customFormat="1">
      <c r="B10" s="991"/>
      <c r="C10" s="992" t="s">
        <v>89</v>
      </c>
      <c r="D10" s="992"/>
      <c r="E10" s="993"/>
      <c r="F10" s="994"/>
      <c r="G10" s="995"/>
      <c r="H10" s="996"/>
      <c r="I10" s="995"/>
      <c r="J10" s="996"/>
    </row>
    <row r="11" spans="1:10" s="74" customFormat="1">
      <c r="B11" s="991"/>
      <c r="C11" s="993"/>
      <c r="D11" s="992" t="s">
        <v>429</v>
      </c>
      <c r="E11" s="993"/>
      <c r="F11" s="997"/>
      <c r="G11" s="998"/>
      <c r="H11" s="999"/>
      <c r="I11" s="998"/>
      <c r="J11" s="999"/>
    </row>
    <row r="12" spans="1:10" s="74" customFormat="1">
      <c r="B12" s="1000"/>
      <c r="C12" s="993"/>
      <c r="D12" s="993"/>
      <c r="E12" s="993" t="s">
        <v>91</v>
      </c>
      <c r="F12" s="1001" t="s">
        <v>516</v>
      </c>
      <c r="G12" s="1002"/>
      <c r="H12" s="1003"/>
      <c r="I12" s="1002"/>
      <c r="J12" s="1003">
        <v>41.700246577433042</v>
      </c>
    </row>
    <row r="13" spans="1:10" s="74" customFormat="1">
      <c r="B13" s="1000"/>
      <c r="C13" s="993"/>
      <c r="D13" s="993"/>
      <c r="E13" s="993" t="s">
        <v>92</v>
      </c>
      <c r="F13" s="1001" t="s">
        <v>517</v>
      </c>
      <c r="G13" s="1002"/>
      <c r="H13" s="1003"/>
      <c r="I13" s="1002"/>
      <c r="J13" s="1003">
        <v>0.50853959240772006</v>
      </c>
    </row>
    <row r="14" spans="1:10" s="74" customFormat="1">
      <c r="B14" s="1000"/>
      <c r="C14" s="993"/>
      <c r="D14" s="993"/>
      <c r="E14" s="993"/>
      <c r="F14" s="1001"/>
      <c r="G14" s="1004"/>
      <c r="H14" s="1005"/>
      <c r="I14" s="1004"/>
      <c r="J14" s="1005"/>
    </row>
    <row r="15" spans="1:10" s="74" customFormat="1">
      <c r="B15" s="1000"/>
      <c r="C15" s="993"/>
      <c r="D15" s="992" t="s">
        <v>93</v>
      </c>
      <c r="E15" s="993"/>
      <c r="F15" s="1001"/>
      <c r="G15" s="1004"/>
      <c r="H15" s="1005"/>
      <c r="I15" s="1004"/>
      <c r="J15" s="1005"/>
    </row>
    <row r="16" spans="1:10" s="74" customFormat="1">
      <c r="B16" s="1000"/>
      <c r="C16" s="993"/>
      <c r="D16" s="993"/>
      <c r="E16" s="993" t="s">
        <v>94</v>
      </c>
      <c r="F16" s="1001" t="s">
        <v>517</v>
      </c>
      <c r="G16" s="1002"/>
      <c r="H16" s="1003"/>
      <c r="I16" s="1002"/>
      <c r="J16" s="1003">
        <v>0</v>
      </c>
    </row>
    <row r="17" spans="2:10" s="74" customFormat="1">
      <c r="B17" s="1000"/>
      <c r="C17" s="993"/>
      <c r="D17" s="993"/>
      <c r="E17" s="993"/>
      <c r="F17" s="1001"/>
      <c r="G17" s="1004"/>
      <c r="H17" s="1005"/>
      <c r="I17" s="1004"/>
      <c r="J17" s="1005"/>
    </row>
    <row r="18" spans="2:10" s="74" customFormat="1">
      <c r="B18" s="1000"/>
      <c r="C18" s="993"/>
      <c r="D18" s="992" t="s">
        <v>95</v>
      </c>
      <c r="E18" s="993"/>
      <c r="F18" s="1001"/>
      <c r="G18" s="1004"/>
      <c r="H18" s="1005"/>
      <c r="I18" s="1004"/>
      <c r="J18" s="1005"/>
    </row>
    <row r="19" spans="2:10" s="74" customFormat="1">
      <c r="B19" s="1000"/>
      <c r="C19" s="993"/>
      <c r="D19" s="992"/>
      <c r="E19" s="993" t="s">
        <v>96</v>
      </c>
      <c r="F19" s="1001" t="s">
        <v>516</v>
      </c>
      <c r="G19" s="1002"/>
      <c r="H19" s="1003"/>
      <c r="I19" s="1002"/>
      <c r="J19" s="1003">
        <v>127.13489810193002</v>
      </c>
    </row>
    <row r="20" spans="2:10" s="74" customFormat="1">
      <c r="B20" s="1000"/>
      <c r="C20" s="993"/>
      <c r="D20" s="992"/>
      <c r="E20" s="993" t="s">
        <v>97</v>
      </c>
      <c r="F20" s="1001" t="s">
        <v>516</v>
      </c>
      <c r="G20" s="1002"/>
      <c r="H20" s="1003"/>
      <c r="I20" s="1002"/>
      <c r="J20" s="1003">
        <v>127.13489810193002</v>
      </c>
    </row>
    <row r="21" spans="2:10" s="74" customFormat="1">
      <c r="B21" s="1000"/>
      <c r="C21" s="993"/>
      <c r="D21" s="992"/>
      <c r="E21" s="993" t="s">
        <v>98</v>
      </c>
      <c r="F21" s="1001" t="s">
        <v>516</v>
      </c>
      <c r="G21" s="1002"/>
      <c r="H21" s="1003"/>
      <c r="I21" s="1002"/>
      <c r="J21" s="1003">
        <v>127.13489810193002</v>
      </c>
    </row>
    <row r="22" spans="2:10" s="74" customFormat="1">
      <c r="B22" s="1000"/>
      <c r="C22" s="993"/>
      <c r="D22" s="992"/>
      <c r="E22" s="993" t="s">
        <v>99</v>
      </c>
      <c r="F22" s="1001" t="s">
        <v>517</v>
      </c>
      <c r="G22" s="1002"/>
      <c r="H22" s="1003"/>
      <c r="I22" s="1002"/>
      <c r="J22" s="1003">
        <v>1.7000732843986286</v>
      </c>
    </row>
    <row r="23" spans="2:10" s="74" customFormat="1">
      <c r="B23" s="1000"/>
      <c r="C23" s="993"/>
      <c r="D23" s="993"/>
      <c r="E23" s="993"/>
      <c r="F23" s="1001"/>
      <c r="G23" s="1004"/>
      <c r="H23" s="1005"/>
      <c r="I23" s="1004"/>
      <c r="J23" s="1005"/>
    </row>
    <row r="24" spans="2:10" s="74" customFormat="1">
      <c r="B24" s="1000"/>
      <c r="C24" s="993"/>
      <c r="D24" s="992" t="s">
        <v>100</v>
      </c>
      <c r="E24" s="993"/>
      <c r="F24" s="1001"/>
      <c r="G24" s="1004"/>
      <c r="H24" s="1005"/>
      <c r="I24" s="1004"/>
      <c r="J24" s="1005"/>
    </row>
    <row r="25" spans="2:10" s="74" customFormat="1">
      <c r="B25" s="1000"/>
      <c r="C25" s="993"/>
      <c r="D25" s="992"/>
      <c r="E25" s="993" t="s">
        <v>101</v>
      </c>
      <c r="F25" s="1001" t="s">
        <v>517</v>
      </c>
      <c r="G25" s="1002"/>
      <c r="H25" s="1003"/>
      <c r="I25" s="1002"/>
      <c r="J25" s="1003">
        <v>5.7210704145868512</v>
      </c>
    </row>
    <row r="26" spans="2:10" s="74" customFormat="1">
      <c r="B26" s="1000"/>
      <c r="C26" s="993"/>
      <c r="D26" s="992"/>
      <c r="E26" s="993" t="s">
        <v>102</v>
      </c>
      <c r="F26" s="1001" t="s">
        <v>517</v>
      </c>
      <c r="G26" s="1002"/>
      <c r="H26" s="1003"/>
      <c r="I26" s="1002"/>
      <c r="J26" s="1003">
        <v>5.7210704145868512</v>
      </c>
    </row>
    <row r="27" spans="2:10" s="74" customFormat="1">
      <c r="B27" s="1000"/>
      <c r="C27" s="993"/>
      <c r="D27" s="992"/>
      <c r="E27" s="993" t="s">
        <v>103</v>
      </c>
      <c r="F27" s="1001" t="s">
        <v>517</v>
      </c>
      <c r="G27" s="1002"/>
      <c r="H27" s="1003"/>
      <c r="I27" s="1002"/>
      <c r="J27" s="1003">
        <v>5.7210704145868512</v>
      </c>
    </row>
    <row r="28" spans="2:10" s="74" customFormat="1">
      <c r="B28" s="1000"/>
      <c r="C28" s="993"/>
      <c r="D28" s="992"/>
      <c r="E28" s="993" t="s">
        <v>104</v>
      </c>
      <c r="F28" s="1001" t="s">
        <v>517</v>
      </c>
      <c r="G28" s="1002"/>
      <c r="H28" s="1003"/>
      <c r="I28" s="1002"/>
      <c r="J28" s="1003">
        <v>4.8311261278733406</v>
      </c>
    </row>
    <row r="29" spans="2:10" s="74" customFormat="1">
      <c r="B29" s="1000"/>
      <c r="C29" s="993"/>
      <c r="D29" s="992"/>
      <c r="E29" s="993" t="s">
        <v>105</v>
      </c>
      <c r="F29" s="1001" t="s">
        <v>517</v>
      </c>
      <c r="G29" s="1006"/>
      <c r="H29" s="1007"/>
      <c r="I29" s="1006"/>
      <c r="J29" s="1007"/>
    </row>
    <row r="30" spans="2:10" s="74" customFormat="1">
      <c r="B30" s="1000"/>
      <c r="C30" s="993"/>
      <c r="D30" s="992"/>
      <c r="E30" s="993" t="s">
        <v>106</v>
      </c>
      <c r="F30" s="1001" t="s">
        <v>517</v>
      </c>
      <c r="G30" s="1006"/>
      <c r="H30" s="1007"/>
      <c r="I30" s="1006"/>
      <c r="J30" s="1007"/>
    </row>
    <row r="31" spans="2:10" s="74" customFormat="1" ht="13.5" thickBot="1">
      <c r="B31" s="1008"/>
      <c r="C31" s="1009"/>
      <c r="D31" s="1009"/>
      <c r="E31" s="1009"/>
      <c r="F31" s="1010"/>
      <c r="G31" s="1011"/>
      <c r="H31" s="1012"/>
      <c r="I31" s="1011"/>
      <c r="J31" s="1012"/>
    </row>
    <row r="32" spans="2:10" s="74" customFormat="1">
      <c r="B32" s="1013"/>
      <c r="C32" s="1014" t="s">
        <v>107</v>
      </c>
      <c r="D32" s="1014"/>
      <c r="E32" s="1015"/>
      <c r="F32" s="1016"/>
      <c r="G32" s="1004"/>
      <c r="H32" s="1005"/>
      <c r="I32" s="1004"/>
      <c r="J32" s="1005"/>
    </row>
    <row r="33" spans="2:10" s="74" customFormat="1">
      <c r="B33" s="1000"/>
      <c r="C33" s="993"/>
      <c r="D33" s="992" t="s">
        <v>429</v>
      </c>
      <c r="E33" s="993"/>
      <c r="F33" s="1016"/>
      <c r="G33" s="1004"/>
      <c r="H33" s="1005"/>
      <c r="I33" s="1004"/>
      <c r="J33" s="1005"/>
    </row>
    <row r="34" spans="2:10" s="74" customFormat="1">
      <c r="B34" s="1000"/>
      <c r="C34" s="993"/>
      <c r="D34" s="992"/>
      <c r="E34" s="993" t="s">
        <v>108</v>
      </c>
      <c r="F34" s="1001" t="s">
        <v>516</v>
      </c>
      <c r="G34" s="1002"/>
      <c r="H34" s="1003"/>
      <c r="I34" s="1002"/>
      <c r="J34" s="1003">
        <v>43.098730456554271</v>
      </c>
    </row>
    <row r="35" spans="2:10" s="74" customFormat="1">
      <c r="B35" s="1000"/>
      <c r="C35" s="993"/>
      <c r="D35" s="992"/>
      <c r="E35" s="993" t="s">
        <v>109</v>
      </c>
      <c r="F35" s="1001" t="s">
        <v>516</v>
      </c>
      <c r="G35" s="1002"/>
      <c r="H35" s="1003"/>
      <c r="I35" s="1002"/>
      <c r="J35" s="1003">
        <v>43.098730456554271</v>
      </c>
    </row>
    <row r="36" spans="2:10" s="74" customFormat="1">
      <c r="B36" s="1000"/>
      <c r="C36" s="993"/>
      <c r="D36" s="993"/>
      <c r="E36" s="993" t="s">
        <v>110</v>
      </c>
      <c r="F36" s="1001" t="s">
        <v>516</v>
      </c>
      <c r="G36" s="1002"/>
      <c r="H36" s="1003"/>
      <c r="I36" s="1002"/>
      <c r="J36" s="1003">
        <v>0</v>
      </c>
    </row>
    <row r="37" spans="2:10" s="74" customFormat="1">
      <c r="B37" s="1000"/>
      <c r="C37" s="993"/>
      <c r="D37" s="993"/>
      <c r="E37" s="993" t="s">
        <v>111</v>
      </c>
      <c r="F37" s="1001" t="s">
        <v>516</v>
      </c>
      <c r="G37" s="1002"/>
      <c r="H37" s="1003"/>
      <c r="I37" s="1002"/>
      <c r="J37" s="1003">
        <v>0</v>
      </c>
    </row>
    <row r="38" spans="2:10" s="74" customFormat="1">
      <c r="B38" s="1000"/>
      <c r="C38" s="993"/>
      <c r="D38" s="993"/>
      <c r="E38" s="993"/>
      <c r="F38" s="1001"/>
      <c r="G38" s="1004"/>
      <c r="H38" s="1005"/>
      <c r="I38" s="1004"/>
      <c r="J38" s="1005"/>
    </row>
    <row r="39" spans="2:10" s="74" customFormat="1">
      <c r="B39" s="1000"/>
      <c r="C39" s="993"/>
      <c r="D39" s="992" t="s">
        <v>93</v>
      </c>
      <c r="E39" s="993"/>
      <c r="F39" s="1001"/>
      <c r="G39" s="1004"/>
      <c r="H39" s="1005"/>
      <c r="I39" s="1004"/>
      <c r="J39" s="1005"/>
    </row>
    <row r="40" spans="2:10" s="74" customFormat="1">
      <c r="B40" s="1000"/>
      <c r="C40" s="993"/>
      <c r="D40" s="1015"/>
      <c r="E40" s="993" t="s">
        <v>112</v>
      </c>
      <c r="F40" s="1001" t="s">
        <v>517</v>
      </c>
      <c r="G40" s="1002"/>
      <c r="H40" s="1003"/>
      <c r="I40" s="1002"/>
      <c r="J40" s="1003">
        <v>0</v>
      </c>
    </row>
    <row r="41" spans="2:10" s="74" customFormat="1">
      <c r="B41" s="1000"/>
      <c r="C41" s="993"/>
      <c r="D41" s="992"/>
      <c r="E41" s="993" t="s">
        <v>113</v>
      </c>
      <c r="F41" s="1001" t="s">
        <v>517</v>
      </c>
      <c r="G41" s="1002"/>
      <c r="H41" s="1003"/>
      <c r="I41" s="1002"/>
      <c r="J41" s="1003">
        <v>0</v>
      </c>
    </row>
    <row r="42" spans="2:10" s="74" customFormat="1">
      <c r="B42" s="1000"/>
      <c r="C42" s="993"/>
      <c r="D42" s="993"/>
      <c r="E42" s="993"/>
      <c r="F42" s="1001"/>
      <c r="G42" s="1004"/>
      <c r="H42" s="1005"/>
      <c r="I42" s="1004"/>
      <c r="J42" s="1005"/>
    </row>
    <row r="43" spans="2:10" s="74" customFormat="1">
      <c r="B43" s="1000"/>
      <c r="C43" s="993"/>
      <c r="D43" s="992" t="s">
        <v>114</v>
      </c>
      <c r="E43" s="993"/>
      <c r="F43" s="1001"/>
      <c r="G43" s="1004"/>
      <c r="H43" s="1005"/>
      <c r="I43" s="1004"/>
      <c r="J43" s="1005"/>
    </row>
    <row r="44" spans="2:10" s="74" customFormat="1">
      <c r="B44" s="1000"/>
      <c r="C44" s="993"/>
      <c r="D44" s="992"/>
      <c r="E44" s="993" t="s">
        <v>115</v>
      </c>
      <c r="F44" s="1001" t="s">
        <v>516</v>
      </c>
      <c r="G44" s="1002"/>
      <c r="H44" s="1003"/>
      <c r="I44" s="1002"/>
      <c r="J44" s="1003">
        <v>84.544707237783456</v>
      </c>
    </row>
    <row r="45" spans="2:10" s="74" customFormat="1">
      <c r="B45" s="1000"/>
      <c r="C45" s="993"/>
      <c r="D45" s="992"/>
      <c r="E45" s="993" t="s">
        <v>116</v>
      </c>
      <c r="F45" s="1001" t="s">
        <v>516</v>
      </c>
      <c r="G45" s="1002"/>
      <c r="H45" s="1003"/>
      <c r="I45" s="1002"/>
      <c r="J45" s="1003">
        <v>0</v>
      </c>
    </row>
    <row r="46" spans="2:10" s="74" customFormat="1">
      <c r="B46" s="1000"/>
      <c r="C46" s="993"/>
      <c r="D46" s="992"/>
      <c r="E46" s="993"/>
      <c r="F46" s="1001"/>
      <c r="G46" s="1004"/>
      <c r="H46" s="1005"/>
      <c r="I46" s="1004"/>
      <c r="J46" s="1005"/>
    </row>
    <row r="47" spans="2:10" s="74" customFormat="1">
      <c r="B47" s="1000"/>
      <c r="C47" s="993"/>
      <c r="D47" s="992" t="s">
        <v>117</v>
      </c>
      <c r="E47" s="993"/>
      <c r="F47" s="1001"/>
      <c r="G47" s="1004"/>
      <c r="H47" s="1005"/>
      <c r="I47" s="1004"/>
      <c r="J47" s="1005"/>
    </row>
    <row r="48" spans="2:10" s="74" customFormat="1">
      <c r="B48" s="1000"/>
      <c r="C48" s="993"/>
      <c r="D48" s="992"/>
      <c r="E48" s="993" t="s">
        <v>118</v>
      </c>
      <c r="F48" s="1001" t="s">
        <v>516</v>
      </c>
      <c r="G48" s="1002"/>
      <c r="H48" s="1003"/>
      <c r="I48" s="1002"/>
      <c r="J48" s="1003">
        <v>0</v>
      </c>
    </row>
    <row r="49" spans="2:10" s="74" customFormat="1">
      <c r="B49" s="1000"/>
      <c r="C49" s="993"/>
      <c r="D49" s="992"/>
      <c r="E49" s="993"/>
      <c r="F49" s="1001"/>
      <c r="G49" s="1004"/>
      <c r="H49" s="1005"/>
      <c r="I49" s="1004"/>
      <c r="J49" s="1005"/>
    </row>
    <row r="50" spans="2:10" s="74" customFormat="1">
      <c r="B50" s="1000"/>
      <c r="C50" s="993"/>
      <c r="D50" s="992" t="s">
        <v>100</v>
      </c>
      <c r="E50" s="993"/>
      <c r="F50" s="1001"/>
      <c r="G50" s="1004"/>
      <c r="H50" s="1005"/>
      <c r="I50" s="1004"/>
      <c r="J50" s="1005"/>
    </row>
    <row r="51" spans="2:10" s="74" customFormat="1">
      <c r="B51" s="1000"/>
      <c r="C51" s="993"/>
      <c r="D51" s="992"/>
      <c r="E51" s="993" t="s">
        <v>119</v>
      </c>
      <c r="F51" s="1001" t="s">
        <v>517</v>
      </c>
      <c r="G51" s="1002"/>
      <c r="H51" s="1003"/>
      <c r="I51" s="1002"/>
      <c r="J51" s="1003">
        <v>13.984838791212301</v>
      </c>
    </row>
    <row r="52" spans="2:10" s="74" customFormat="1">
      <c r="B52" s="1000"/>
      <c r="C52" s="993"/>
      <c r="D52" s="992"/>
      <c r="E52" s="993" t="s">
        <v>120</v>
      </c>
      <c r="F52" s="1001" t="s">
        <v>517</v>
      </c>
      <c r="G52" s="1002"/>
      <c r="H52" s="1003"/>
      <c r="I52" s="1002"/>
      <c r="J52" s="1003">
        <v>30.893780238768993</v>
      </c>
    </row>
    <row r="53" spans="2:10" s="74" customFormat="1">
      <c r="B53" s="1000"/>
      <c r="C53" s="993"/>
      <c r="D53" s="992"/>
      <c r="E53" s="993" t="s">
        <v>121</v>
      </c>
      <c r="F53" s="1001" t="s">
        <v>517</v>
      </c>
      <c r="G53" s="1002"/>
      <c r="H53" s="1003"/>
      <c r="I53" s="1002"/>
      <c r="J53" s="1003">
        <v>1.6527536753250902</v>
      </c>
    </row>
    <row r="54" spans="2:10" s="74" customFormat="1">
      <c r="B54" s="1000"/>
      <c r="C54" s="993"/>
      <c r="D54" s="992"/>
      <c r="E54" s="993" t="s">
        <v>122</v>
      </c>
      <c r="F54" s="1001" t="s">
        <v>517</v>
      </c>
      <c r="G54" s="1002"/>
      <c r="H54" s="1003"/>
      <c r="I54" s="1002"/>
      <c r="J54" s="1003">
        <v>5.2125308221791302</v>
      </c>
    </row>
    <row r="55" spans="2:10" s="74" customFormat="1">
      <c r="B55" s="1000"/>
      <c r="C55" s="993"/>
      <c r="D55" s="992"/>
      <c r="E55" s="993" t="s">
        <v>123</v>
      </c>
      <c r="F55" s="1001" t="s">
        <v>517</v>
      </c>
      <c r="G55" s="1002"/>
      <c r="H55" s="1003"/>
      <c r="I55" s="1002"/>
      <c r="J55" s="1003">
        <v>16.400401855148971</v>
      </c>
    </row>
    <row r="56" spans="2:10" s="74" customFormat="1">
      <c r="B56" s="1000"/>
      <c r="C56" s="993"/>
      <c r="D56" s="992"/>
      <c r="E56" s="993" t="s">
        <v>124</v>
      </c>
      <c r="F56" s="1001" t="s">
        <v>517</v>
      </c>
      <c r="G56" s="1006"/>
      <c r="H56" s="1007"/>
      <c r="I56" s="1006"/>
      <c r="J56" s="1007"/>
    </row>
    <row r="57" spans="2:10" s="74" customFormat="1">
      <c r="B57" s="1000"/>
      <c r="C57" s="993"/>
      <c r="D57" s="992"/>
      <c r="E57" s="993" t="s">
        <v>125</v>
      </c>
      <c r="F57" s="1001" t="s">
        <v>517</v>
      </c>
      <c r="G57" s="1006"/>
      <c r="H57" s="1007"/>
      <c r="I57" s="1006"/>
      <c r="J57" s="1007"/>
    </row>
    <row r="58" spans="2:10" s="74" customFormat="1">
      <c r="B58" s="1000"/>
      <c r="C58" s="993"/>
      <c r="D58" s="993"/>
      <c r="E58" s="993" t="s">
        <v>126</v>
      </c>
      <c r="F58" s="1001" t="s">
        <v>517</v>
      </c>
      <c r="G58" s="1002"/>
      <c r="H58" s="1003"/>
      <c r="I58" s="1002"/>
      <c r="J58" s="1003">
        <v>0</v>
      </c>
    </row>
    <row r="59" spans="2:10" s="74" customFormat="1">
      <c r="B59" s="1000"/>
      <c r="C59" s="993"/>
      <c r="D59" s="993"/>
      <c r="E59" s="993" t="s">
        <v>127</v>
      </c>
      <c r="F59" s="1001" t="s">
        <v>517</v>
      </c>
      <c r="G59" s="1002"/>
      <c r="H59" s="1003"/>
      <c r="I59" s="1002"/>
      <c r="J59" s="1003">
        <v>0</v>
      </c>
    </row>
    <row r="60" spans="2:10" s="74" customFormat="1">
      <c r="B60" s="1000"/>
      <c r="C60" s="993"/>
      <c r="D60" s="992"/>
      <c r="E60" s="993" t="s">
        <v>128</v>
      </c>
      <c r="F60" s="1001" t="s">
        <v>517</v>
      </c>
      <c r="G60" s="1002"/>
      <c r="H60" s="1003"/>
      <c r="I60" s="1002"/>
      <c r="J60" s="1003">
        <v>0</v>
      </c>
    </row>
    <row r="61" spans="2:10" s="74" customFormat="1">
      <c r="B61" s="1000"/>
      <c r="C61" s="993"/>
      <c r="D61" s="992"/>
      <c r="E61" s="993" t="s">
        <v>129</v>
      </c>
      <c r="F61" s="1001" t="s">
        <v>517</v>
      </c>
      <c r="G61" s="1002"/>
      <c r="H61" s="1003"/>
      <c r="I61" s="1002"/>
      <c r="J61" s="1003">
        <v>0</v>
      </c>
    </row>
    <row r="62" spans="2:10" s="74" customFormat="1">
      <c r="B62" s="1000"/>
      <c r="C62" s="993"/>
      <c r="D62" s="992"/>
      <c r="E62" s="993" t="s">
        <v>130</v>
      </c>
      <c r="F62" s="1001" t="s">
        <v>517</v>
      </c>
      <c r="G62" s="1002"/>
      <c r="H62" s="1003"/>
      <c r="I62" s="1002"/>
      <c r="J62" s="1003">
        <v>0</v>
      </c>
    </row>
    <row r="63" spans="2:10" s="74" customFormat="1">
      <c r="B63" s="1000"/>
      <c r="C63" s="993"/>
      <c r="D63" s="992"/>
      <c r="E63" s="993" t="s">
        <v>131</v>
      </c>
      <c r="F63" s="1001" t="s">
        <v>517</v>
      </c>
      <c r="G63" s="1006"/>
      <c r="H63" s="1007"/>
      <c r="I63" s="1006"/>
      <c r="J63" s="1007"/>
    </row>
    <row r="64" spans="2:10" s="74" customFormat="1">
      <c r="B64" s="1000"/>
      <c r="C64" s="993"/>
      <c r="D64" s="992"/>
      <c r="E64" s="993" t="s">
        <v>132</v>
      </c>
      <c r="F64" s="1001" t="s">
        <v>517</v>
      </c>
      <c r="G64" s="1006"/>
      <c r="H64" s="1007"/>
      <c r="I64" s="1006"/>
      <c r="J64" s="1007"/>
    </row>
    <row r="65" spans="2:10" s="74" customFormat="1">
      <c r="B65" s="1000"/>
      <c r="C65" s="993"/>
      <c r="D65" s="992"/>
      <c r="E65" s="993"/>
      <c r="F65" s="1016"/>
      <c r="G65" s="1004"/>
      <c r="H65" s="1005"/>
      <c r="I65" s="1004"/>
      <c r="J65" s="1005"/>
    </row>
    <row r="66" spans="2:10" s="74" customFormat="1">
      <c r="B66" s="1000"/>
      <c r="C66" s="993"/>
      <c r="D66" s="992" t="s">
        <v>133</v>
      </c>
      <c r="E66" s="993"/>
      <c r="F66" s="1016"/>
      <c r="G66" s="1004"/>
      <c r="H66" s="1005"/>
      <c r="I66" s="1004"/>
      <c r="J66" s="1005"/>
    </row>
    <row r="67" spans="2:10" s="74" customFormat="1">
      <c r="B67" s="1000"/>
      <c r="C67" s="993"/>
      <c r="D67" s="992"/>
      <c r="E67" s="993" t="s">
        <v>134</v>
      </c>
      <c r="F67" s="1001" t="s">
        <v>517</v>
      </c>
      <c r="G67" s="1002"/>
      <c r="H67" s="1003"/>
      <c r="I67" s="1002"/>
      <c r="J67" s="1003">
        <v>3.68691204495597</v>
      </c>
    </row>
    <row r="68" spans="2:10" s="74" customFormat="1">
      <c r="B68" s="1000"/>
      <c r="C68" s="993"/>
      <c r="D68" s="992"/>
      <c r="E68" s="993" t="s">
        <v>135</v>
      </c>
      <c r="F68" s="1001" t="s">
        <v>517</v>
      </c>
      <c r="G68" s="1002"/>
      <c r="H68" s="1003"/>
      <c r="I68" s="1002"/>
      <c r="J68" s="1003">
        <v>11.950680421581421</v>
      </c>
    </row>
    <row r="69" spans="2:10" s="74" customFormat="1">
      <c r="B69" s="1000"/>
      <c r="C69" s="993"/>
      <c r="D69" s="992"/>
      <c r="E69" s="993" t="s">
        <v>136</v>
      </c>
      <c r="F69" s="1001" t="s">
        <v>517</v>
      </c>
      <c r="G69" s="1002"/>
      <c r="H69" s="1003"/>
      <c r="I69" s="1002"/>
      <c r="J69" s="1003">
        <v>0</v>
      </c>
    </row>
    <row r="70" spans="2:10" s="74" customFormat="1">
      <c r="B70" s="1000"/>
      <c r="C70" s="993"/>
      <c r="D70" s="992"/>
      <c r="E70" s="993" t="s">
        <v>137</v>
      </c>
      <c r="F70" s="1001" t="s">
        <v>517</v>
      </c>
      <c r="G70" s="1002"/>
      <c r="H70" s="1003"/>
      <c r="I70" s="1002"/>
      <c r="J70" s="1003">
        <v>0</v>
      </c>
    </row>
    <row r="71" spans="2:10" s="74" customFormat="1" ht="13.5" thickBot="1">
      <c r="B71" s="1008"/>
      <c r="C71" s="1009"/>
      <c r="D71" s="1009"/>
      <c r="E71" s="1009"/>
      <c r="F71" s="1010"/>
      <c r="G71" s="1011"/>
      <c r="H71" s="1012"/>
      <c r="I71" s="1011"/>
      <c r="J71" s="1012"/>
    </row>
    <row r="72" spans="2:10" s="74" customFormat="1">
      <c r="B72" s="1013"/>
      <c r="C72" s="1014" t="s">
        <v>138</v>
      </c>
      <c r="D72" s="1014"/>
      <c r="E72" s="1015"/>
      <c r="F72" s="1016"/>
      <c r="G72" s="1004"/>
      <c r="H72" s="1005"/>
      <c r="I72" s="1004"/>
      <c r="J72" s="1005"/>
    </row>
    <row r="73" spans="2:10" s="74" customFormat="1">
      <c r="B73" s="1000"/>
      <c r="C73" s="993"/>
      <c r="D73" s="992" t="s">
        <v>429</v>
      </c>
      <c r="E73" s="993"/>
      <c r="F73" s="1001"/>
      <c r="G73" s="1004"/>
      <c r="H73" s="1005"/>
      <c r="I73" s="1004"/>
      <c r="J73" s="1005"/>
    </row>
    <row r="74" spans="2:10" s="74" customFormat="1">
      <c r="B74" s="1000"/>
      <c r="C74" s="993"/>
      <c r="D74" s="993"/>
      <c r="E74" s="993" t="s">
        <v>139</v>
      </c>
      <c r="F74" s="1001" t="s">
        <v>516</v>
      </c>
      <c r="G74" s="1002"/>
      <c r="H74" s="1003"/>
      <c r="I74" s="1002"/>
      <c r="J74" s="1003">
        <v>98.402411130893839</v>
      </c>
    </row>
    <row r="75" spans="2:10" s="74" customFormat="1">
      <c r="B75" s="1000"/>
      <c r="C75" s="993"/>
      <c r="D75" s="992"/>
      <c r="E75" s="993" t="s">
        <v>140</v>
      </c>
      <c r="F75" s="1001" t="s">
        <v>516</v>
      </c>
      <c r="G75" s="1002"/>
      <c r="H75" s="1003"/>
      <c r="I75" s="1002"/>
      <c r="J75" s="1003">
        <v>156.75732935967969</v>
      </c>
    </row>
    <row r="76" spans="2:10" s="74" customFormat="1">
      <c r="B76" s="1000"/>
      <c r="C76" s="993"/>
      <c r="D76" s="992"/>
      <c r="E76" s="993" t="s">
        <v>141</v>
      </c>
      <c r="F76" s="1001" t="s">
        <v>516</v>
      </c>
      <c r="G76" s="1002"/>
      <c r="H76" s="1003"/>
      <c r="I76" s="1002"/>
      <c r="J76" s="1003">
        <v>185.61695122881781</v>
      </c>
    </row>
    <row r="77" spans="2:10" s="74" customFormat="1">
      <c r="B77" s="1000"/>
      <c r="C77" s="993"/>
      <c r="D77" s="992"/>
      <c r="E77" s="993" t="s">
        <v>142</v>
      </c>
      <c r="F77" s="1001" t="s">
        <v>516</v>
      </c>
      <c r="G77" s="1002"/>
      <c r="H77" s="1003"/>
      <c r="I77" s="1002"/>
      <c r="J77" s="1003">
        <v>185.61695122881781</v>
      </c>
    </row>
    <row r="78" spans="2:10" s="74" customFormat="1">
      <c r="B78" s="1000"/>
      <c r="C78" s="993"/>
      <c r="D78" s="992"/>
      <c r="E78" s="993"/>
      <c r="F78" s="1001"/>
      <c r="G78" s="1004"/>
      <c r="H78" s="1005"/>
      <c r="I78" s="1004"/>
      <c r="J78" s="1005"/>
    </row>
    <row r="79" spans="2:10" s="74" customFormat="1">
      <c r="B79" s="1000"/>
      <c r="C79" s="993"/>
      <c r="D79" s="992" t="s">
        <v>93</v>
      </c>
      <c r="E79" s="993"/>
      <c r="F79" s="1001"/>
      <c r="G79" s="1004"/>
      <c r="H79" s="1005"/>
      <c r="I79" s="1004"/>
      <c r="J79" s="1005"/>
    </row>
    <row r="80" spans="2:10" s="74" customFormat="1">
      <c r="B80" s="1000"/>
      <c r="C80" s="993"/>
      <c r="D80" s="993"/>
      <c r="E80" s="993" t="s">
        <v>143</v>
      </c>
      <c r="F80" s="1001" t="s">
        <v>517</v>
      </c>
      <c r="G80" s="1002"/>
      <c r="H80" s="1003"/>
      <c r="I80" s="1002"/>
      <c r="J80" s="1003">
        <v>0</v>
      </c>
    </row>
    <row r="81" spans="2:10" s="74" customFormat="1">
      <c r="B81" s="1000"/>
      <c r="C81" s="993"/>
      <c r="D81" s="993"/>
      <c r="E81" s="993" t="s">
        <v>144</v>
      </c>
      <c r="F81" s="1001" t="s">
        <v>517</v>
      </c>
      <c r="G81" s="1002"/>
      <c r="H81" s="1003"/>
      <c r="I81" s="1002"/>
      <c r="J81" s="1003">
        <v>0</v>
      </c>
    </row>
    <row r="82" spans="2:10" s="74" customFormat="1">
      <c r="B82" s="1000"/>
      <c r="C82" s="993"/>
      <c r="D82" s="992"/>
      <c r="E82" s="993" t="s">
        <v>145</v>
      </c>
      <c r="F82" s="1001" t="s">
        <v>517</v>
      </c>
      <c r="G82" s="1002"/>
      <c r="H82" s="1003"/>
      <c r="I82" s="1002"/>
      <c r="J82" s="1003">
        <v>0</v>
      </c>
    </row>
    <row r="83" spans="2:10" s="74" customFormat="1">
      <c r="B83" s="1000"/>
      <c r="C83" s="993"/>
      <c r="D83" s="992"/>
      <c r="E83" s="993" t="s">
        <v>146</v>
      </c>
      <c r="F83" s="1001" t="s">
        <v>517</v>
      </c>
      <c r="G83" s="1002"/>
      <c r="H83" s="1003"/>
      <c r="I83" s="1002"/>
      <c r="J83" s="1003">
        <v>0</v>
      </c>
    </row>
    <row r="84" spans="2:10" s="74" customFormat="1">
      <c r="B84" s="1000"/>
      <c r="C84" s="993"/>
      <c r="D84" s="993"/>
      <c r="E84" s="993"/>
      <c r="F84" s="1001"/>
      <c r="G84" s="1004"/>
      <c r="H84" s="1005"/>
      <c r="I84" s="1004"/>
      <c r="J84" s="1005"/>
    </row>
    <row r="85" spans="2:10" s="74" customFormat="1">
      <c r="B85" s="991"/>
      <c r="C85" s="993"/>
      <c r="D85" s="992" t="s">
        <v>114</v>
      </c>
      <c r="E85" s="993"/>
      <c r="F85" s="1001"/>
      <c r="G85" s="1004"/>
      <c r="H85" s="1005"/>
      <c r="I85" s="1004"/>
      <c r="J85" s="1005"/>
    </row>
    <row r="86" spans="2:10" s="74" customFormat="1">
      <c r="B86" s="991"/>
      <c r="C86" s="993"/>
      <c r="D86" s="992"/>
      <c r="E86" s="993" t="s">
        <v>147</v>
      </c>
      <c r="F86" s="1001" t="s">
        <v>516</v>
      </c>
      <c r="G86" s="1002"/>
      <c r="H86" s="1003"/>
      <c r="I86" s="1002"/>
      <c r="J86" s="1003">
        <v>257.06676396210247</v>
      </c>
    </row>
    <row r="87" spans="2:10" s="74" customFormat="1">
      <c r="B87" s="991"/>
      <c r="C87" s="993"/>
      <c r="D87" s="992"/>
      <c r="E87" s="993" t="s">
        <v>148</v>
      </c>
      <c r="F87" s="1001" t="s">
        <v>516</v>
      </c>
      <c r="G87" s="1002"/>
      <c r="H87" s="1003"/>
      <c r="I87" s="1002"/>
      <c r="J87" s="1003">
        <v>257.06676396210247</v>
      </c>
    </row>
    <row r="88" spans="2:10" s="74" customFormat="1">
      <c r="B88" s="991"/>
      <c r="C88" s="993"/>
      <c r="D88" s="992"/>
      <c r="E88" s="993" t="s">
        <v>149</v>
      </c>
      <c r="F88" s="1001" t="s">
        <v>516</v>
      </c>
      <c r="G88" s="1002"/>
      <c r="H88" s="1003"/>
      <c r="I88" s="1002"/>
      <c r="J88" s="1003">
        <v>0</v>
      </c>
    </row>
    <row r="89" spans="2:10" s="74" customFormat="1">
      <c r="B89" s="991"/>
      <c r="C89" s="993"/>
      <c r="D89" s="992"/>
      <c r="E89" s="993" t="s">
        <v>150</v>
      </c>
      <c r="F89" s="1001" t="s">
        <v>516</v>
      </c>
      <c r="G89" s="1002"/>
      <c r="H89" s="1003"/>
      <c r="I89" s="1002"/>
      <c r="J89" s="1003">
        <v>1206.5101829873158</v>
      </c>
    </row>
    <row r="90" spans="2:10" s="74" customFormat="1">
      <c r="B90" s="991"/>
      <c r="C90" s="993"/>
      <c r="D90" s="992"/>
      <c r="E90" s="993" t="s">
        <v>151</v>
      </c>
      <c r="F90" s="1001" t="s">
        <v>516</v>
      </c>
      <c r="G90" s="1002"/>
      <c r="H90" s="1003"/>
      <c r="I90" s="1002"/>
      <c r="J90" s="1003">
        <v>1206.5101829873158</v>
      </c>
    </row>
    <row r="91" spans="2:10" s="74" customFormat="1">
      <c r="B91" s="991"/>
      <c r="C91" s="993"/>
      <c r="D91" s="992"/>
      <c r="E91" s="993" t="s">
        <v>152</v>
      </c>
      <c r="F91" s="1001" t="s">
        <v>516</v>
      </c>
      <c r="G91" s="1002"/>
      <c r="H91" s="1003"/>
      <c r="I91" s="1002"/>
      <c r="J91" s="1003">
        <v>0</v>
      </c>
    </row>
    <row r="92" spans="2:10" s="74" customFormat="1">
      <c r="B92" s="991"/>
      <c r="C92" s="993"/>
      <c r="D92" s="993"/>
      <c r="E92" s="993"/>
      <c r="F92" s="1001"/>
      <c r="G92" s="1004"/>
      <c r="H92" s="1005"/>
      <c r="I92" s="1004"/>
      <c r="J92" s="1005"/>
    </row>
    <row r="93" spans="2:10" s="74" customFormat="1">
      <c r="B93" s="991"/>
      <c r="C93" s="993"/>
      <c r="D93" s="992" t="s">
        <v>117</v>
      </c>
      <c r="E93" s="993"/>
      <c r="F93" s="1001"/>
      <c r="G93" s="1004"/>
      <c r="H93" s="1005"/>
      <c r="I93" s="1004"/>
      <c r="J93" s="1005"/>
    </row>
    <row r="94" spans="2:10" s="74" customFormat="1">
      <c r="B94" s="991"/>
      <c r="C94" s="993"/>
      <c r="D94" s="993"/>
      <c r="E94" s="993" t="s">
        <v>153</v>
      </c>
      <c r="F94" s="1001" t="s">
        <v>516</v>
      </c>
      <c r="G94" s="1002"/>
      <c r="H94" s="1003"/>
      <c r="I94" s="1002"/>
      <c r="J94" s="1003">
        <v>0</v>
      </c>
    </row>
    <row r="95" spans="2:10" s="74" customFormat="1">
      <c r="B95" s="991"/>
      <c r="C95" s="993"/>
      <c r="D95" s="992"/>
      <c r="E95" s="993"/>
      <c r="F95" s="1001"/>
      <c r="G95" s="1004"/>
      <c r="H95" s="1005"/>
      <c r="I95" s="1004"/>
      <c r="J95" s="1005"/>
    </row>
    <row r="96" spans="2:10" s="74" customFormat="1">
      <c r="B96" s="991"/>
      <c r="C96" s="993"/>
      <c r="D96" s="992" t="s">
        <v>100</v>
      </c>
      <c r="E96" s="993"/>
      <c r="F96" s="1001"/>
      <c r="G96" s="1004"/>
      <c r="H96" s="1005"/>
      <c r="I96" s="1004"/>
      <c r="J96" s="1005"/>
    </row>
    <row r="97" spans="2:10" s="74" customFormat="1">
      <c r="B97" s="991"/>
      <c r="C97" s="993"/>
      <c r="D97" s="992"/>
      <c r="E97" s="1015" t="s">
        <v>154</v>
      </c>
      <c r="F97" s="1001" t="s">
        <v>517</v>
      </c>
      <c r="G97" s="1002"/>
      <c r="H97" s="1003"/>
      <c r="I97" s="1002"/>
      <c r="J97" s="1003">
        <v>184.98127673830817</v>
      </c>
    </row>
    <row r="98" spans="2:10" s="74" customFormat="1">
      <c r="B98" s="991"/>
      <c r="C98" s="993"/>
      <c r="D98" s="992"/>
      <c r="E98" s="1015" t="s">
        <v>155</v>
      </c>
      <c r="F98" s="1001" t="s">
        <v>517</v>
      </c>
      <c r="G98" s="1002"/>
      <c r="H98" s="1003"/>
      <c r="I98" s="1002"/>
      <c r="J98" s="1003">
        <v>184.98127673830817</v>
      </c>
    </row>
    <row r="99" spans="2:10" s="74" customFormat="1">
      <c r="B99" s="991"/>
      <c r="C99" s="993"/>
      <c r="D99" s="992"/>
      <c r="E99" s="1015" t="s">
        <v>156</v>
      </c>
      <c r="F99" s="1001" t="s">
        <v>517</v>
      </c>
      <c r="G99" s="1002"/>
      <c r="H99" s="1003"/>
      <c r="I99" s="1002"/>
      <c r="J99" s="1003">
        <v>0</v>
      </c>
    </row>
    <row r="100" spans="2:10" s="74" customFormat="1">
      <c r="B100" s="991"/>
      <c r="C100" s="993"/>
      <c r="D100" s="992"/>
      <c r="E100" s="1015" t="s">
        <v>157</v>
      </c>
      <c r="F100" s="1001" t="s">
        <v>517</v>
      </c>
      <c r="G100" s="1002"/>
      <c r="H100" s="1003"/>
      <c r="I100" s="1002"/>
      <c r="J100" s="1003">
        <v>0</v>
      </c>
    </row>
    <row r="101" spans="2:10" s="74" customFormat="1">
      <c r="B101" s="991"/>
      <c r="C101" s="993"/>
      <c r="D101" s="992"/>
      <c r="E101" s="1015" t="s">
        <v>158</v>
      </c>
      <c r="F101" s="1001" t="s">
        <v>517</v>
      </c>
      <c r="G101" s="1002"/>
      <c r="H101" s="1003"/>
      <c r="I101" s="1002"/>
      <c r="J101" s="1003">
        <v>588.50744331383407</v>
      </c>
    </row>
    <row r="102" spans="2:10" s="74" customFormat="1">
      <c r="B102" s="991"/>
      <c r="C102" s="993"/>
      <c r="D102" s="992"/>
      <c r="E102" s="1015" t="s">
        <v>159</v>
      </c>
      <c r="F102" s="1001" t="s">
        <v>517</v>
      </c>
      <c r="G102" s="1006"/>
      <c r="H102" s="1007"/>
      <c r="I102" s="1006"/>
      <c r="J102" s="1007"/>
    </row>
    <row r="103" spans="2:10" s="74" customFormat="1">
      <c r="B103" s="991"/>
      <c r="C103" s="993"/>
      <c r="D103" s="992"/>
      <c r="E103" s="1015" t="s">
        <v>160</v>
      </c>
      <c r="F103" s="1001" t="s">
        <v>517</v>
      </c>
      <c r="G103" s="1002"/>
      <c r="H103" s="1003"/>
      <c r="I103" s="1002"/>
      <c r="J103" s="1003">
        <v>697.84345568149388</v>
      </c>
    </row>
    <row r="104" spans="2:10" s="74" customFormat="1">
      <c r="B104" s="991"/>
      <c r="C104" s="993"/>
      <c r="D104" s="992"/>
      <c r="E104" s="1015" t="s">
        <v>161</v>
      </c>
      <c r="F104" s="1001" t="s">
        <v>517</v>
      </c>
      <c r="G104" s="1006"/>
      <c r="H104" s="1007"/>
      <c r="I104" s="1006"/>
      <c r="J104" s="1007"/>
    </row>
    <row r="105" spans="2:10" s="74" customFormat="1">
      <c r="B105" s="991"/>
      <c r="C105" s="993"/>
      <c r="D105" s="992"/>
      <c r="E105" s="993"/>
      <c r="F105" s="1001"/>
      <c r="G105" s="1004"/>
      <c r="H105" s="1005"/>
      <c r="I105" s="1004"/>
      <c r="J105" s="1005"/>
    </row>
    <row r="106" spans="2:10" s="74" customFormat="1">
      <c r="B106" s="991"/>
      <c r="C106" s="993"/>
      <c r="D106" s="992" t="s">
        <v>133</v>
      </c>
      <c r="E106" s="993"/>
      <c r="F106" s="1001"/>
      <c r="G106" s="1004"/>
      <c r="H106" s="1005"/>
      <c r="I106" s="1004"/>
      <c r="J106" s="1005"/>
    </row>
    <row r="107" spans="2:10" s="74" customFormat="1">
      <c r="B107" s="991"/>
      <c r="C107" s="993"/>
      <c r="D107" s="993"/>
      <c r="E107" s="1015" t="s">
        <v>162</v>
      </c>
      <c r="F107" s="1001" t="s">
        <v>517</v>
      </c>
      <c r="G107" s="1002"/>
      <c r="H107" s="1003"/>
      <c r="I107" s="1002"/>
      <c r="J107" s="1003">
        <v>532.56808814898477</v>
      </c>
    </row>
    <row r="108" spans="2:10" s="74" customFormat="1">
      <c r="B108" s="991"/>
      <c r="C108" s="993"/>
      <c r="D108" s="993"/>
      <c r="E108" s="1015" t="s">
        <v>163</v>
      </c>
      <c r="F108" s="1001" t="s">
        <v>517</v>
      </c>
      <c r="G108" s="1002"/>
      <c r="H108" s="1003"/>
      <c r="I108" s="1002"/>
      <c r="J108" s="1003">
        <v>571.97990656058312</v>
      </c>
    </row>
    <row r="109" spans="2:10" s="74" customFormat="1">
      <c r="B109" s="991"/>
      <c r="C109" s="993"/>
      <c r="D109" s="993"/>
      <c r="E109" s="993" t="s">
        <v>164</v>
      </c>
      <c r="F109" s="1001" t="s">
        <v>517</v>
      </c>
      <c r="G109" s="1006"/>
      <c r="H109" s="1007"/>
      <c r="I109" s="1006"/>
      <c r="J109" s="1007"/>
    </row>
    <row r="110" spans="2:10" s="74" customFormat="1">
      <c r="B110" s="991"/>
      <c r="C110" s="993"/>
      <c r="D110" s="993"/>
      <c r="E110" s="1015" t="s">
        <v>165</v>
      </c>
      <c r="F110" s="1001" t="s">
        <v>517</v>
      </c>
      <c r="G110" s="1002"/>
      <c r="H110" s="1003"/>
      <c r="I110" s="1002"/>
      <c r="J110" s="1003">
        <v>2234.9043737338279</v>
      </c>
    </row>
    <row r="111" spans="2:10" s="74" customFormat="1">
      <c r="B111" s="991"/>
      <c r="C111" s="993"/>
      <c r="D111" s="992"/>
      <c r="E111" s="993" t="s">
        <v>166</v>
      </c>
      <c r="F111" s="1001" t="s">
        <v>517</v>
      </c>
      <c r="G111" s="1006"/>
      <c r="H111" s="1007"/>
      <c r="I111" s="1006"/>
      <c r="J111" s="1007"/>
    </row>
    <row r="112" spans="2:10" s="74" customFormat="1" ht="13.5" thickBot="1">
      <c r="B112" s="1008"/>
      <c r="C112" s="1009"/>
      <c r="D112" s="1009"/>
      <c r="E112" s="1009"/>
      <c r="F112" s="1010"/>
      <c r="G112" s="1017"/>
      <c r="H112" s="1018"/>
      <c r="I112" s="1017"/>
      <c r="J112" s="1018"/>
    </row>
    <row r="113" spans="2:10" s="74" customFormat="1">
      <c r="B113" s="1013"/>
      <c r="C113" s="1014" t="s">
        <v>167</v>
      </c>
      <c r="D113" s="1014"/>
      <c r="E113" s="1015"/>
      <c r="F113" s="1016"/>
      <c r="G113" s="1004"/>
      <c r="H113" s="1005"/>
      <c r="I113" s="1004"/>
      <c r="J113" s="1005"/>
    </row>
    <row r="114" spans="2:10" s="74" customFormat="1">
      <c r="B114" s="991"/>
      <c r="C114" s="993"/>
      <c r="D114" s="992" t="s">
        <v>429</v>
      </c>
      <c r="E114" s="993"/>
      <c r="F114" s="1001"/>
      <c r="G114" s="1004"/>
      <c r="H114" s="1005"/>
      <c r="I114" s="1004"/>
      <c r="J114" s="1005"/>
    </row>
    <row r="115" spans="2:10" s="74" customFormat="1">
      <c r="B115" s="991"/>
      <c r="C115" s="993"/>
      <c r="D115" s="992"/>
      <c r="E115" s="993" t="s">
        <v>168</v>
      </c>
      <c r="F115" s="1001" t="s">
        <v>516</v>
      </c>
      <c r="G115" s="1002"/>
      <c r="H115" s="1003"/>
      <c r="I115" s="1002"/>
      <c r="J115" s="1003">
        <v>714.87953202715244</v>
      </c>
    </row>
    <row r="116" spans="2:10" s="74" customFormat="1">
      <c r="B116" s="991"/>
      <c r="C116" s="993"/>
      <c r="D116" s="992"/>
      <c r="E116" s="993" t="s">
        <v>169</v>
      </c>
      <c r="F116" s="1001" t="s">
        <v>516</v>
      </c>
      <c r="G116" s="1002"/>
      <c r="H116" s="1003"/>
      <c r="I116" s="1002"/>
      <c r="J116" s="1003">
        <v>1228.5045203589498</v>
      </c>
    </row>
    <row r="117" spans="2:10" s="74" customFormat="1">
      <c r="B117" s="991"/>
      <c r="C117" s="993"/>
      <c r="D117" s="992"/>
      <c r="E117" s="1015"/>
      <c r="F117" s="1001"/>
      <c r="G117" s="1004"/>
      <c r="H117" s="1005"/>
      <c r="I117" s="1004"/>
      <c r="J117" s="1005"/>
    </row>
    <row r="118" spans="2:10" s="74" customFormat="1">
      <c r="B118" s="991"/>
      <c r="C118" s="993"/>
      <c r="D118" s="992" t="s">
        <v>93</v>
      </c>
      <c r="E118" s="993"/>
      <c r="F118" s="1016"/>
      <c r="G118" s="1004"/>
      <c r="H118" s="1005"/>
      <c r="I118" s="1004"/>
      <c r="J118" s="1005"/>
    </row>
    <row r="119" spans="2:10" s="74" customFormat="1">
      <c r="B119" s="991"/>
      <c r="C119" s="993"/>
      <c r="D119" s="992"/>
      <c r="E119" s="993" t="s">
        <v>170</v>
      </c>
      <c r="F119" s="1001" t="s">
        <v>517</v>
      </c>
      <c r="G119" s="1002"/>
      <c r="H119" s="1003"/>
      <c r="I119" s="1002"/>
      <c r="J119" s="1003">
        <v>0</v>
      </c>
    </row>
    <row r="120" spans="2:10" s="74" customFormat="1">
      <c r="B120" s="991"/>
      <c r="C120" s="993"/>
      <c r="D120" s="992"/>
      <c r="E120" s="993" t="s">
        <v>171</v>
      </c>
      <c r="F120" s="1001" t="s">
        <v>517</v>
      </c>
      <c r="G120" s="1002"/>
      <c r="H120" s="1003"/>
      <c r="I120" s="1002"/>
      <c r="J120" s="1003">
        <v>0</v>
      </c>
    </row>
    <row r="121" spans="2:10" s="74" customFormat="1">
      <c r="B121" s="991"/>
      <c r="C121" s="993"/>
      <c r="D121" s="992"/>
      <c r="E121" s="1015" t="s">
        <v>172</v>
      </c>
      <c r="F121" s="1001" t="s">
        <v>517</v>
      </c>
      <c r="G121" s="1002"/>
      <c r="H121" s="1003"/>
      <c r="I121" s="1002"/>
      <c r="J121" s="1003">
        <v>0</v>
      </c>
    </row>
    <row r="122" spans="2:10" s="74" customFormat="1">
      <c r="B122" s="991"/>
      <c r="C122" s="993"/>
      <c r="D122" s="993"/>
      <c r="E122" s="993"/>
      <c r="F122" s="1001"/>
      <c r="G122" s="1004"/>
      <c r="H122" s="1005"/>
      <c r="I122" s="1004"/>
      <c r="J122" s="1005"/>
    </row>
    <row r="123" spans="2:10" s="74" customFormat="1">
      <c r="B123" s="991"/>
      <c r="C123" s="993"/>
      <c r="D123" s="992" t="s">
        <v>114</v>
      </c>
      <c r="E123" s="993"/>
      <c r="F123" s="1016"/>
      <c r="G123" s="1004"/>
      <c r="H123" s="1005"/>
      <c r="I123" s="1004"/>
      <c r="J123" s="1005"/>
    </row>
    <row r="124" spans="2:10" s="74" customFormat="1">
      <c r="B124" s="991"/>
      <c r="C124" s="993"/>
      <c r="D124" s="993"/>
      <c r="E124" s="993" t="s">
        <v>173</v>
      </c>
      <c r="F124" s="1001" t="s">
        <v>516</v>
      </c>
      <c r="G124" s="1002"/>
      <c r="H124" s="1003"/>
      <c r="I124" s="1002"/>
      <c r="J124" s="1003">
        <v>1239.5652564938177</v>
      </c>
    </row>
    <row r="125" spans="2:10" s="74" customFormat="1">
      <c r="B125" s="991"/>
      <c r="C125" s="993"/>
      <c r="D125" s="993"/>
      <c r="E125" s="993" t="s">
        <v>174</v>
      </c>
      <c r="F125" s="1001" t="s">
        <v>516</v>
      </c>
      <c r="G125" s="1002"/>
      <c r="H125" s="1003"/>
      <c r="I125" s="1002"/>
      <c r="J125" s="1003">
        <v>1239.5652564938177</v>
      </c>
    </row>
    <row r="126" spans="2:10" s="74" customFormat="1">
      <c r="B126" s="991"/>
      <c r="C126" s="993"/>
      <c r="D126" s="993"/>
      <c r="E126" s="993" t="s">
        <v>175</v>
      </c>
      <c r="F126" s="1001" t="s">
        <v>516</v>
      </c>
      <c r="G126" s="1002"/>
      <c r="H126" s="1003"/>
      <c r="I126" s="1002"/>
      <c r="J126" s="1003">
        <v>0</v>
      </c>
    </row>
    <row r="127" spans="2:10" s="74" customFormat="1">
      <c r="B127" s="991"/>
      <c r="C127" s="993"/>
      <c r="D127" s="993"/>
      <c r="E127" s="993"/>
      <c r="F127" s="997"/>
      <c r="G127" s="1004"/>
      <c r="H127" s="1005"/>
      <c r="I127" s="1004"/>
      <c r="J127" s="1005"/>
    </row>
    <row r="128" spans="2:10" s="74" customFormat="1">
      <c r="B128" s="991"/>
      <c r="C128" s="993"/>
      <c r="D128" s="992" t="s">
        <v>117</v>
      </c>
      <c r="E128" s="993"/>
      <c r="F128" s="997"/>
      <c r="G128" s="1004"/>
      <c r="H128" s="1005"/>
      <c r="I128" s="1004"/>
      <c r="J128" s="1005"/>
    </row>
    <row r="129" spans="2:10" s="74" customFormat="1">
      <c r="B129" s="991"/>
      <c r="C129" s="993"/>
      <c r="D129" s="993"/>
      <c r="E129" s="1015" t="s">
        <v>176</v>
      </c>
      <c r="F129" s="1001" t="s">
        <v>516</v>
      </c>
      <c r="G129" s="1002"/>
      <c r="H129" s="1003"/>
      <c r="I129" s="1002"/>
      <c r="J129" s="1003">
        <v>0</v>
      </c>
    </row>
    <row r="130" spans="2:10" s="74" customFormat="1">
      <c r="B130" s="991"/>
      <c r="C130" s="993"/>
      <c r="D130" s="993"/>
      <c r="E130" s="993"/>
      <c r="F130" s="997"/>
      <c r="G130" s="1004"/>
      <c r="H130" s="1005"/>
      <c r="I130" s="1004"/>
      <c r="J130" s="1005"/>
    </row>
    <row r="131" spans="2:10" s="74" customFormat="1">
      <c r="B131" s="991"/>
      <c r="C131" s="993"/>
      <c r="D131" s="992" t="s">
        <v>100</v>
      </c>
      <c r="E131" s="993"/>
      <c r="F131" s="997"/>
      <c r="G131" s="1004"/>
      <c r="H131" s="1005"/>
      <c r="I131" s="1004"/>
      <c r="J131" s="1005"/>
    </row>
    <row r="132" spans="2:10" s="74" customFormat="1">
      <c r="B132" s="991"/>
      <c r="C132" s="993"/>
      <c r="D132" s="993"/>
      <c r="E132" s="993" t="s">
        <v>177</v>
      </c>
      <c r="F132" s="1001" t="s">
        <v>517</v>
      </c>
      <c r="G132" s="1002"/>
      <c r="H132" s="1003"/>
      <c r="I132" s="1002"/>
      <c r="J132" s="1003">
        <v>1106.4550181810969</v>
      </c>
    </row>
    <row r="133" spans="2:10" s="74" customFormat="1">
      <c r="B133" s="991"/>
      <c r="C133" s="993"/>
      <c r="D133" s="993"/>
      <c r="E133" s="993" t="s">
        <v>178</v>
      </c>
      <c r="F133" s="1001" t="s">
        <v>517</v>
      </c>
      <c r="G133" s="1006"/>
      <c r="H133" s="1007"/>
      <c r="I133" s="1006"/>
      <c r="J133" s="1007"/>
    </row>
    <row r="134" spans="2:10" s="74" customFormat="1">
      <c r="B134" s="991"/>
      <c r="C134" s="993"/>
      <c r="D134" s="993"/>
      <c r="E134" s="993"/>
      <c r="F134" s="997"/>
      <c r="G134" s="1004"/>
      <c r="H134" s="1005"/>
      <c r="I134" s="1004"/>
      <c r="J134" s="1005"/>
    </row>
    <row r="135" spans="2:10" s="74" customFormat="1">
      <c r="B135" s="991"/>
      <c r="C135" s="993"/>
      <c r="D135" s="992" t="s">
        <v>133</v>
      </c>
      <c r="E135" s="993"/>
      <c r="F135" s="1001"/>
      <c r="G135" s="1004"/>
      <c r="H135" s="1005"/>
      <c r="I135" s="1004"/>
      <c r="J135" s="1005"/>
    </row>
    <row r="136" spans="2:10" s="74" customFormat="1">
      <c r="B136" s="991"/>
      <c r="C136" s="993"/>
      <c r="D136" s="993"/>
      <c r="E136" s="1015" t="s">
        <v>179</v>
      </c>
      <c r="F136" s="1001" t="s">
        <v>517</v>
      </c>
      <c r="G136" s="1002"/>
      <c r="H136" s="1003"/>
      <c r="I136" s="1002"/>
      <c r="J136" s="1003">
        <v>2234.9043737338279</v>
      </c>
    </row>
    <row r="137" spans="2:10" s="74" customFormat="1">
      <c r="B137" s="991"/>
      <c r="C137" s="993"/>
      <c r="D137" s="993"/>
      <c r="E137" s="1015" t="s">
        <v>180</v>
      </c>
      <c r="F137" s="1001" t="s">
        <v>517</v>
      </c>
      <c r="G137" s="1006"/>
      <c r="H137" s="1007"/>
      <c r="I137" s="1006"/>
      <c r="J137" s="1007"/>
    </row>
    <row r="138" spans="2:10" s="74" customFormat="1" ht="13.5" thickBot="1">
      <c r="B138" s="1008"/>
      <c r="C138" s="1009"/>
      <c r="D138" s="1009"/>
      <c r="E138" s="1009"/>
      <c r="F138" s="1010"/>
      <c r="G138" s="1017"/>
      <c r="H138" s="1018"/>
      <c r="I138" s="1017"/>
      <c r="J138" s="1018"/>
    </row>
    <row r="139" spans="2:10" s="74" customFormat="1">
      <c r="B139" s="1013"/>
      <c r="C139" s="1014" t="s">
        <v>181</v>
      </c>
      <c r="D139" s="1014"/>
      <c r="E139" s="1015"/>
      <c r="F139" s="1016"/>
      <c r="G139" s="1004"/>
      <c r="H139" s="1005"/>
      <c r="I139" s="1004"/>
      <c r="J139" s="1005"/>
    </row>
    <row r="140" spans="2:10" s="74" customFormat="1">
      <c r="B140" s="991"/>
      <c r="C140" s="993"/>
      <c r="D140" s="992" t="s">
        <v>182</v>
      </c>
      <c r="E140" s="993"/>
      <c r="F140" s="1001"/>
      <c r="G140" s="1004"/>
      <c r="H140" s="1005"/>
      <c r="I140" s="1004"/>
      <c r="J140" s="1005"/>
    </row>
    <row r="141" spans="2:10" s="74" customFormat="1">
      <c r="B141" s="991"/>
      <c r="C141" s="993"/>
      <c r="D141" s="993"/>
      <c r="E141" s="1015" t="s">
        <v>183</v>
      </c>
      <c r="F141" s="1001" t="s">
        <v>517</v>
      </c>
      <c r="G141" s="1006"/>
      <c r="H141" s="1007"/>
      <c r="I141" s="1006"/>
      <c r="J141" s="1007"/>
    </row>
    <row r="142" spans="2:10" s="74" customFormat="1">
      <c r="B142" s="991"/>
      <c r="C142" s="993"/>
      <c r="D142" s="993"/>
      <c r="E142" s="1015" t="s">
        <v>184</v>
      </c>
      <c r="F142" s="1001" t="s">
        <v>517</v>
      </c>
      <c r="G142" s="1006"/>
      <c r="H142" s="1007"/>
      <c r="I142" s="1006"/>
      <c r="J142" s="1007"/>
    </row>
    <row r="143" spans="2:10" s="74" customFormat="1">
      <c r="B143" s="991"/>
      <c r="C143" s="1015"/>
      <c r="D143" s="992"/>
      <c r="E143" s="993"/>
      <c r="F143" s="1001"/>
      <c r="G143" s="1004"/>
      <c r="H143" s="1005"/>
      <c r="I143" s="1004"/>
      <c r="J143" s="1005"/>
    </row>
    <row r="144" spans="2:10" s="74" customFormat="1">
      <c r="B144" s="991"/>
      <c r="C144" s="993"/>
      <c r="D144" s="992" t="s">
        <v>185</v>
      </c>
      <c r="E144" s="993"/>
      <c r="F144" s="1001"/>
      <c r="G144" s="1004"/>
      <c r="H144" s="1005"/>
      <c r="I144" s="1004"/>
      <c r="J144" s="1005"/>
    </row>
    <row r="145" spans="2:10" s="74" customFormat="1">
      <c r="B145" s="991"/>
      <c r="C145" s="993"/>
      <c r="D145" s="993"/>
      <c r="E145" s="1015" t="s">
        <v>186</v>
      </c>
      <c r="F145" s="1001" t="s">
        <v>517</v>
      </c>
      <c r="G145" s="1006"/>
      <c r="H145" s="1007"/>
      <c r="I145" s="1006"/>
      <c r="J145" s="1007"/>
    </row>
    <row r="146" spans="2:10" s="74" customFormat="1">
      <c r="B146" s="991"/>
      <c r="C146" s="993"/>
      <c r="D146" s="993"/>
      <c r="E146" s="1015" t="s">
        <v>187</v>
      </c>
      <c r="F146" s="1001" t="s">
        <v>517</v>
      </c>
      <c r="G146" s="1006"/>
      <c r="H146" s="1007"/>
      <c r="I146" s="1006"/>
      <c r="J146" s="1007"/>
    </row>
    <row r="147" spans="2:10" s="74" customFormat="1" ht="13.5" thickBot="1">
      <c r="B147" s="1008"/>
      <c r="C147" s="1009"/>
      <c r="D147" s="1009"/>
      <c r="E147" s="1009"/>
      <c r="F147" s="1010"/>
      <c r="G147" s="1019"/>
      <c r="H147" s="1020"/>
      <c r="I147" s="1019"/>
      <c r="J147" s="1021"/>
    </row>
    <row r="148" spans="2:10" s="74" customFormat="1" ht="13.5" thickBot="1">
      <c r="B148" s="1015"/>
      <c r="C148" s="1015"/>
      <c r="D148" s="1015"/>
      <c r="E148" s="1015"/>
      <c r="F148" s="1015"/>
      <c r="G148" s="748"/>
      <c r="H148" s="748"/>
      <c r="I148" s="748"/>
      <c r="J148" s="753"/>
    </row>
    <row r="149" spans="2:10" s="74" customFormat="1">
      <c r="B149" s="1022"/>
      <c r="C149" s="1014" t="s">
        <v>518</v>
      </c>
      <c r="D149" s="1014"/>
      <c r="E149" s="1023"/>
      <c r="F149" s="1024"/>
      <c r="G149" s="1025"/>
      <c r="H149" s="1026"/>
      <c r="I149" s="1025"/>
      <c r="J149" s="1026"/>
    </row>
    <row r="150" spans="2:10" s="74" customFormat="1">
      <c r="B150" s="1000"/>
      <c r="C150" s="993"/>
      <c r="D150" s="992"/>
      <c r="E150" s="992" t="s">
        <v>120</v>
      </c>
      <c r="F150" s="1001"/>
      <c r="G150" s="1027"/>
      <c r="H150" s="1028"/>
      <c r="I150" s="1027"/>
      <c r="J150" s="1028"/>
    </row>
    <row r="151" spans="2:10" s="74" customFormat="1">
      <c r="B151" s="1000"/>
      <c r="C151" s="993"/>
      <c r="D151" s="992"/>
      <c r="E151" s="1029" t="s">
        <v>519</v>
      </c>
      <c r="F151" s="1001" t="s">
        <v>517</v>
      </c>
      <c r="G151" s="1002"/>
      <c r="H151" s="1003"/>
      <c r="I151" s="1002"/>
      <c r="J151" s="1003">
        <v>30.893780238768993</v>
      </c>
    </row>
    <row r="152" spans="2:10" s="74" customFormat="1">
      <c r="B152" s="1000"/>
      <c r="C152" s="993"/>
      <c r="D152" s="992"/>
      <c r="E152" s="1029" t="s">
        <v>520</v>
      </c>
      <c r="F152" s="1001" t="s">
        <v>517</v>
      </c>
      <c r="G152" s="1002"/>
      <c r="H152" s="1003"/>
      <c r="I152" s="1002"/>
      <c r="J152" s="1003">
        <v>7.882363682319661</v>
      </c>
    </row>
    <row r="153" spans="2:10" s="74" customFormat="1">
      <c r="B153" s="1000"/>
      <c r="C153" s="993"/>
      <c r="D153" s="992"/>
      <c r="E153" s="992" t="s">
        <v>129</v>
      </c>
      <c r="F153" s="1001"/>
      <c r="G153" s="1027"/>
      <c r="H153" s="1028"/>
      <c r="I153" s="1027"/>
      <c r="J153" s="1028"/>
    </row>
    <row r="154" spans="2:10" s="74" customFormat="1">
      <c r="B154" s="1000"/>
      <c r="C154" s="993"/>
      <c r="D154" s="992"/>
      <c r="E154" s="1029" t="s">
        <v>519</v>
      </c>
      <c r="F154" s="1001" t="s">
        <v>517</v>
      </c>
      <c r="G154" s="1002"/>
      <c r="H154" s="1003"/>
      <c r="I154" s="1002"/>
      <c r="J154" s="1003">
        <v>0</v>
      </c>
    </row>
    <row r="155" spans="2:10" s="74" customFormat="1" ht="13.5" thickBot="1">
      <c r="B155" s="1030"/>
      <c r="C155" s="1031"/>
      <c r="D155" s="1032"/>
      <c r="E155" s="1033" t="s">
        <v>520</v>
      </c>
      <c r="F155" s="1034" t="s">
        <v>517</v>
      </c>
      <c r="G155" s="1035"/>
      <c r="H155" s="1036"/>
      <c r="I155" s="1035"/>
      <c r="J155" s="1036">
        <v>0</v>
      </c>
    </row>
  </sheetData>
  <mergeCells count="4">
    <mergeCell ref="B7:E9"/>
    <mergeCell ref="F7:F9"/>
    <mergeCell ref="G7:H7"/>
    <mergeCell ref="I7:J7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C5FFFF"/>
    <pageSetUpPr fitToPage="1"/>
  </sheetPr>
  <dimension ref="J3:P10"/>
  <sheetViews>
    <sheetView workbookViewId="0"/>
  </sheetViews>
  <sheetFormatPr defaultColWidth="10.85546875" defaultRowHeight="15"/>
  <cols>
    <col min="1" max="16384" width="10.85546875" style="2"/>
  </cols>
  <sheetData>
    <row r="3" spans="10:16" ht="24" customHeight="1">
      <c r="J3" s="1611" t="s">
        <v>521</v>
      </c>
      <c r="K3" s="1612"/>
      <c r="L3" s="1613"/>
      <c r="N3" s="1611" t="s">
        <v>522</v>
      </c>
      <c r="O3" s="1612"/>
      <c r="P3" s="1613"/>
    </row>
    <row r="4" spans="10:16">
      <c r="J4" s="1614" t="s">
        <v>523</v>
      </c>
      <c r="K4" s="1615"/>
      <c r="L4" s="1616"/>
      <c r="N4" s="1614" t="s">
        <v>524</v>
      </c>
      <c r="O4" s="1615"/>
      <c r="P4" s="1616"/>
    </row>
    <row r="5" spans="10:16">
      <c r="J5" s="23" t="s">
        <v>402</v>
      </c>
      <c r="K5" s="27"/>
      <c r="L5" s="22"/>
      <c r="N5" s="23"/>
      <c r="O5" s="21" t="s">
        <v>203</v>
      </c>
      <c r="P5" s="22"/>
    </row>
    <row r="6" spans="10:16">
      <c r="J6" s="24" t="s">
        <v>401</v>
      </c>
      <c r="K6" s="25"/>
      <c r="L6" s="26"/>
      <c r="N6" s="23" t="s">
        <v>222</v>
      </c>
      <c r="O6" s="27"/>
      <c r="P6" s="22"/>
    </row>
    <row r="7" spans="10:16">
      <c r="N7" s="23" t="s">
        <v>525</v>
      </c>
      <c r="O7" s="27"/>
      <c r="P7" s="22"/>
    </row>
    <row r="8" spans="10:16">
      <c r="N8" s="23" t="s">
        <v>223</v>
      </c>
      <c r="O8" s="27"/>
      <c r="P8" s="22"/>
    </row>
    <row r="9" spans="10:16">
      <c r="N9" s="23" t="s">
        <v>402</v>
      </c>
      <c r="O9" s="27"/>
      <c r="P9" s="22"/>
    </row>
    <row r="10" spans="10:16">
      <c r="N10" s="24" t="s">
        <v>481</v>
      </c>
      <c r="O10" s="28"/>
      <c r="P10" s="26"/>
    </row>
  </sheetData>
  <mergeCells count="4">
    <mergeCell ref="J3:L3"/>
    <mergeCell ref="N3:P3"/>
    <mergeCell ref="J4:L4"/>
    <mergeCell ref="N4:P4"/>
  </mergeCells>
  <phoneticPr fontId="1" type="noConversion"/>
  <pageMargins left="0.75" right="0.75" top="1" bottom="1" header="0.5" footer="0.5"/>
  <pageSetup paperSize="9" scale="46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C5FFFF"/>
    <pageSetUpPr fitToPage="1"/>
  </sheetPr>
  <dimension ref="A1:AL27"/>
  <sheetViews>
    <sheetView workbookViewId="0">
      <selection sqref="A1:XFD1048576"/>
    </sheetView>
  </sheetViews>
  <sheetFormatPr defaultColWidth="8.85546875" defaultRowHeight="12.75"/>
  <cols>
    <col min="1" max="2" width="8.85546875" style="74" customWidth="1"/>
    <col min="3" max="3" width="19" style="74" customWidth="1"/>
    <col min="4" max="16384" width="8.85546875" style="74"/>
  </cols>
  <sheetData>
    <row r="1" spans="1:38">
      <c r="A1" s="726" t="s">
        <v>526</v>
      </c>
      <c r="F1" s="125" t="s">
        <v>985</v>
      </c>
      <c r="H1" s="74" t="s">
        <v>1151</v>
      </c>
    </row>
    <row r="3" spans="1:38">
      <c r="A3" s="726" t="s">
        <v>81</v>
      </c>
    </row>
    <row r="5" spans="1:38">
      <c r="C5" s="1037" t="s">
        <v>527</v>
      </c>
      <c r="D5" s="1038"/>
      <c r="E5" s="1038"/>
      <c r="F5" s="1038"/>
      <c r="G5" s="1038"/>
      <c r="H5" s="1038"/>
      <c r="I5" s="1037"/>
      <c r="J5" s="1038"/>
      <c r="K5" s="1038"/>
      <c r="L5" s="1038"/>
      <c r="M5" s="1038"/>
      <c r="N5" s="1038"/>
      <c r="O5" s="1038"/>
      <c r="P5" s="1038"/>
      <c r="Q5" s="1038"/>
      <c r="R5" s="1038"/>
      <c r="S5" s="1038"/>
      <c r="T5" s="1038"/>
      <c r="U5" s="1038"/>
      <c r="V5" s="1038"/>
      <c r="W5" s="1038"/>
      <c r="X5" s="1038"/>
      <c r="Y5" s="1038"/>
      <c r="Z5" s="1038"/>
      <c r="AA5" s="1038"/>
      <c r="AB5" s="1038"/>
      <c r="AC5" s="1038"/>
      <c r="AD5" s="1038"/>
      <c r="AE5" s="1038"/>
      <c r="AF5" s="1038"/>
      <c r="AG5" s="1038"/>
      <c r="AH5" s="1038"/>
      <c r="AI5" s="1038"/>
      <c r="AJ5" s="1038"/>
      <c r="AK5" s="1038"/>
      <c r="AL5" s="1039"/>
    </row>
    <row r="6" spans="1:38" ht="13.5" thickBot="1">
      <c r="C6" s="1040"/>
      <c r="D6" s="1041"/>
      <c r="E6" s="1041"/>
      <c r="F6" s="1041"/>
      <c r="G6" s="1041"/>
      <c r="H6" s="1041"/>
      <c r="I6" s="1041"/>
      <c r="J6" s="1041"/>
      <c r="K6" s="1041"/>
      <c r="L6" s="1041"/>
      <c r="M6" s="1041"/>
      <c r="N6" s="1041"/>
      <c r="O6" s="1041"/>
      <c r="P6" s="1041"/>
      <c r="Q6" s="1041"/>
      <c r="R6" s="1041"/>
      <c r="S6" s="1041"/>
      <c r="T6" s="1041"/>
      <c r="U6" s="1041"/>
      <c r="V6" s="1041"/>
      <c r="W6" s="1041"/>
      <c r="X6" s="1041"/>
      <c r="Y6" s="1041"/>
      <c r="Z6" s="1041"/>
      <c r="AA6" s="1041"/>
      <c r="AB6" s="1041"/>
      <c r="AC6" s="1041"/>
      <c r="AD6" s="1041"/>
      <c r="AE6" s="1041"/>
      <c r="AF6" s="1041"/>
      <c r="AG6" s="1041"/>
      <c r="AH6" s="1041"/>
      <c r="AI6" s="1041"/>
      <c r="AJ6" s="1041"/>
      <c r="AK6" s="1041"/>
      <c r="AL6" s="1042"/>
    </row>
    <row r="7" spans="1:38">
      <c r="C7" s="1040"/>
      <c r="D7" s="1634" t="s">
        <v>528</v>
      </c>
      <c r="E7" s="1635"/>
      <c r="F7" s="1635"/>
      <c r="G7" s="1635"/>
      <c r="H7" s="1635"/>
      <c r="I7" s="1635"/>
      <c r="J7" s="1635"/>
      <c r="K7" s="1635"/>
      <c r="L7" s="1635"/>
      <c r="M7" s="1635"/>
      <c r="N7" s="1635"/>
      <c r="O7" s="1635"/>
      <c r="P7" s="1635"/>
      <c r="Q7" s="1635"/>
      <c r="R7" s="1635"/>
      <c r="S7" s="1635"/>
      <c r="T7" s="1635"/>
      <c r="U7" s="1635"/>
      <c r="V7" s="1635"/>
      <c r="W7" s="1635"/>
      <c r="X7" s="1636"/>
      <c r="Y7" s="1617" t="s">
        <v>529</v>
      </c>
      <c r="Z7" s="1617" t="s">
        <v>530</v>
      </c>
      <c r="AA7" s="1617" t="s">
        <v>531</v>
      </c>
      <c r="AB7" s="1617" t="s">
        <v>532</v>
      </c>
      <c r="AC7" s="1617" t="s">
        <v>533</v>
      </c>
      <c r="AD7" s="1617" t="s">
        <v>534</v>
      </c>
      <c r="AE7" s="1617" t="s">
        <v>535</v>
      </c>
      <c r="AF7" s="1617" t="s">
        <v>536</v>
      </c>
      <c r="AG7" s="1617" t="s">
        <v>537</v>
      </c>
      <c r="AH7" s="1617" t="s">
        <v>538</v>
      </c>
      <c r="AI7" s="1617" t="s">
        <v>539</v>
      </c>
      <c r="AJ7" s="1622" t="s">
        <v>540</v>
      </c>
      <c r="AK7" s="1625" t="s">
        <v>541</v>
      </c>
      <c r="AL7" s="1043"/>
    </row>
    <row r="8" spans="1:38">
      <c r="C8" s="1040"/>
      <c r="D8" s="1628" t="s">
        <v>542</v>
      </c>
      <c r="E8" s="1629"/>
      <c r="F8" s="1629"/>
      <c r="G8" s="1629"/>
      <c r="H8" s="1629"/>
      <c r="I8" s="1630"/>
      <c r="J8" s="1631" t="s">
        <v>543</v>
      </c>
      <c r="K8" s="1632"/>
      <c r="L8" s="1632"/>
      <c r="M8" s="1632"/>
      <c r="N8" s="1632"/>
      <c r="O8" s="1632"/>
      <c r="P8" s="1632"/>
      <c r="Q8" s="1632"/>
      <c r="R8" s="1632"/>
      <c r="S8" s="1632"/>
      <c r="T8" s="1632"/>
      <c r="U8" s="1632"/>
      <c r="V8" s="1632"/>
      <c r="W8" s="1632"/>
      <c r="X8" s="1633"/>
      <c r="Y8" s="1618"/>
      <c r="Z8" s="1618"/>
      <c r="AA8" s="1618"/>
      <c r="AB8" s="1618"/>
      <c r="AC8" s="1618"/>
      <c r="AD8" s="1618"/>
      <c r="AE8" s="1618"/>
      <c r="AF8" s="1618"/>
      <c r="AG8" s="1618"/>
      <c r="AH8" s="1618"/>
      <c r="AI8" s="1618"/>
      <c r="AJ8" s="1623"/>
      <c r="AK8" s="1626"/>
      <c r="AL8" s="1043"/>
    </row>
    <row r="9" spans="1:38" s="1044" customFormat="1" ht="125.25">
      <c r="C9" s="1045" t="s">
        <v>544</v>
      </c>
      <c r="D9" s="1046" t="s">
        <v>545</v>
      </c>
      <c r="E9" s="1046" t="s">
        <v>546</v>
      </c>
      <c r="F9" s="1046" t="s">
        <v>547</v>
      </c>
      <c r="G9" s="1046" t="s">
        <v>548</v>
      </c>
      <c r="H9" s="1046" t="s">
        <v>549</v>
      </c>
      <c r="I9" s="1046" t="s">
        <v>550</v>
      </c>
      <c r="J9" s="1046" t="s">
        <v>551</v>
      </c>
      <c r="K9" s="1047" t="s">
        <v>552</v>
      </c>
      <c r="L9" s="1047" t="s">
        <v>553</v>
      </c>
      <c r="M9" s="1047" t="s">
        <v>554</v>
      </c>
      <c r="N9" s="1047" t="s">
        <v>555</v>
      </c>
      <c r="O9" s="1047" t="s">
        <v>556</v>
      </c>
      <c r="P9" s="1047" t="s">
        <v>557</v>
      </c>
      <c r="Q9" s="1047" t="s">
        <v>558</v>
      </c>
      <c r="R9" s="1047" t="s">
        <v>559</v>
      </c>
      <c r="S9" s="1047" t="s">
        <v>560</v>
      </c>
      <c r="T9" s="1047" t="s">
        <v>561</v>
      </c>
      <c r="U9" s="1047" t="s">
        <v>562</v>
      </c>
      <c r="V9" s="1047" t="s">
        <v>563</v>
      </c>
      <c r="W9" s="1047" t="s">
        <v>564</v>
      </c>
      <c r="X9" s="1047" t="s">
        <v>565</v>
      </c>
      <c r="Y9" s="1619"/>
      <c r="Z9" s="1619"/>
      <c r="AA9" s="1619"/>
      <c r="AB9" s="1619"/>
      <c r="AC9" s="1619"/>
      <c r="AD9" s="1619"/>
      <c r="AE9" s="1619"/>
      <c r="AF9" s="1619"/>
      <c r="AG9" s="1619"/>
      <c r="AH9" s="1619"/>
      <c r="AI9" s="1619"/>
      <c r="AJ9" s="1624"/>
      <c r="AK9" s="1627"/>
      <c r="AL9" s="1048"/>
    </row>
    <row r="10" spans="1:38">
      <c r="C10" s="1049"/>
      <c r="D10" s="1050" t="s">
        <v>566</v>
      </c>
      <c r="E10" s="1050" t="s">
        <v>566</v>
      </c>
      <c r="F10" s="1050" t="s">
        <v>566</v>
      </c>
      <c r="G10" s="1050" t="s">
        <v>566</v>
      </c>
      <c r="H10" s="1050" t="s">
        <v>566</v>
      </c>
      <c r="I10" s="1050" t="s">
        <v>566</v>
      </c>
      <c r="J10" s="1050" t="s">
        <v>566</v>
      </c>
      <c r="K10" s="1050" t="s">
        <v>566</v>
      </c>
      <c r="L10" s="1050" t="s">
        <v>566</v>
      </c>
      <c r="M10" s="1050" t="s">
        <v>566</v>
      </c>
      <c r="N10" s="1050" t="s">
        <v>566</v>
      </c>
      <c r="O10" s="1050" t="s">
        <v>566</v>
      </c>
      <c r="P10" s="1050" t="s">
        <v>566</v>
      </c>
      <c r="Q10" s="1050" t="s">
        <v>566</v>
      </c>
      <c r="R10" s="1050" t="s">
        <v>566</v>
      </c>
      <c r="S10" s="1050" t="s">
        <v>566</v>
      </c>
      <c r="T10" s="1050" t="s">
        <v>566</v>
      </c>
      <c r="U10" s="1050" t="s">
        <v>566</v>
      </c>
      <c r="V10" s="1050" t="s">
        <v>566</v>
      </c>
      <c r="W10" s="1050" t="s">
        <v>566</v>
      </c>
      <c r="X10" s="1050" t="s">
        <v>566</v>
      </c>
      <c r="Y10" s="1050" t="s">
        <v>566</v>
      </c>
      <c r="Z10" s="1050" t="s">
        <v>566</v>
      </c>
      <c r="AA10" s="1050" t="s">
        <v>566</v>
      </c>
      <c r="AB10" s="1050" t="s">
        <v>566</v>
      </c>
      <c r="AC10" s="1050" t="s">
        <v>566</v>
      </c>
      <c r="AD10" s="1050" t="s">
        <v>566</v>
      </c>
      <c r="AE10" s="1050" t="s">
        <v>566</v>
      </c>
      <c r="AF10" s="1050" t="s">
        <v>566</v>
      </c>
      <c r="AG10" s="1050" t="s">
        <v>566</v>
      </c>
      <c r="AH10" s="1050" t="s">
        <v>566</v>
      </c>
      <c r="AI10" s="1050" t="s">
        <v>566</v>
      </c>
      <c r="AJ10" s="1051" t="s">
        <v>566</v>
      </c>
      <c r="AK10" s="1052" t="s">
        <v>566</v>
      </c>
      <c r="AL10" s="1042"/>
    </row>
    <row r="11" spans="1:38">
      <c r="C11" s="1053"/>
      <c r="D11" s="1054"/>
      <c r="E11" s="1054"/>
      <c r="F11" s="1054"/>
      <c r="G11" s="1054"/>
      <c r="H11" s="1054"/>
      <c r="I11" s="1054"/>
      <c r="J11" s="1054"/>
      <c r="K11" s="1054"/>
      <c r="L11" s="1054"/>
      <c r="M11" s="1054"/>
      <c r="N11" s="1054"/>
      <c r="O11" s="1054"/>
      <c r="P11" s="1054"/>
      <c r="Q11" s="1054"/>
      <c r="R11" s="1054"/>
      <c r="S11" s="1054"/>
      <c r="T11" s="1054"/>
      <c r="U11" s="1054"/>
      <c r="V11" s="1054"/>
      <c r="W11" s="1054"/>
      <c r="X11" s="1054"/>
      <c r="Y11" s="1054"/>
      <c r="Z11" s="1054"/>
      <c r="AA11" s="1054"/>
      <c r="AB11" s="1054"/>
      <c r="AC11" s="1054"/>
      <c r="AD11" s="1054"/>
      <c r="AE11" s="1054"/>
      <c r="AF11" s="1054"/>
      <c r="AG11" s="1054"/>
      <c r="AH11" s="1054"/>
      <c r="AI11" s="1054"/>
      <c r="AJ11" s="1055"/>
      <c r="AK11" s="1056"/>
      <c r="AL11" s="1042"/>
    </row>
    <row r="12" spans="1:38">
      <c r="C12" s="1057" t="s">
        <v>567</v>
      </c>
      <c r="D12" s="1058">
        <v>11.260750888044793</v>
      </c>
      <c r="E12" s="1058">
        <v>86.73865287324719</v>
      </c>
      <c r="F12" s="1058">
        <v>2.2901999883199999</v>
      </c>
      <c r="G12" s="1058">
        <v>23.607461477008215</v>
      </c>
      <c r="H12" s="1058">
        <v>11.683384510026801</v>
      </c>
      <c r="I12" s="1058">
        <v>4.9082775940000003</v>
      </c>
      <c r="J12" s="1058">
        <v>0.77486938446319986</v>
      </c>
      <c r="K12" s="1058">
        <v>5.6235967952637829</v>
      </c>
      <c r="L12" s="1058">
        <v>4.1962810579107463</v>
      </c>
      <c r="M12" s="1058">
        <v>23.39222530593641</v>
      </c>
      <c r="N12" s="1058">
        <v>3.9932671215815496</v>
      </c>
      <c r="O12" s="1058">
        <v>1.8430952204672004</v>
      </c>
      <c r="P12" s="1058">
        <v>1.4394826722359997</v>
      </c>
      <c r="Q12" s="1058">
        <v>1.3630810727301883</v>
      </c>
      <c r="R12" s="1058">
        <v>5.4399459945200013</v>
      </c>
      <c r="S12" s="1058">
        <v>11.413705956353251</v>
      </c>
      <c r="T12" s="1058">
        <v>5.5343552999991585</v>
      </c>
      <c r="U12" s="1058">
        <v>1.3726373768207174</v>
      </c>
      <c r="V12" s="1058">
        <v>1.9614634264481019</v>
      </c>
      <c r="W12" s="1058">
        <v>7.7816755968572568</v>
      </c>
      <c r="X12" s="1058">
        <v>1.536754324034403</v>
      </c>
      <c r="Y12" s="1058">
        <v>2.24185108</v>
      </c>
      <c r="Z12" s="1058">
        <v>7.62</v>
      </c>
      <c r="AA12" s="1058">
        <v>0.81564207</v>
      </c>
      <c r="AB12" s="1058">
        <v>12.183907341469606</v>
      </c>
      <c r="AC12" s="1058">
        <v>1.3999999737279722E-7</v>
      </c>
      <c r="AD12" s="1058">
        <v>1.0147458008000003</v>
      </c>
      <c r="AE12" s="1058">
        <v>-5.1969463263321618</v>
      </c>
      <c r="AF12" s="1058">
        <v>39.130465450300001</v>
      </c>
      <c r="AG12" s="1058">
        <v>20.184226800000001</v>
      </c>
      <c r="AH12" s="1058">
        <v>8</v>
      </c>
      <c r="AI12" s="1058">
        <v>-7.62</v>
      </c>
      <c r="AJ12" s="1058">
        <v>2.4709437074936318</v>
      </c>
      <c r="AK12" s="1058">
        <v>299</v>
      </c>
      <c r="AL12" s="1059"/>
    </row>
    <row r="13" spans="1:38">
      <c r="C13" s="1057" t="s">
        <v>568</v>
      </c>
      <c r="D13" s="1060"/>
      <c r="E13" s="1060"/>
      <c r="F13" s="1060"/>
      <c r="G13" s="1060"/>
      <c r="H13" s="1060"/>
      <c r="I13" s="1060"/>
      <c r="J13" s="1060"/>
      <c r="K13" s="1060"/>
      <c r="L13" s="1060"/>
      <c r="M13" s="1060"/>
      <c r="N13" s="1060"/>
      <c r="O13" s="1060"/>
      <c r="P13" s="1060"/>
      <c r="Q13" s="1060"/>
      <c r="R13" s="1060"/>
      <c r="S13" s="1060"/>
      <c r="T13" s="1060"/>
      <c r="U13" s="1060"/>
      <c r="V13" s="1060"/>
      <c r="W13" s="1060"/>
      <c r="X13" s="1060"/>
      <c r="Y13" s="1060"/>
      <c r="Z13" s="1060"/>
      <c r="AA13" s="1060"/>
      <c r="AB13" s="1060"/>
      <c r="AC13" s="1060"/>
      <c r="AD13" s="1060"/>
      <c r="AE13" s="1060"/>
      <c r="AF13" s="1060"/>
      <c r="AG13" s="1060"/>
      <c r="AH13" s="1060"/>
      <c r="AI13" s="1060"/>
      <c r="AJ13" s="1060"/>
      <c r="AK13" s="1061">
        <v>0</v>
      </c>
      <c r="AL13" s="1059"/>
    </row>
    <row r="14" spans="1:38">
      <c r="C14" s="1057" t="s">
        <v>567</v>
      </c>
      <c r="D14" s="1058">
        <v>11.260750888044793</v>
      </c>
      <c r="E14" s="1058">
        <v>86.73865287324719</v>
      </c>
      <c r="F14" s="1058">
        <v>2.2901999883199999</v>
      </c>
      <c r="G14" s="1058">
        <v>23.607461477008215</v>
      </c>
      <c r="H14" s="1058">
        <v>11.683384510026801</v>
      </c>
      <c r="I14" s="1058">
        <v>4.9082775940000003</v>
      </c>
      <c r="J14" s="1058">
        <v>0.77486938446319986</v>
      </c>
      <c r="K14" s="1058">
        <v>5.6235967952637829</v>
      </c>
      <c r="L14" s="1058">
        <v>4.1962810579107463</v>
      </c>
      <c r="M14" s="1058">
        <v>23.39222530593641</v>
      </c>
      <c r="N14" s="1058">
        <v>3.9932671215815496</v>
      </c>
      <c r="O14" s="1058">
        <v>1.8430952204672004</v>
      </c>
      <c r="P14" s="1058">
        <v>1.4394826722359997</v>
      </c>
      <c r="Q14" s="1058">
        <v>1.3630810727301883</v>
      </c>
      <c r="R14" s="1058">
        <v>5.4399459945200013</v>
      </c>
      <c r="S14" s="1058">
        <v>11.413705956353251</v>
      </c>
      <c r="T14" s="1058">
        <v>5.5343552999991585</v>
      </c>
      <c r="U14" s="1058">
        <v>1.3726373768207174</v>
      </c>
      <c r="V14" s="1058">
        <v>1.9614634264481019</v>
      </c>
      <c r="W14" s="1058">
        <v>7.7816755968572568</v>
      </c>
      <c r="X14" s="1058">
        <v>1.536754324034403</v>
      </c>
      <c r="Y14" s="1058">
        <v>2.24185108</v>
      </c>
      <c r="Z14" s="1058">
        <v>7.62</v>
      </c>
      <c r="AA14" s="1058">
        <v>0.81564207</v>
      </c>
      <c r="AB14" s="1058">
        <v>12.183907341469606</v>
      </c>
      <c r="AC14" s="1058">
        <v>1.3999999737279722E-7</v>
      </c>
      <c r="AD14" s="1058">
        <v>1.0147458008000003</v>
      </c>
      <c r="AE14" s="1058">
        <v>-5.1969463263321618</v>
      </c>
      <c r="AF14" s="1058">
        <v>39.130465450300001</v>
      </c>
      <c r="AG14" s="1058">
        <v>20.184226800000001</v>
      </c>
      <c r="AH14" s="1058">
        <v>8</v>
      </c>
      <c r="AI14" s="1058">
        <v>-7.62</v>
      </c>
      <c r="AJ14" s="1058">
        <v>2.4709437074936318</v>
      </c>
      <c r="AK14" s="1058">
        <v>299</v>
      </c>
      <c r="AL14" s="1059"/>
    </row>
    <row r="15" spans="1:38">
      <c r="C15" s="1057"/>
      <c r="D15" s="1058"/>
      <c r="E15" s="1058"/>
      <c r="F15" s="1058"/>
      <c r="G15" s="1058"/>
      <c r="H15" s="1058"/>
      <c r="I15" s="1058"/>
      <c r="J15" s="1058"/>
      <c r="K15" s="1058"/>
      <c r="L15" s="1058"/>
      <c r="M15" s="1058"/>
      <c r="N15" s="1058"/>
      <c r="O15" s="1058"/>
      <c r="P15" s="1058"/>
      <c r="Q15" s="1058"/>
      <c r="R15" s="1058"/>
      <c r="S15" s="1058"/>
      <c r="T15" s="1058"/>
      <c r="U15" s="1058"/>
      <c r="V15" s="1058"/>
      <c r="W15" s="1058"/>
      <c r="X15" s="1058"/>
      <c r="Y15" s="1058"/>
      <c r="Z15" s="1058"/>
      <c r="AA15" s="1058"/>
      <c r="AB15" s="1058"/>
      <c r="AC15" s="1058"/>
      <c r="AD15" s="1058"/>
      <c r="AE15" s="1058"/>
      <c r="AF15" s="1058"/>
      <c r="AG15" s="1058"/>
      <c r="AH15" s="1058"/>
      <c r="AI15" s="1058"/>
      <c r="AJ15" s="1058"/>
      <c r="AK15" s="1058"/>
      <c r="AL15" s="1059"/>
    </row>
    <row r="16" spans="1:38">
      <c r="C16" s="1057" t="s">
        <v>569</v>
      </c>
      <c r="D16" s="1058">
        <v>8.6406930528630213</v>
      </c>
      <c r="E16" s="1058">
        <v>69.050320620092407</v>
      </c>
      <c r="F16" s="1058">
        <v>2.6978757939299998</v>
      </c>
      <c r="G16" s="1058">
        <v>26.585929994545726</v>
      </c>
      <c r="H16" s="1058">
        <v>8.4933534972528744</v>
      </c>
      <c r="I16" s="1058">
        <v>5.7800996575720154</v>
      </c>
      <c r="J16" s="1058">
        <v>1.1741027657412046</v>
      </c>
      <c r="K16" s="1058">
        <v>3.8077610766246233</v>
      </c>
      <c r="L16" s="1058">
        <v>5.041970767615255</v>
      </c>
      <c r="M16" s="1058">
        <v>18.204079436995361</v>
      </c>
      <c r="N16" s="1058">
        <v>4.1451310361827716</v>
      </c>
      <c r="O16" s="1058">
        <v>1.7043014022479737</v>
      </c>
      <c r="P16" s="1058">
        <v>1.5747594627143606</v>
      </c>
      <c r="Q16" s="1058">
        <v>1.4758625624493948</v>
      </c>
      <c r="R16" s="1058">
        <v>4.6742188521986732</v>
      </c>
      <c r="S16" s="1058">
        <v>11.684030483425074</v>
      </c>
      <c r="T16" s="1058">
        <v>4.6000640042730518</v>
      </c>
      <c r="U16" s="1058">
        <v>2.0876733918815966</v>
      </c>
      <c r="V16" s="1058">
        <v>2.3444157040209626</v>
      </c>
      <c r="W16" s="1058">
        <v>7.71819896534008</v>
      </c>
      <c r="X16" s="1058">
        <v>1.8922248593075113</v>
      </c>
      <c r="Y16" s="1058">
        <v>3.1853175699999996</v>
      </c>
      <c r="Z16" s="1058">
        <v>2.1</v>
      </c>
      <c r="AA16" s="1058">
        <v>5.2757375245545637</v>
      </c>
      <c r="AB16" s="1058">
        <v>10.839291641651382</v>
      </c>
      <c r="AC16" s="1058">
        <v>0</v>
      </c>
      <c r="AD16" s="1058">
        <v>0</v>
      </c>
      <c r="AE16" s="1058">
        <v>1.1714051563517915</v>
      </c>
      <c r="AF16" s="1058">
        <v>39.324080569530004</v>
      </c>
      <c r="AG16" s="1058">
        <v>20.276195809999997</v>
      </c>
      <c r="AH16" s="1058">
        <v>7.2444885000000001</v>
      </c>
      <c r="AI16" s="1058">
        <v>-2.1</v>
      </c>
      <c r="AJ16" s="1058">
        <v>11.876043500638502</v>
      </c>
      <c r="AK16" s="1058">
        <v>292.56962766000015</v>
      </c>
      <c r="AL16" s="1062"/>
    </row>
    <row r="17" spans="3:38">
      <c r="C17" s="1057"/>
      <c r="D17" s="1058"/>
      <c r="E17" s="1058"/>
      <c r="F17" s="1058"/>
      <c r="G17" s="1058"/>
      <c r="H17" s="1058"/>
      <c r="I17" s="1058"/>
      <c r="J17" s="1058"/>
      <c r="K17" s="1058"/>
      <c r="L17" s="1058"/>
      <c r="M17" s="1058"/>
      <c r="N17" s="1058"/>
      <c r="O17" s="1058"/>
      <c r="P17" s="1058"/>
      <c r="Q17" s="1058"/>
      <c r="R17" s="1058"/>
      <c r="S17" s="1058"/>
      <c r="T17" s="1058"/>
      <c r="U17" s="1058"/>
      <c r="V17" s="1058"/>
      <c r="W17" s="1058"/>
      <c r="X17" s="1058"/>
      <c r="Y17" s="1058"/>
      <c r="Z17" s="1058"/>
      <c r="AA17" s="1058"/>
      <c r="AB17" s="1058"/>
      <c r="AC17" s="1058"/>
      <c r="AD17" s="1058"/>
      <c r="AE17" s="1058"/>
      <c r="AF17" s="1058"/>
      <c r="AG17" s="1058"/>
      <c r="AH17" s="1058"/>
      <c r="AI17" s="1058"/>
      <c r="AJ17" s="1058"/>
      <c r="AK17" s="1058"/>
      <c r="AL17" s="1062"/>
    </row>
    <row r="18" spans="3:38">
      <c r="C18" s="1057" t="s">
        <v>570</v>
      </c>
      <c r="D18" s="1058">
        <v>22.05381964681996</v>
      </c>
      <c r="E18" s="1058">
        <v>52.010151581557103</v>
      </c>
      <c r="F18" s="1058">
        <v>1.665331330495831</v>
      </c>
      <c r="G18" s="1058">
        <v>25.739669644938481</v>
      </c>
      <c r="H18" s="1058">
        <v>6.2838761175158684</v>
      </c>
      <c r="I18" s="1058">
        <v>2.1592628089684665</v>
      </c>
      <c r="J18" s="1058">
        <v>0.46992086685698797</v>
      </c>
      <c r="K18" s="1058">
        <v>3.7710730875040674</v>
      </c>
      <c r="L18" s="1058">
        <v>6.1367485042863796</v>
      </c>
      <c r="M18" s="1058">
        <v>10.797410407551657</v>
      </c>
      <c r="N18" s="1058">
        <v>3.2603866279764602</v>
      </c>
      <c r="O18" s="1058">
        <v>2.0259238623696421</v>
      </c>
      <c r="P18" s="1058">
        <v>1.3641478864905945</v>
      </c>
      <c r="Q18" s="1058">
        <v>2.1503455470888513</v>
      </c>
      <c r="R18" s="1058">
        <v>2.7402381048519571</v>
      </c>
      <c r="S18" s="1058">
        <v>7.4525859839648003</v>
      </c>
      <c r="T18" s="1058">
        <v>5.0306563330394072</v>
      </c>
      <c r="U18" s="1058">
        <v>1.1978004536561848</v>
      </c>
      <c r="V18" s="1058">
        <v>1.7612408126809169</v>
      </c>
      <c r="W18" s="1058">
        <v>8.0876763651092158</v>
      </c>
      <c r="X18" s="1058">
        <v>2.2973169665637538</v>
      </c>
      <c r="Y18" s="1058">
        <v>3.7657640000000003</v>
      </c>
      <c r="Z18" s="1058">
        <v>68.099999999999994</v>
      </c>
      <c r="AA18" s="1058">
        <v>8.7183465799999986</v>
      </c>
      <c r="AB18" s="1058">
        <v>9.9484680436074697</v>
      </c>
      <c r="AC18" s="1058">
        <v>0</v>
      </c>
      <c r="AD18" s="1058">
        <v>0</v>
      </c>
      <c r="AE18" s="1058">
        <v>0</v>
      </c>
      <c r="AF18" s="1058">
        <v>44.999360189999997</v>
      </c>
      <c r="AG18" s="1058">
        <v>21.829069</v>
      </c>
      <c r="AH18" s="1058">
        <v>6.6293233200000001</v>
      </c>
      <c r="AI18" s="1058">
        <v>-68.099999999999994</v>
      </c>
      <c r="AJ18" s="1058">
        <v>-3.9633140738940824</v>
      </c>
      <c r="AK18" s="1058">
        <v>260.38259999999997</v>
      </c>
      <c r="AL18" s="1062"/>
    </row>
    <row r="19" spans="3:38" ht="13.5" thickBot="1">
      <c r="C19" s="1063"/>
      <c r="D19" s="1064"/>
      <c r="E19" s="1064"/>
      <c r="F19" s="1064"/>
      <c r="G19" s="1064"/>
      <c r="H19" s="1064"/>
      <c r="I19" s="1064"/>
      <c r="J19" s="1064"/>
      <c r="K19" s="1064"/>
      <c r="L19" s="1064"/>
      <c r="M19" s="1064"/>
      <c r="N19" s="1064"/>
      <c r="O19" s="1064"/>
      <c r="P19" s="1064"/>
      <c r="Q19" s="1064"/>
      <c r="R19" s="1064"/>
      <c r="S19" s="1064"/>
      <c r="T19" s="1064"/>
      <c r="U19" s="1064"/>
      <c r="V19" s="1064"/>
      <c r="W19" s="1064"/>
      <c r="X19" s="1064"/>
      <c r="Y19" s="1064"/>
      <c r="Z19" s="1064"/>
      <c r="AA19" s="1064"/>
      <c r="AB19" s="1064"/>
      <c r="AC19" s="1064"/>
      <c r="AD19" s="1064"/>
      <c r="AE19" s="1064"/>
      <c r="AF19" s="1064"/>
      <c r="AG19" s="1064"/>
      <c r="AH19" s="1064"/>
      <c r="AI19" s="1064"/>
      <c r="AJ19" s="1065"/>
      <c r="AK19" s="1066"/>
      <c r="AL19" s="1059"/>
    </row>
    <row r="20" spans="3:38">
      <c r="C20" s="1041"/>
      <c r="D20" s="1067"/>
      <c r="E20" s="1067"/>
      <c r="F20" s="1067"/>
      <c r="G20" s="1067"/>
      <c r="H20" s="1067"/>
      <c r="I20" s="1067"/>
      <c r="J20" s="1067"/>
      <c r="K20" s="1067"/>
      <c r="L20" s="1067"/>
      <c r="M20" s="1067"/>
      <c r="N20" s="1067"/>
      <c r="O20" s="1067"/>
      <c r="P20" s="1067"/>
      <c r="Q20" s="1067"/>
      <c r="R20" s="1067"/>
      <c r="S20" s="1067"/>
      <c r="T20" s="1067"/>
      <c r="U20" s="1067"/>
      <c r="V20" s="1067"/>
      <c r="W20" s="1067"/>
      <c r="X20" s="1067"/>
      <c r="Y20" s="1067"/>
      <c r="Z20" s="1067"/>
      <c r="AA20" s="1067"/>
      <c r="AB20" s="1067"/>
      <c r="AC20" s="1067"/>
      <c r="AD20" s="1067"/>
      <c r="AE20" s="1067"/>
      <c r="AF20" s="1067"/>
      <c r="AG20" s="1067"/>
      <c r="AH20" s="1067"/>
      <c r="AI20" s="1067"/>
      <c r="AJ20" s="1067"/>
      <c r="AK20" s="1067"/>
      <c r="AL20" s="1059"/>
    </row>
    <row r="21" spans="3:38">
      <c r="C21" s="1068" t="s">
        <v>571</v>
      </c>
      <c r="D21" s="1068"/>
      <c r="E21" s="1068"/>
      <c r="F21" s="1069"/>
      <c r="G21" s="1070"/>
      <c r="H21" s="1070"/>
      <c r="I21" s="1070"/>
      <c r="J21" s="1070"/>
      <c r="K21" s="1070"/>
      <c r="L21" s="1070"/>
      <c r="M21" s="1070"/>
      <c r="N21" s="1070"/>
      <c r="O21" s="1070"/>
      <c r="P21" s="1070"/>
      <c r="Q21" s="1070"/>
      <c r="R21" s="1071"/>
      <c r="S21" s="1068"/>
      <c r="T21" s="1068"/>
      <c r="U21" s="1068"/>
      <c r="V21" s="1068"/>
      <c r="W21" s="1068"/>
      <c r="X21" s="1068"/>
      <c r="Y21" s="1068"/>
      <c r="Z21" s="1068"/>
      <c r="AA21" s="1068"/>
      <c r="AB21" s="1067"/>
      <c r="AC21" s="1067"/>
      <c r="AD21" s="1067"/>
      <c r="AE21" s="1067"/>
      <c r="AF21" s="1067"/>
      <c r="AG21" s="1067"/>
      <c r="AH21" s="1067"/>
      <c r="AI21" s="1067"/>
      <c r="AJ21" s="1067"/>
      <c r="AK21" s="1067"/>
      <c r="AL21" s="1059"/>
    </row>
    <row r="22" spans="3:38">
      <c r="C22" s="1068">
        <v>1</v>
      </c>
      <c r="D22" s="1620" t="s">
        <v>572</v>
      </c>
      <c r="E22" s="1621"/>
      <c r="F22" s="1621"/>
      <c r="G22" s="1621"/>
      <c r="H22" s="1621"/>
      <c r="I22" s="1621"/>
      <c r="J22" s="1621"/>
      <c r="K22" s="1621"/>
      <c r="L22" s="1621"/>
      <c r="M22" s="1621"/>
      <c r="N22" s="1621"/>
      <c r="O22" s="1621"/>
      <c r="P22" s="1621"/>
      <c r="Q22" s="1621"/>
      <c r="R22" s="1621"/>
      <c r="S22" s="1621"/>
      <c r="T22" s="1621"/>
      <c r="U22" s="1621"/>
      <c r="V22" s="1621"/>
      <c r="W22" s="1621"/>
      <c r="X22" s="1621"/>
      <c r="Y22" s="1621"/>
      <c r="Z22" s="1621"/>
      <c r="AA22" s="1621"/>
      <c r="AB22" s="1067"/>
      <c r="AC22" s="1067"/>
      <c r="AD22" s="1067"/>
      <c r="AE22" s="1067"/>
      <c r="AF22" s="1067"/>
      <c r="AG22" s="1067"/>
      <c r="AH22" s="1067"/>
      <c r="AI22" s="1067"/>
      <c r="AJ22" s="1067"/>
      <c r="AK22" s="1067"/>
      <c r="AL22" s="1059"/>
    </row>
    <row r="23" spans="3:38">
      <c r="C23" s="1068">
        <v>2</v>
      </c>
      <c r="D23" s="1620" t="s">
        <v>573</v>
      </c>
      <c r="E23" s="1621"/>
      <c r="F23" s="1621"/>
      <c r="G23" s="1621"/>
      <c r="H23" s="1621"/>
      <c r="I23" s="1621"/>
      <c r="J23" s="1621"/>
      <c r="K23" s="1621"/>
      <c r="L23" s="1621"/>
      <c r="M23" s="1621"/>
      <c r="N23" s="1621"/>
      <c r="O23" s="1621"/>
      <c r="P23" s="1621"/>
      <c r="Q23" s="1621"/>
      <c r="R23" s="1621"/>
      <c r="S23" s="1621"/>
      <c r="T23" s="1621"/>
      <c r="U23" s="1621"/>
      <c r="V23" s="1621"/>
      <c r="W23" s="1621"/>
      <c r="X23" s="1621"/>
      <c r="Y23" s="1621"/>
      <c r="Z23" s="1621"/>
      <c r="AA23" s="1621"/>
      <c r="AB23" s="1067"/>
      <c r="AC23" s="1067"/>
      <c r="AD23" s="1067"/>
      <c r="AE23" s="1067"/>
      <c r="AF23" s="1067"/>
      <c r="AG23" s="1067"/>
      <c r="AH23" s="1067"/>
      <c r="AI23" s="1067"/>
      <c r="AJ23" s="1067"/>
      <c r="AK23" s="1067"/>
      <c r="AL23" s="1059"/>
    </row>
    <row r="24" spans="3:38">
      <c r="C24" s="1068">
        <v>3</v>
      </c>
      <c r="D24" s="1620" t="s">
        <v>574</v>
      </c>
      <c r="E24" s="1621"/>
      <c r="F24" s="1621"/>
      <c r="G24" s="1621"/>
      <c r="H24" s="1621"/>
      <c r="I24" s="1621"/>
      <c r="J24" s="1621"/>
      <c r="K24" s="1621"/>
      <c r="L24" s="1621"/>
      <c r="M24" s="1621"/>
      <c r="N24" s="1621"/>
      <c r="O24" s="1621"/>
      <c r="P24" s="1621"/>
      <c r="Q24" s="1621"/>
      <c r="R24" s="1621"/>
      <c r="S24" s="1621"/>
      <c r="T24" s="1621"/>
      <c r="U24" s="1621"/>
      <c r="V24" s="1621"/>
      <c r="W24" s="1621"/>
      <c r="X24" s="1621"/>
      <c r="Y24" s="1621"/>
      <c r="Z24" s="1621"/>
      <c r="AA24" s="1621"/>
      <c r="AB24" s="1067"/>
      <c r="AC24" s="1067"/>
      <c r="AD24" s="1067"/>
      <c r="AE24" s="1067"/>
      <c r="AF24" s="1067"/>
      <c r="AG24" s="1067"/>
      <c r="AH24" s="1067"/>
      <c r="AI24" s="1067"/>
      <c r="AJ24" s="1067"/>
      <c r="AK24" s="1067"/>
      <c r="AL24" s="1059"/>
    </row>
    <row r="25" spans="3:38">
      <c r="C25" s="1068">
        <v>4</v>
      </c>
      <c r="D25" s="1620" t="s">
        <v>575</v>
      </c>
      <c r="E25" s="1621"/>
      <c r="F25" s="1621"/>
      <c r="G25" s="1621"/>
      <c r="H25" s="1621"/>
      <c r="I25" s="1621"/>
      <c r="J25" s="1621"/>
      <c r="K25" s="1621"/>
      <c r="L25" s="1621"/>
      <c r="M25" s="1621"/>
      <c r="N25" s="1621"/>
      <c r="O25" s="1621"/>
      <c r="P25" s="1621"/>
      <c r="Q25" s="1621"/>
      <c r="R25" s="1621"/>
      <c r="S25" s="1621"/>
      <c r="T25" s="1621"/>
      <c r="U25" s="1621"/>
      <c r="V25" s="1621"/>
      <c r="W25" s="1621"/>
      <c r="X25" s="1621"/>
      <c r="Y25" s="1621"/>
      <c r="Z25" s="1621"/>
      <c r="AA25" s="1621"/>
      <c r="AB25" s="1067"/>
      <c r="AC25" s="1067"/>
      <c r="AD25" s="1067"/>
      <c r="AE25" s="1067"/>
      <c r="AF25" s="1067"/>
      <c r="AG25" s="1067"/>
      <c r="AH25" s="1067"/>
      <c r="AI25" s="1067"/>
      <c r="AJ25" s="1067"/>
      <c r="AK25" s="1067"/>
      <c r="AL25" s="1059"/>
    </row>
    <row r="26" spans="3:38">
      <c r="C26" s="1068">
        <v>5</v>
      </c>
      <c r="D26" s="1620" t="s">
        <v>576</v>
      </c>
      <c r="E26" s="1621"/>
      <c r="F26" s="1621"/>
      <c r="G26" s="1621"/>
      <c r="H26" s="1621"/>
      <c r="I26" s="1621"/>
      <c r="J26" s="1621"/>
      <c r="K26" s="1621"/>
      <c r="L26" s="1621"/>
      <c r="M26" s="1621"/>
      <c r="N26" s="1621"/>
      <c r="O26" s="1621"/>
      <c r="P26" s="1621"/>
      <c r="Q26" s="1621"/>
      <c r="R26" s="1621"/>
      <c r="S26" s="1621"/>
      <c r="T26" s="1621"/>
      <c r="U26" s="1621"/>
      <c r="V26" s="1621"/>
      <c r="W26" s="1621"/>
      <c r="X26" s="1621"/>
      <c r="Y26" s="1621"/>
      <c r="Z26" s="1621"/>
      <c r="AA26" s="1621"/>
      <c r="AB26" s="1067"/>
      <c r="AC26" s="1067"/>
      <c r="AD26" s="1067"/>
      <c r="AE26" s="1067"/>
      <c r="AF26" s="1067"/>
      <c r="AG26" s="1067"/>
      <c r="AH26" s="1067"/>
      <c r="AI26" s="1067"/>
      <c r="AJ26" s="1067"/>
      <c r="AK26" s="1067"/>
      <c r="AL26" s="1059"/>
    </row>
    <row r="27" spans="3:38">
      <c r="C27" s="1072"/>
      <c r="D27" s="1073"/>
      <c r="E27" s="1073"/>
      <c r="F27" s="1073"/>
      <c r="G27" s="1073"/>
      <c r="H27" s="1073"/>
      <c r="I27" s="1073"/>
      <c r="J27" s="1073"/>
      <c r="K27" s="1073"/>
      <c r="L27" s="1073"/>
      <c r="M27" s="1073"/>
      <c r="N27" s="1073"/>
      <c r="O27" s="1073"/>
      <c r="P27" s="1073"/>
      <c r="Q27" s="1073"/>
      <c r="R27" s="1073"/>
      <c r="S27" s="1073"/>
      <c r="T27" s="1073"/>
      <c r="U27" s="1073"/>
      <c r="V27" s="1073"/>
      <c r="W27" s="1073"/>
      <c r="X27" s="1073"/>
      <c r="Y27" s="1073"/>
      <c r="Z27" s="1073"/>
      <c r="AA27" s="1073"/>
      <c r="AB27" s="1073"/>
      <c r="AC27" s="1073"/>
      <c r="AD27" s="1073"/>
      <c r="AE27" s="1073"/>
      <c r="AF27" s="1073"/>
      <c r="AG27" s="1073"/>
      <c r="AH27" s="1073"/>
      <c r="AI27" s="1073"/>
      <c r="AJ27" s="1073"/>
      <c r="AK27" s="1073"/>
      <c r="AL27" s="1074"/>
    </row>
  </sheetData>
  <mergeCells count="21">
    <mergeCell ref="D24:AA24"/>
    <mergeCell ref="D25:AA25"/>
    <mergeCell ref="D26:AA26"/>
    <mergeCell ref="AJ7:AJ9"/>
    <mergeCell ref="AK7:AK9"/>
    <mergeCell ref="D8:I8"/>
    <mergeCell ref="J8:X8"/>
    <mergeCell ref="D22:AA22"/>
    <mergeCell ref="D23:AA23"/>
    <mergeCell ref="AD7:AD9"/>
    <mergeCell ref="AE7:AE9"/>
    <mergeCell ref="AF7:AF9"/>
    <mergeCell ref="AG7:AG9"/>
    <mergeCell ref="AH7:AH9"/>
    <mergeCell ref="AI7:AI9"/>
    <mergeCell ref="D7:X7"/>
    <mergeCell ref="Y7:Y9"/>
    <mergeCell ref="Z7:Z9"/>
    <mergeCell ref="AA7:AA9"/>
    <mergeCell ref="AB7:AB9"/>
    <mergeCell ref="AC7:AC9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C5FFFF"/>
    <pageSetUpPr fitToPage="1"/>
  </sheetPr>
  <dimension ref="A1:R49"/>
  <sheetViews>
    <sheetView workbookViewId="0">
      <selection sqref="A1:XFD1048576"/>
    </sheetView>
  </sheetViews>
  <sheetFormatPr defaultColWidth="8.85546875" defaultRowHeight="12.75"/>
  <cols>
    <col min="1" max="1" width="11.85546875" style="74" customWidth="1"/>
    <col min="2" max="2" width="8.85546875" style="74" customWidth="1"/>
    <col min="3" max="3" width="29.85546875" style="74" customWidth="1"/>
    <col min="4" max="4" width="8.85546875" style="74" customWidth="1"/>
    <col min="5" max="5" width="25.42578125" style="74" customWidth="1"/>
    <col min="6" max="6" width="13.5703125" style="74" bestFit="1" customWidth="1"/>
    <col min="7" max="8" width="8.85546875" style="74"/>
    <col min="9" max="9" width="13.5703125" style="74" bestFit="1" customWidth="1"/>
    <col min="10" max="10" width="8.85546875" style="74"/>
    <col min="11" max="11" width="9.85546875" style="74" customWidth="1"/>
    <col min="12" max="12" width="8.85546875" style="74"/>
    <col min="13" max="13" width="12.5703125" style="74" bestFit="1" customWidth="1"/>
    <col min="14" max="14" width="13.5703125" style="74" bestFit="1" customWidth="1"/>
    <col min="15" max="15" width="10.42578125" style="74" customWidth="1"/>
    <col min="16" max="16384" width="8.85546875" style="74"/>
  </cols>
  <sheetData>
    <row r="1" spans="1:18">
      <c r="A1" s="726" t="s">
        <v>526</v>
      </c>
      <c r="E1" s="125" t="s">
        <v>985</v>
      </c>
    </row>
    <row r="2" spans="1:18">
      <c r="A2" s="726"/>
    </row>
    <row r="3" spans="1:18">
      <c r="A3" s="726" t="s">
        <v>81</v>
      </c>
    </row>
    <row r="5" spans="1:18" ht="16.5" thickBot="1">
      <c r="A5" s="1075" t="s">
        <v>577</v>
      </c>
      <c r="B5" s="576"/>
      <c r="C5" s="576"/>
      <c r="D5" s="592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</row>
    <row r="6" spans="1:18" ht="15.75" thickBot="1">
      <c r="A6" s="576"/>
      <c r="B6" s="576"/>
      <c r="C6" s="576"/>
      <c r="D6" s="592"/>
      <c r="E6" s="576"/>
      <c r="F6" s="576"/>
      <c r="G6" s="576"/>
      <c r="H6" s="576"/>
      <c r="I6" s="576"/>
      <c r="J6" s="576"/>
      <c r="K6" s="576"/>
      <c r="L6" s="576"/>
      <c r="M6" s="1643" t="s">
        <v>580</v>
      </c>
      <c r="N6" s="1644"/>
      <c r="O6" s="1644"/>
      <c r="P6" s="1644"/>
      <c r="Q6" s="1645"/>
      <c r="R6" s="576"/>
    </row>
    <row r="7" spans="1:18" s="1080" customFormat="1" ht="17.25" customHeight="1" thickBot="1">
      <c r="A7" s="1076"/>
      <c r="B7" s="1076"/>
      <c r="C7" s="1076"/>
      <c r="D7" s="1077"/>
      <c r="E7" s="1646" t="s">
        <v>578</v>
      </c>
      <c r="F7" s="1647"/>
      <c r="G7" s="1648"/>
      <c r="H7" s="1078"/>
      <c r="I7" s="1649" t="s">
        <v>579</v>
      </c>
      <c r="J7" s="1650"/>
      <c r="K7" s="1651"/>
      <c r="L7" s="1076"/>
      <c r="M7" s="1652" t="s">
        <v>578</v>
      </c>
      <c r="N7" s="1653"/>
      <c r="O7" s="1654"/>
      <c r="P7" s="1079"/>
      <c r="Q7" s="1658" t="s">
        <v>548</v>
      </c>
      <c r="R7" s="1077"/>
    </row>
    <row r="8" spans="1:18" ht="30.75" thickBot="1">
      <c r="A8" s="1081"/>
      <c r="B8" s="1081"/>
      <c r="C8" s="1081"/>
      <c r="D8" s="1082"/>
      <c r="E8" s="1083"/>
      <c r="F8" s="1084" t="s">
        <v>581</v>
      </c>
      <c r="G8" s="1085"/>
      <c r="H8" s="1078"/>
      <c r="I8" s="1086" t="s">
        <v>581</v>
      </c>
      <c r="J8" s="1087"/>
      <c r="K8" s="1088" t="s">
        <v>582</v>
      </c>
      <c r="L8" s="1089"/>
      <c r="M8" s="1655"/>
      <c r="N8" s="1656"/>
      <c r="O8" s="1657"/>
      <c r="P8" s="1089"/>
      <c r="Q8" s="1659"/>
      <c r="R8" s="1090"/>
    </row>
    <row r="9" spans="1:18" ht="16.5" thickBot="1">
      <c r="A9" s="1637" t="s">
        <v>583</v>
      </c>
      <c r="B9" s="1638"/>
      <c r="C9" s="1639"/>
      <c r="D9" s="1091"/>
      <c r="E9" s="1086" t="s">
        <v>584</v>
      </c>
      <c r="F9" s="1086" t="s">
        <v>585</v>
      </c>
      <c r="G9" s="1092" t="s">
        <v>586</v>
      </c>
      <c r="H9" s="1093"/>
      <c r="I9" s="1086" t="s">
        <v>586</v>
      </c>
      <c r="J9" s="1082"/>
      <c r="K9" s="1094" t="s">
        <v>586</v>
      </c>
      <c r="L9" s="1089"/>
      <c r="M9" s="1095" t="s">
        <v>584</v>
      </c>
      <c r="N9" s="1096" t="s">
        <v>585</v>
      </c>
      <c r="O9" s="1097" t="s">
        <v>586</v>
      </c>
      <c r="P9" s="1090"/>
      <c r="Q9" s="1098" t="s">
        <v>586</v>
      </c>
      <c r="R9" s="1090"/>
    </row>
    <row r="10" spans="1:18" ht="16.5" thickBot="1">
      <c r="A10" s="1640"/>
      <c r="B10" s="1641"/>
      <c r="C10" s="1642"/>
      <c r="D10" s="1091"/>
      <c r="E10" s="1099" t="s">
        <v>566</v>
      </c>
      <c r="F10" s="1100" t="s">
        <v>566</v>
      </c>
      <c r="G10" s="1101" t="s">
        <v>566</v>
      </c>
      <c r="H10" s="1078"/>
      <c r="I10" s="1102" t="s">
        <v>566</v>
      </c>
      <c r="J10" s="1082"/>
      <c r="K10" s="1103" t="s">
        <v>566</v>
      </c>
      <c r="L10" s="1089"/>
      <c r="M10" s="1104" t="s">
        <v>566</v>
      </c>
      <c r="N10" s="1105" t="s">
        <v>566</v>
      </c>
      <c r="O10" s="1103" t="s">
        <v>566</v>
      </c>
      <c r="P10" s="1089"/>
      <c r="Q10" s="1103" t="s">
        <v>566</v>
      </c>
      <c r="R10" s="1090"/>
    </row>
    <row r="11" spans="1:18" ht="17.25" customHeight="1">
      <c r="A11" s="1660" t="s">
        <v>587</v>
      </c>
      <c r="B11" s="1662" t="s">
        <v>423</v>
      </c>
      <c r="C11" s="1663"/>
      <c r="D11" s="1106"/>
      <c r="E11" s="1664">
        <v>0</v>
      </c>
      <c r="F11" s="1666">
        <v>0.34993341352313201</v>
      </c>
      <c r="G11" s="1668">
        <f>SUM(E11:F11)</f>
        <v>0.34993341352313201</v>
      </c>
      <c r="H11" s="1107"/>
      <c r="I11" s="1108">
        <v>0.750282044999384</v>
      </c>
      <c r="J11" s="1109"/>
      <c r="K11" s="1108">
        <v>7.2265999999999997E-4</v>
      </c>
      <c r="L11" s="1090"/>
      <c r="M11" s="1090"/>
      <c r="N11" s="1090"/>
      <c r="O11" s="1090"/>
      <c r="P11" s="1090"/>
      <c r="Q11" s="1090"/>
      <c r="R11" s="1090"/>
    </row>
    <row r="12" spans="1:18" ht="17.25" customHeight="1">
      <c r="A12" s="1661"/>
      <c r="B12" s="1670" t="s">
        <v>424</v>
      </c>
      <c r="C12" s="1671"/>
      <c r="D12" s="1106"/>
      <c r="E12" s="1665"/>
      <c r="F12" s="1667"/>
      <c r="G12" s="1669"/>
      <c r="H12" s="1107"/>
      <c r="I12" s="1110">
        <v>3.7494364493580301</v>
      </c>
      <c r="J12" s="1109"/>
      <c r="K12" s="1110">
        <v>0</v>
      </c>
      <c r="L12" s="1090"/>
      <c r="M12" s="1090"/>
      <c r="N12" s="1090"/>
      <c r="O12" s="1090"/>
      <c r="P12" s="1090"/>
      <c r="Q12" s="1090"/>
      <c r="R12" s="1090"/>
    </row>
    <row r="13" spans="1:18" ht="17.25" customHeight="1">
      <c r="A13" s="1672" t="s">
        <v>345</v>
      </c>
      <c r="B13" s="1673" t="s">
        <v>588</v>
      </c>
      <c r="C13" s="1674"/>
      <c r="D13" s="1106"/>
      <c r="E13" s="1111">
        <v>0.64932876832459596</v>
      </c>
      <c r="F13" s="1112">
        <v>0.18712151797780699</v>
      </c>
      <c r="G13" s="1113">
        <f>SUM(E13:F13)</f>
        <v>0.83645028630240292</v>
      </c>
      <c r="H13" s="1107"/>
      <c r="I13" s="1110">
        <v>1.09166607072265</v>
      </c>
      <c r="J13" s="1109"/>
      <c r="K13" s="1110">
        <v>0.7483930894199875</v>
      </c>
      <c r="L13" s="1090"/>
      <c r="M13" s="1090"/>
      <c r="N13" s="1090"/>
      <c r="O13" s="1090"/>
      <c r="P13" s="1090"/>
      <c r="Q13" s="1090"/>
      <c r="R13" s="1090"/>
    </row>
    <row r="14" spans="1:18" ht="17.25" customHeight="1">
      <c r="A14" s="1660"/>
      <c r="B14" s="1675" t="s">
        <v>589</v>
      </c>
      <c r="C14" s="1676"/>
      <c r="D14" s="1106"/>
      <c r="E14" s="1677">
        <v>0.16515536945699799</v>
      </c>
      <c r="F14" s="1114">
        <v>0.192573506393558</v>
      </c>
      <c r="G14" s="1679">
        <f>SUM(E14:F14)</f>
        <v>0.35772887585055602</v>
      </c>
      <c r="H14" s="1107"/>
      <c r="I14" s="1110">
        <v>2.6923878675880899</v>
      </c>
      <c r="J14" s="1109"/>
      <c r="K14" s="1110">
        <v>0</v>
      </c>
      <c r="L14" s="1090"/>
      <c r="M14" s="1090"/>
      <c r="N14" s="1090"/>
      <c r="O14" s="1090"/>
      <c r="P14" s="1090"/>
      <c r="Q14" s="1090"/>
      <c r="R14" s="1090"/>
    </row>
    <row r="15" spans="1:18" ht="17.25" customHeight="1">
      <c r="A15" s="1660"/>
      <c r="B15" s="1675" t="s">
        <v>590</v>
      </c>
      <c r="C15" s="1676"/>
      <c r="D15" s="1106"/>
      <c r="E15" s="1678"/>
      <c r="F15" s="1115"/>
      <c r="G15" s="1680"/>
      <c r="H15" s="1107"/>
      <c r="I15" s="1110">
        <v>6.7963406163688802</v>
      </c>
      <c r="J15" s="1109"/>
      <c r="K15" s="1110">
        <v>0</v>
      </c>
      <c r="L15" s="1090"/>
      <c r="M15" s="1090"/>
      <c r="N15" s="1090"/>
      <c r="O15" s="1090"/>
      <c r="P15" s="1090"/>
      <c r="Q15" s="1090"/>
      <c r="R15" s="1090"/>
    </row>
    <row r="16" spans="1:18" ht="17.25" customHeight="1" thickBot="1">
      <c r="A16" s="1661"/>
      <c r="B16" s="1681" t="s">
        <v>428</v>
      </c>
      <c r="C16" s="1682"/>
      <c r="D16" s="1106"/>
      <c r="E16" s="1665"/>
      <c r="F16" s="1116"/>
      <c r="G16" s="1669"/>
      <c r="H16" s="1107"/>
      <c r="I16" s="1117">
        <v>0.192313844854368</v>
      </c>
      <c r="J16" s="1109"/>
      <c r="K16" s="1117">
        <v>0</v>
      </c>
      <c r="L16" s="1090"/>
      <c r="M16" s="1090"/>
      <c r="N16" s="1090"/>
      <c r="O16" s="1090"/>
      <c r="P16" s="1090"/>
      <c r="Q16" s="1090"/>
      <c r="R16" s="1090"/>
    </row>
    <row r="17" spans="1:18" ht="17.25" customHeight="1">
      <c r="A17" s="1686" t="s">
        <v>591</v>
      </c>
      <c r="B17" s="1662" t="s">
        <v>429</v>
      </c>
      <c r="C17" s="1663"/>
      <c r="D17" s="1118"/>
      <c r="E17" s="1111">
        <v>0.14861498138415599</v>
      </c>
      <c r="F17" s="1112">
        <v>0.24474836257274399</v>
      </c>
      <c r="G17" s="1113">
        <f t="shared" ref="G17:G27" si="0">SUM(E17:F17)</f>
        <v>0.39336334395689998</v>
      </c>
      <c r="H17" s="1107"/>
      <c r="I17" s="1108">
        <v>1.47726639751246</v>
      </c>
      <c r="J17" s="1109"/>
      <c r="K17" s="1119">
        <v>0.43748758058001225</v>
      </c>
      <c r="L17" s="1090"/>
      <c r="M17" s="1090"/>
      <c r="N17" s="1090"/>
      <c r="O17" s="1090"/>
      <c r="P17" s="1090"/>
      <c r="Q17" s="1090"/>
      <c r="R17" s="1090"/>
    </row>
    <row r="18" spans="1:18" ht="17.25" customHeight="1">
      <c r="A18" s="1687"/>
      <c r="B18" s="1689" t="s">
        <v>592</v>
      </c>
      <c r="C18" s="1690"/>
      <c r="D18" s="1120"/>
      <c r="E18" s="1121">
        <v>0</v>
      </c>
      <c r="F18" s="1122">
        <v>4.2900229690369149E-2</v>
      </c>
      <c r="G18" s="1123">
        <f t="shared" si="0"/>
        <v>4.2900229690369149E-2</v>
      </c>
      <c r="H18" s="1107"/>
      <c r="I18" s="1110">
        <v>3.8019044614310622</v>
      </c>
      <c r="J18" s="1109"/>
      <c r="K18" s="1110">
        <v>0</v>
      </c>
      <c r="L18" s="1090"/>
      <c r="M18" s="1090"/>
      <c r="N18" s="1090"/>
      <c r="O18" s="1090"/>
      <c r="P18" s="1090"/>
      <c r="Q18" s="1090"/>
      <c r="R18" s="1090"/>
    </row>
    <row r="19" spans="1:18" ht="17.25" customHeight="1" thickBot="1">
      <c r="A19" s="1688"/>
      <c r="B19" s="1691" t="s">
        <v>593</v>
      </c>
      <c r="C19" s="1692"/>
      <c r="D19" s="1118"/>
      <c r="E19" s="1124">
        <v>0.45718946854354298</v>
      </c>
      <c r="F19" s="1125">
        <v>4.8268610279176496</v>
      </c>
      <c r="G19" s="1126">
        <f t="shared" si="0"/>
        <v>5.2840504964611927</v>
      </c>
      <c r="H19" s="1107"/>
      <c r="I19" s="1117">
        <v>0.58234466945385643</v>
      </c>
      <c r="J19" s="1109"/>
      <c r="K19" s="1127">
        <v>0</v>
      </c>
      <c r="L19" s="1090"/>
      <c r="M19" s="1090"/>
      <c r="N19" s="1090"/>
      <c r="O19" s="1090"/>
      <c r="P19" s="1090"/>
      <c r="Q19" s="1090"/>
      <c r="R19" s="1090"/>
    </row>
    <row r="20" spans="1:18" ht="17.25" customHeight="1">
      <c r="A20" s="1693" t="s">
        <v>402</v>
      </c>
      <c r="B20" s="1695" t="s">
        <v>429</v>
      </c>
      <c r="C20" s="1696"/>
      <c r="D20" s="1118"/>
      <c r="E20" s="1128">
        <v>0</v>
      </c>
      <c r="F20" s="1129">
        <v>0</v>
      </c>
      <c r="G20" s="1130">
        <f t="shared" si="0"/>
        <v>0</v>
      </c>
      <c r="H20" s="1107"/>
      <c r="I20" s="1108">
        <v>0.10286285655124124</v>
      </c>
      <c r="J20" s="1109"/>
      <c r="K20" s="1108">
        <v>2.6301700000000003E-3</v>
      </c>
      <c r="L20" s="1090"/>
      <c r="M20" s="1090"/>
      <c r="N20" s="1090"/>
      <c r="O20" s="1090"/>
      <c r="P20" s="1090"/>
      <c r="Q20" s="1090"/>
      <c r="R20" s="1090"/>
    </row>
    <row r="21" spans="1:18" ht="17.25" customHeight="1">
      <c r="A21" s="1686"/>
      <c r="B21" s="1131" t="s">
        <v>594</v>
      </c>
      <c r="C21" s="1132"/>
      <c r="D21" s="1106"/>
      <c r="E21" s="1111">
        <v>0</v>
      </c>
      <c r="F21" s="1112">
        <v>0</v>
      </c>
      <c r="G21" s="1113">
        <f t="shared" si="0"/>
        <v>0</v>
      </c>
      <c r="H21" s="1107"/>
      <c r="I21" s="1119">
        <v>1.0527538188574297</v>
      </c>
      <c r="J21" s="1109"/>
      <c r="K21" s="1119">
        <v>0</v>
      </c>
      <c r="L21" s="1090"/>
      <c r="M21" s="1090"/>
      <c r="N21" s="1090"/>
      <c r="O21" s="1090"/>
      <c r="P21" s="1090"/>
      <c r="Q21" s="1090"/>
      <c r="R21" s="1090"/>
    </row>
    <row r="22" spans="1:18" ht="17.25" customHeight="1">
      <c r="A22" s="1687"/>
      <c r="B22" s="1131" t="s">
        <v>595</v>
      </c>
      <c r="C22" s="1132"/>
      <c r="D22" s="1106"/>
      <c r="E22" s="1121">
        <v>0</v>
      </c>
      <c r="F22" s="1122">
        <v>0</v>
      </c>
      <c r="G22" s="1123">
        <f t="shared" si="0"/>
        <v>0</v>
      </c>
      <c r="H22" s="1107"/>
      <c r="I22" s="1110">
        <v>0.66604675170182615</v>
      </c>
      <c r="J22" s="1109"/>
      <c r="K22" s="1110">
        <v>0</v>
      </c>
      <c r="L22" s="1090"/>
      <c r="M22" s="1090"/>
      <c r="N22" s="1090"/>
      <c r="O22" s="1090"/>
      <c r="P22" s="1090"/>
      <c r="Q22" s="1090"/>
      <c r="R22" s="1090"/>
    </row>
    <row r="23" spans="1:18" ht="17.25" customHeight="1" thickBot="1">
      <c r="A23" s="1694"/>
      <c r="B23" s="1691" t="s">
        <v>593</v>
      </c>
      <c r="C23" s="1692"/>
      <c r="D23" s="1106"/>
      <c r="E23" s="1133">
        <v>2.4184737508563749E-4</v>
      </c>
      <c r="F23" s="1134">
        <v>0.2212328773344254</v>
      </c>
      <c r="G23" s="1135">
        <f t="shared" si="0"/>
        <v>0.22147472470951104</v>
      </c>
      <c r="H23" s="1107"/>
      <c r="I23" s="1117">
        <v>0</v>
      </c>
      <c r="J23" s="1109"/>
      <c r="K23" s="1117">
        <v>0</v>
      </c>
      <c r="L23" s="1090"/>
      <c r="M23" s="1090"/>
      <c r="N23" s="1090"/>
      <c r="O23" s="1090"/>
      <c r="P23" s="1090"/>
      <c r="Q23" s="1090"/>
      <c r="R23" s="1090"/>
    </row>
    <row r="24" spans="1:18" ht="17.25" customHeight="1">
      <c r="A24" s="1697" t="s">
        <v>401</v>
      </c>
      <c r="B24" s="1695" t="s">
        <v>429</v>
      </c>
      <c r="C24" s="1696"/>
      <c r="D24" s="1118"/>
      <c r="E24" s="1128">
        <v>0.24942627845677406</v>
      </c>
      <c r="F24" s="1136">
        <v>3.2279712653340712E-3</v>
      </c>
      <c r="G24" s="1113">
        <f t="shared" si="0"/>
        <v>0.25265424972210815</v>
      </c>
      <c r="H24" s="1107"/>
      <c r="I24" s="1119">
        <v>4.6926150673739543E-3</v>
      </c>
      <c r="J24" s="1109"/>
      <c r="K24" s="1119">
        <v>0</v>
      </c>
      <c r="L24" s="1090"/>
      <c r="M24" s="1137"/>
      <c r="N24" s="1137"/>
      <c r="O24" s="1138">
        <v>0</v>
      </c>
      <c r="P24" s="1090"/>
      <c r="Q24" s="1139"/>
      <c r="R24" s="1090"/>
    </row>
    <row r="25" spans="1:18" ht="17.25" customHeight="1">
      <c r="A25" s="1698"/>
      <c r="B25" s="1131" t="s">
        <v>594</v>
      </c>
      <c r="C25" s="1140"/>
      <c r="D25" s="1106"/>
      <c r="E25" s="1121">
        <v>0.33499169835022374</v>
      </c>
      <c r="F25" s="1141">
        <v>0</v>
      </c>
      <c r="G25" s="1123">
        <f t="shared" si="0"/>
        <v>0.33499169835022374</v>
      </c>
      <c r="H25" s="1107"/>
      <c r="I25" s="1110">
        <v>0.68781357599986381</v>
      </c>
      <c r="J25" s="1109"/>
      <c r="K25" s="1110">
        <v>0</v>
      </c>
      <c r="L25" s="1090"/>
      <c r="M25" s="1142"/>
      <c r="N25" s="1142"/>
      <c r="O25" s="1143">
        <v>0</v>
      </c>
      <c r="P25" s="1090"/>
      <c r="Q25" s="1144"/>
      <c r="R25" s="1090"/>
    </row>
    <row r="26" spans="1:18" ht="17.25" customHeight="1">
      <c r="A26" s="1698"/>
      <c r="B26" s="1131" t="s">
        <v>595</v>
      </c>
      <c r="C26" s="1140"/>
      <c r="D26" s="1106"/>
      <c r="E26" s="1121">
        <v>0</v>
      </c>
      <c r="F26" s="1141">
        <v>0</v>
      </c>
      <c r="G26" s="1123">
        <f t="shared" si="0"/>
        <v>0</v>
      </c>
      <c r="H26" s="1107"/>
      <c r="I26" s="1110">
        <v>0</v>
      </c>
      <c r="J26" s="1109"/>
      <c r="K26" s="1110">
        <v>0</v>
      </c>
      <c r="L26" s="1090"/>
      <c r="M26" s="1142"/>
      <c r="N26" s="1142"/>
      <c r="O26" s="1143">
        <v>0</v>
      </c>
      <c r="P26" s="1090"/>
      <c r="Q26" s="1144"/>
      <c r="R26" s="1090"/>
    </row>
    <row r="27" spans="1:18" ht="17.25" customHeight="1" thickBot="1">
      <c r="A27" s="1698"/>
      <c r="B27" s="1691" t="s">
        <v>593</v>
      </c>
      <c r="C27" s="1692"/>
      <c r="D27" s="1106"/>
      <c r="E27" s="1124">
        <v>9.3964691992447169E-2</v>
      </c>
      <c r="F27" s="1145">
        <v>1.8011344994679559</v>
      </c>
      <c r="G27" s="1126">
        <f t="shared" si="0"/>
        <v>1.8950991914604032</v>
      </c>
      <c r="H27" s="1107"/>
      <c r="I27" s="1127">
        <v>0.20076310582399742</v>
      </c>
      <c r="J27" s="1109"/>
      <c r="K27" s="1127">
        <v>0</v>
      </c>
      <c r="L27" s="1090"/>
      <c r="M27" s="1146"/>
      <c r="N27" s="1146"/>
      <c r="O27" s="1147">
        <v>0</v>
      </c>
      <c r="P27" s="1090"/>
      <c r="Q27" s="1148"/>
      <c r="R27" s="1090"/>
    </row>
    <row r="28" spans="1:18" ht="17.25" customHeight="1" thickBot="1">
      <c r="A28" s="1683" t="s">
        <v>596</v>
      </c>
      <c r="B28" s="1684"/>
      <c r="C28" s="1685"/>
      <c r="D28" s="1106"/>
      <c r="E28" s="1149">
        <v>0</v>
      </c>
      <c r="F28" s="1150">
        <v>0</v>
      </c>
      <c r="G28" s="1151">
        <f>SUM(E28:F28)</f>
        <v>0</v>
      </c>
      <c r="H28" s="1107"/>
      <c r="I28" s="1152">
        <v>0</v>
      </c>
      <c r="J28" s="1109"/>
      <c r="K28" s="1152">
        <v>0</v>
      </c>
      <c r="L28" s="1090"/>
      <c r="M28" s="1153"/>
      <c r="N28" s="1153"/>
      <c r="O28" s="1154">
        <v>0</v>
      </c>
      <c r="P28" s="1090"/>
      <c r="Q28" s="1155"/>
      <c r="R28" s="1090"/>
    </row>
    <row r="29" spans="1:18" ht="17.25" customHeight="1" thickBot="1">
      <c r="A29" s="1683" t="s">
        <v>597</v>
      </c>
      <c r="B29" s="1684"/>
      <c r="C29" s="1685"/>
      <c r="D29" s="1156"/>
      <c r="E29" s="1157"/>
      <c r="F29" s="1158"/>
      <c r="G29" s="1159"/>
      <c r="H29" s="1160"/>
      <c r="I29" s="1161">
        <v>1.5263867188186959</v>
      </c>
      <c r="J29" s="1109"/>
      <c r="K29" s="1161">
        <v>0</v>
      </c>
      <c r="L29" s="1162"/>
      <c r="M29" s="1163"/>
      <c r="N29" s="1164"/>
      <c r="O29" s="1165"/>
      <c r="P29" s="1162"/>
      <c r="Q29" s="1166"/>
      <c r="R29" s="1162"/>
    </row>
    <row r="30" spans="1:18" ht="17.25" customHeight="1" thickBot="1">
      <c r="A30" s="1683" t="s">
        <v>598</v>
      </c>
      <c r="B30" s="1684"/>
      <c r="C30" s="1685"/>
      <c r="D30" s="1156"/>
      <c r="E30" s="1157"/>
      <c r="F30" s="1167">
        <v>0</v>
      </c>
      <c r="G30" s="1126">
        <f>SUM(E30:F30)</f>
        <v>0</v>
      </c>
      <c r="H30" s="1160"/>
      <c r="I30" s="1168"/>
      <c r="J30" s="1109"/>
      <c r="K30" s="1169"/>
      <c r="L30" s="1162"/>
      <c r="M30" s="1170"/>
      <c r="N30" s="1171"/>
      <c r="O30" s="1165"/>
      <c r="P30" s="1162"/>
      <c r="Q30" s="1172"/>
      <c r="R30" s="1162"/>
    </row>
    <row r="31" spans="1:18" ht="17.25" customHeight="1" thickBot="1">
      <c r="A31" s="1683" t="s">
        <v>599</v>
      </c>
      <c r="B31" s="1684"/>
      <c r="C31" s="1685"/>
      <c r="D31" s="1156"/>
      <c r="E31" s="1157"/>
      <c r="F31" s="1167">
        <v>0</v>
      </c>
      <c r="G31" s="1151">
        <f>SUM(E31:F31)</f>
        <v>0</v>
      </c>
      <c r="H31" s="1160"/>
      <c r="I31" s="1168"/>
      <c r="J31" s="1109"/>
      <c r="K31" s="1169"/>
      <c r="L31" s="1162"/>
      <c r="M31" s="1170"/>
      <c r="N31" s="1171"/>
      <c r="O31" s="1165"/>
      <c r="P31" s="1162"/>
      <c r="Q31" s="1172"/>
      <c r="R31" s="1162"/>
    </row>
    <row r="32" spans="1:18" ht="17.25" customHeight="1" thickBot="1">
      <c r="A32" s="1683" t="s">
        <v>600</v>
      </c>
      <c r="B32" s="1684"/>
      <c r="C32" s="1685"/>
      <c r="D32" s="1156"/>
      <c r="E32" s="1157"/>
      <c r="F32" s="1158"/>
      <c r="G32" s="1159"/>
      <c r="H32" s="1160"/>
      <c r="I32" s="1161">
        <v>-2.2974669300000001</v>
      </c>
      <c r="J32" s="1109"/>
      <c r="K32" s="1169"/>
      <c r="L32" s="1162"/>
      <c r="M32" s="1170"/>
      <c r="N32" s="1171"/>
      <c r="O32" s="1165"/>
      <c r="P32" s="1162"/>
      <c r="Q32" s="1172"/>
      <c r="R32" s="1162"/>
    </row>
    <row r="33" spans="1:18" ht="17.25" customHeight="1" thickBot="1">
      <c r="A33" s="1683" t="s">
        <v>601</v>
      </c>
      <c r="B33" s="1684"/>
      <c r="C33" s="1685"/>
      <c r="D33" s="1156"/>
      <c r="E33" s="1157"/>
      <c r="F33" s="1173">
        <v>1.7147380000000001</v>
      </c>
      <c r="G33" s="1151">
        <f>SUM(E33:F33)</f>
        <v>1.7147380000000001</v>
      </c>
      <c r="H33" s="1160"/>
      <c r="I33" s="1169"/>
      <c r="J33" s="1109"/>
      <c r="K33" s="1169"/>
      <c r="L33" s="1162"/>
      <c r="M33" s="1170"/>
      <c r="N33" s="1171"/>
      <c r="O33" s="1165"/>
      <c r="P33" s="1162"/>
      <c r="Q33" s="1172"/>
      <c r="R33" s="1162"/>
    </row>
    <row r="34" spans="1:18" ht="17.25" customHeight="1" thickBot="1">
      <c r="A34" s="1701" t="s">
        <v>200</v>
      </c>
      <c r="B34" s="1702"/>
      <c r="C34" s="1703"/>
      <c r="D34" s="1174"/>
      <c r="E34" s="1175">
        <f>SUM(E11:E33)</f>
        <v>2.0989131038838234</v>
      </c>
      <c r="F34" s="1175">
        <f>SUM(F11:F33)</f>
        <v>9.5844714061429741</v>
      </c>
      <c r="G34" s="1175">
        <f>SUM(G11:G33)</f>
        <v>11.6833845100268</v>
      </c>
      <c r="H34" s="1176"/>
      <c r="I34" s="1175">
        <f>SUM(I11:I33)</f>
        <v>23.07779493510921</v>
      </c>
      <c r="J34" s="1177"/>
      <c r="K34" s="1175">
        <f>SUM(K11:K33)</f>
        <v>1.1892334999999996</v>
      </c>
      <c r="L34" s="1178"/>
      <c r="M34" s="1179">
        <v>0</v>
      </c>
      <c r="N34" s="1179">
        <v>0</v>
      </c>
      <c r="O34" s="1179">
        <v>0</v>
      </c>
      <c r="P34" s="1178"/>
      <c r="Q34" s="1179">
        <v>0</v>
      </c>
      <c r="R34" s="1178"/>
    </row>
    <row r="35" spans="1:18" ht="15" thickBot="1">
      <c r="A35" s="1090"/>
      <c r="B35" s="1090"/>
      <c r="C35" s="1090"/>
      <c r="D35" s="1180"/>
      <c r="E35" s="1090"/>
      <c r="F35" s="1090"/>
      <c r="G35" s="1181"/>
      <c r="H35" s="1090"/>
      <c r="I35" s="1181"/>
      <c r="J35" s="1089"/>
      <c r="K35" s="1181"/>
      <c r="L35" s="1090"/>
      <c r="M35" s="1090"/>
      <c r="N35" s="1090"/>
      <c r="O35" s="1090"/>
      <c r="P35" s="1090"/>
      <c r="Q35" s="1090"/>
      <c r="R35" s="1090"/>
    </row>
    <row r="36" spans="1:18" ht="30.75" thickBot="1">
      <c r="A36" s="1182"/>
      <c r="B36" s="1182"/>
      <c r="C36" s="1183"/>
      <c r="D36" s="1184"/>
      <c r="E36" s="1185" t="s">
        <v>602</v>
      </c>
      <c r="F36" s="1186"/>
      <c r="G36" s="1186"/>
      <c r="H36" s="1186"/>
      <c r="I36" s="1187" t="s">
        <v>581</v>
      </c>
      <c r="J36" s="1174"/>
      <c r="K36" s="1188" t="s">
        <v>582</v>
      </c>
      <c r="L36" s="1189"/>
      <c r="M36" s="1178"/>
      <c r="N36" s="1178"/>
      <c r="O36" s="1178"/>
      <c r="P36" s="1178"/>
      <c r="Q36" s="1178"/>
      <c r="R36" s="1178"/>
    </row>
    <row r="37" spans="1:18" ht="17.25" customHeight="1" thickBot="1">
      <c r="A37" s="1178"/>
      <c r="B37" s="1189"/>
      <c r="C37" s="1189"/>
      <c r="D37" s="1189"/>
      <c r="E37" s="1704"/>
      <c r="F37" s="1705"/>
      <c r="G37" s="1705"/>
      <c r="H37" s="1706"/>
      <c r="I37" s="1101" t="s">
        <v>566</v>
      </c>
      <c r="J37" s="1174"/>
      <c r="K37" s="1102" t="s">
        <v>566</v>
      </c>
      <c r="L37" s="1178"/>
      <c r="M37" s="1178"/>
      <c r="N37" s="1178"/>
      <c r="O37" s="1178"/>
      <c r="P37" s="1178"/>
      <c r="Q37" s="1178"/>
      <c r="R37" s="1178"/>
    </row>
    <row r="38" spans="1:18" ht="17.25" customHeight="1">
      <c r="A38" s="1090"/>
      <c r="B38" s="1180"/>
      <c r="C38" s="1180"/>
      <c r="D38" s="1180"/>
      <c r="E38" s="1707" t="s">
        <v>603</v>
      </c>
      <c r="F38" s="1708"/>
      <c r="G38" s="1708"/>
      <c r="H38" s="1709"/>
      <c r="I38" s="1190">
        <v>6.2858851681558727</v>
      </c>
      <c r="J38" s="1109"/>
      <c r="K38" s="1119">
        <v>1.1892334999999996</v>
      </c>
      <c r="L38" s="1090"/>
      <c r="M38" s="1090"/>
      <c r="N38" s="1090"/>
      <c r="O38" s="1090"/>
      <c r="P38" s="1090"/>
      <c r="Q38" s="1090"/>
      <c r="R38" s="1090"/>
    </row>
    <row r="39" spans="1:18" ht="17.25" customHeight="1" thickBot="1">
      <c r="A39" s="1090"/>
      <c r="B39" s="1180"/>
      <c r="C39" s="1180"/>
      <c r="D39" s="1180"/>
      <c r="E39" s="1710" t="s">
        <v>604</v>
      </c>
      <c r="F39" s="1711"/>
      <c r="G39" s="1711"/>
      <c r="H39" s="1712"/>
      <c r="I39" s="1191">
        <v>16.791909766953342</v>
      </c>
      <c r="J39" s="1109"/>
      <c r="K39" s="1119">
        <v>0</v>
      </c>
      <c r="L39" s="1090"/>
      <c r="M39" s="1090"/>
      <c r="N39" s="1090"/>
      <c r="O39" s="1090"/>
      <c r="P39" s="1090"/>
      <c r="Q39" s="1090"/>
      <c r="R39" s="1090"/>
    </row>
    <row r="40" spans="1:18" ht="17.25" customHeight="1" thickBot="1">
      <c r="A40" s="1090"/>
      <c r="B40" s="1174"/>
      <c r="C40" s="1174"/>
      <c r="D40" s="1174"/>
      <c r="E40" s="1713" t="s">
        <v>605</v>
      </c>
      <c r="F40" s="1714"/>
      <c r="G40" s="1714"/>
      <c r="H40" s="1715"/>
      <c r="I40" s="1151">
        <v>23.077794935109214</v>
      </c>
      <c r="J40" s="1109"/>
      <c r="K40" s="1151">
        <v>1.1892334999999996</v>
      </c>
      <c r="L40" s="1090"/>
      <c r="M40" s="1090"/>
      <c r="N40" s="1090"/>
      <c r="O40" s="1090"/>
      <c r="P40" s="1090"/>
      <c r="Q40" s="1090"/>
      <c r="R40" s="1090"/>
    </row>
    <row r="41" spans="1:18" ht="15" thickBot="1">
      <c r="A41" s="1090"/>
      <c r="B41" s="1090"/>
      <c r="C41" s="1090"/>
      <c r="D41" s="1180"/>
      <c r="E41" s="1090"/>
      <c r="F41" s="1090"/>
      <c r="G41" s="1090"/>
      <c r="H41" s="1090"/>
      <c r="I41" s="1181"/>
      <c r="J41" s="1068"/>
      <c r="K41" s="1181"/>
      <c r="L41" s="1090"/>
      <c r="M41" s="1090"/>
      <c r="N41" s="1090"/>
      <c r="O41" s="1090"/>
      <c r="P41" s="1090"/>
      <c r="Q41" s="1090"/>
      <c r="R41" s="1090"/>
    </row>
    <row r="42" spans="1:18" ht="20.25">
      <c r="A42" s="1089"/>
      <c r="B42" s="1192"/>
      <c r="C42" s="1716" t="s">
        <v>550</v>
      </c>
      <c r="D42" s="1717"/>
      <c r="E42" s="1717"/>
      <c r="F42" s="1718"/>
      <c r="G42" s="1699" t="s">
        <v>566</v>
      </c>
      <c r="H42" s="1082"/>
      <c r="I42" s="1089"/>
      <c r="J42" s="1089"/>
      <c r="K42" s="1089"/>
      <c r="L42" s="1089"/>
      <c r="M42" s="1716" t="s">
        <v>550</v>
      </c>
      <c r="N42" s="1717"/>
      <c r="O42" s="1699" t="s">
        <v>566</v>
      </c>
      <c r="P42" s="1089"/>
      <c r="Q42" s="1089"/>
      <c r="R42" s="1089"/>
    </row>
    <row r="43" spans="1:18" ht="21" thickBot="1">
      <c r="A43" s="1089"/>
      <c r="B43" s="1192"/>
      <c r="C43" s="1719"/>
      <c r="D43" s="1720"/>
      <c r="E43" s="1720"/>
      <c r="F43" s="1721"/>
      <c r="G43" s="1700"/>
      <c r="H43" s="1082"/>
      <c r="I43" s="1089"/>
      <c r="J43" s="1089"/>
      <c r="K43" s="1089"/>
      <c r="L43" s="1089"/>
      <c r="M43" s="1719"/>
      <c r="N43" s="1720"/>
      <c r="O43" s="1700"/>
      <c r="P43" s="1089"/>
      <c r="Q43" s="1089"/>
      <c r="R43" s="1089"/>
    </row>
    <row r="44" spans="1:18" ht="17.25" customHeight="1" thickBot="1">
      <c r="A44" s="1089"/>
      <c r="B44" s="1193"/>
      <c r="C44" s="1722" t="s">
        <v>222</v>
      </c>
      <c r="D44" s="1723"/>
      <c r="E44" s="1723"/>
      <c r="F44" s="1724"/>
      <c r="G44" s="1190">
        <v>3.1008321843072717</v>
      </c>
      <c r="H44" s="1082"/>
      <c r="I44" s="1089"/>
      <c r="J44" s="1089"/>
      <c r="K44" s="1089"/>
      <c r="L44" s="1089"/>
      <c r="M44" s="1725" t="s">
        <v>401</v>
      </c>
      <c r="N44" s="1726"/>
      <c r="O44" s="1153"/>
      <c r="P44" s="1089"/>
      <c r="Q44" s="1089"/>
      <c r="R44" s="1089"/>
    </row>
    <row r="45" spans="1:18" ht="17.25" customHeight="1" thickBot="1">
      <c r="A45" s="1089"/>
      <c r="B45" s="1193"/>
      <c r="C45" s="1722" t="s">
        <v>223</v>
      </c>
      <c r="D45" s="1723"/>
      <c r="E45" s="1723"/>
      <c r="F45" s="1724"/>
      <c r="G45" s="1190">
        <v>5.2820475418532782</v>
      </c>
      <c r="H45" s="1082"/>
      <c r="I45" s="1089"/>
      <c r="J45" s="1089"/>
      <c r="K45" s="1089"/>
      <c r="L45" s="1089"/>
      <c r="M45" s="1089"/>
      <c r="N45" s="1089"/>
      <c r="O45" s="1089"/>
      <c r="P45" s="1089"/>
      <c r="Q45" s="1089"/>
      <c r="R45" s="1089"/>
    </row>
    <row r="46" spans="1:18" ht="17.25" customHeight="1" thickBot="1">
      <c r="A46" s="1089"/>
      <c r="B46" s="1193"/>
      <c r="C46" s="1722" t="s">
        <v>402</v>
      </c>
      <c r="D46" s="1723"/>
      <c r="E46" s="1723"/>
      <c r="F46" s="1724"/>
      <c r="G46" s="1190">
        <v>0.31448978018040508</v>
      </c>
      <c r="H46" s="1082"/>
      <c r="I46" s="1089"/>
      <c r="J46" s="1089"/>
      <c r="K46" s="1089"/>
      <c r="L46" s="1089"/>
      <c r="M46" s="1089"/>
      <c r="N46" s="1089"/>
      <c r="O46" s="1089"/>
      <c r="P46" s="1089"/>
      <c r="Q46" s="1089"/>
      <c r="R46" s="1089"/>
    </row>
    <row r="47" spans="1:18" ht="17.25" customHeight="1" thickBot="1">
      <c r="A47" s="1089"/>
      <c r="B47" s="1193"/>
      <c r="C47" s="1722" t="s">
        <v>401</v>
      </c>
      <c r="D47" s="1723"/>
      <c r="E47" s="1723"/>
      <c r="F47" s="1724"/>
      <c r="G47" s="1190">
        <v>0.22677157365904441</v>
      </c>
      <c r="H47" s="1082"/>
      <c r="I47" s="1089"/>
      <c r="J47" s="1089"/>
      <c r="K47" s="1089"/>
      <c r="L47" s="1089"/>
      <c r="M47" s="1089"/>
      <c r="N47" s="1089"/>
      <c r="O47" s="1089"/>
      <c r="P47" s="1089"/>
      <c r="Q47" s="1089"/>
      <c r="R47" s="1089"/>
    </row>
    <row r="48" spans="1:18" ht="17.25" customHeight="1" thickBot="1">
      <c r="A48" s="1089"/>
      <c r="B48" s="1194"/>
      <c r="C48" s="1195" t="s">
        <v>606</v>
      </c>
      <c r="D48" s="1196"/>
      <c r="E48" s="1196"/>
      <c r="F48" s="1197"/>
      <c r="G48" s="1198">
        <v>8.9241410800000001</v>
      </c>
      <c r="H48" s="1082"/>
      <c r="I48" s="1089"/>
      <c r="J48" s="1089"/>
      <c r="K48" s="1089"/>
      <c r="L48" s="1089"/>
      <c r="M48" s="1089"/>
      <c r="N48" s="1089"/>
      <c r="O48" s="1089"/>
      <c r="P48" s="1089"/>
      <c r="Q48" s="1089"/>
      <c r="R48" s="1089"/>
    </row>
    <row r="49" spans="1:18" ht="15">
      <c r="A49" s="1199"/>
      <c r="B49" s="1199"/>
      <c r="C49" s="1199"/>
      <c r="D49" s="1199"/>
      <c r="E49" s="1199"/>
      <c r="F49" s="1199"/>
      <c r="G49" s="1181"/>
      <c r="H49" s="1200"/>
      <c r="I49" s="1201"/>
      <c r="J49" s="1201"/>
      <c r="K49" s="1201"/>
      <c r="L49" s="1202"/>
      <c r="M49" s="1090"/>
      <c r="N49" s="1090"/>
      <c r="O49" s="1090"/>
      <c r="P49" s="1090"/>
      <c r="Q49" s="1090"/>
      <c r="R49" s="1090"/>
    </row>
  </sheetData>
  <mergeCells count="49">
    <mergeCell ref="C44:F44"/>
    <mergeCell ref="M44:N44"/>
    <mergeCell ref="C45:F45"/>
    <mergeCell ref="C46:F46"/>
    <mergeCell ref="C47:F47"/>
    <mergeCell ref="O42:O43"/>
    <mergeCell ref="A31:C31"/>
    <mergeCell ref="A32:C32"/>
    <mergeCell ref="A33:C33"/>
    <mergeCell ref="A34:C34"/>
    <mergeCell ref="E37:H37"/>
    <mergeCell ref="E38:H38"/>
    <mergeCell ref="E39:H39"/>
    <mergeCell ref="E40:H40"/>
    <mergeCell ref="C42:F43"/>
    <mergeCell ref="G42:G43"/>
    <mergeCell ref="M42:N43"/>
    <mergeCell ref="A30:C30"/>
    <mergeCell ref="A17:A19"/>
    <mergeCell ref="B17:C17"/>
    <mergeCell ref="B18:C18"/>
    <mergeCell ref="B19:C19"/>
    <mergeCell ref="A20:A23"/>
    <mergeCell ref="B20:C20"/>
    <mergeCell ref="B23:C23"/>
    <mergeCell ref="A24:A27"/>
    <mergeCell ref="B24:C24"/>
    <mergeCell ref="B27:C27"/>
    <mergeCell ref="A28:C28"/>
    <mergeCell ref="A29:C29"/>
    <mergeCell ref="A13:A16"/>
    <mergeCell ref="B13:C13"/>
    <mergeCell ref="B14:C14"/>
    <mergeCell ref="E14:E16"/>
    <mergeCell ref="G14:G16"/>
    <mergeCell ref="B15:C15"/>
    <mergeCell ref="B16:C16"/>
    <mergeCell ref="A11:A12"/>
    <mergeCell ref="B11:C11"/>
    <mergeCell ref="E11:E12"/>
    <mergeCell ref="F11:F12"/>
    <mergeCell ref="G11:G12"/>
    <mergeCell ref="B12:C12"/>
    <mergeCell ref="A9:C10"/>
    <mergeCell ref="M6:Q6"/>
    <mergeCell ref="E7:G7"/>
    <mergeCell ref="I7:K7"/>
    <mergeCell ref="M7:O8"/>
    <mergeCell ref="Q7:Q8"/>
  </mergeCells>
  <phoneticPr fontId="1" type="noConversion"/>
  <dataValidations count="1">
    <dataValidation type="decimal" operator="lessThanOrEqual" allowBlank="1" showInputMessage="1" showErrorMessage="1" sqref="I3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>
    <tabColor rgb="FFC5FFFF"/>
    <pageSetUpPr fitToPage="1"/>
  </sheetPr>
  <dimension ref="A1:N89"/>
  <sheetViews>
    <sheetView workbookViewId="0">
      <selection sqref="A1:XFD1048576"/>
    </sheetView>
  </sheetViews>
  <sheetFormatPr defaultColWidth="8.85546875" defaultRowHeight="12.75"/>
  <cols>
    <col min="1" max="2" width="8.85546875" customWidth="1"/>
    <col min="3" max="3" width="58.85546875" customWidth="1"/>
    <col min="4" max="4" width="40.140625" bestFit="1" customWidth="1"/>
    <col min="5" max="6" width="9" bestFit="1" customWidth="1"/>
  </cols>
  <sheetData>
    <row r="1" spans="1:14">
      <c r="A1" s="72" t="s">
        <v>526</v>
      </c>
      <c r="E1" s="73" t="s">
        <v>985</v>
      </c>
    </row>
    <row r="2" spans="1:14">
      <c r="A2" s="72"/>
    </row>
    <row r="3" spans="1:14">
      <c r="A3" s="72" t="s">
        <v>81</v>
      </c>
    </row>
    <row r="5" spans="1:14" ht="20.25">
      <c r="A5" s="1203" t="s">
        <v>607</v>
      </c>
      <c r="B5" s="1204"/>
      <c r="C5" s="1204"/>
      <c r="D5" s="1205"/>
      <c r="E5" s="1204"/>
      <c r="F5" s="1204"/>
      <c r="G5" s="1204"/>
      <c r="H5" s="1204"/>
      <c r="I5" s="1204"/>
      <c r="J5" s="1204"/>
      <c r="K5" s="1204"/>
      <c r="L5" s="1204"/>
      <c r="M5" s="1206"/>
      <c r="N5" s="1206"/>
    </row>
    <row r="6" spans="1:14" ht="21" thickBot="1">
      <c r="A6" s="1203"/>
      <c r="B6" s="1204"/>
      <c r="C6" s="1204"/>
      <c r="D6" s="1205"/>
      <c r="E6" s="1204"/>
      <c r="F6" s="1204"/>
      <c r="G6" s="1204"/>
      <c r="H6" s="1204"/>
      <c r="I6" s="1204"/>
      <c r="J6" s="1204"/>
      <c r="K6" s="1204"/>
      <c r="L6" s="1204"/>
      <c r="M6" s="1206"/>
      <c r="N6" s="1206"/>
    </row>
    <row r="7" spans="1:14" ht="18.75" thickBot="1">
      <c r="A7" s="1207"/>
      <c r="B7" s="1207"/>
      <c r="C7" s="1208" t="s">
        <v>1152</v>
      </c>
      <c r="D7" s="1209"/>
      <c r="E7" s="1209"/>
      <c r="F7" s="1209"/>
      <c r="G7" s="1209"/>
      <c r="H7" s="1209"/>
      <c r="I7" s="1209"/>
      <c r="J7" s="1209"/>
      <c r="K7" s="1209"/>
      <c r="L7" s="1210"/>
      <c r="M7" s="1207"/>
      <c r="N7" s="1207"/>
    </row>
    <row r="8" spans="1:14" ht="98.25" thickBot="1">
      <c r="A8" s="1207"/>
      <c r="B8" s="1207"/>
      <c r="C8" s="1729" t="s">
        <v>609</v>
      </c>
      <c r="D8" s="1730"/>
      <c r="E8" s="1211" t="s">
        <v>610</v>
      </c>
      <c r="F8" s="1212" t="s">
        <v>611</v>
      </c>
      <c r="G8" s="1212" t="s">
        <v>612</v>
      </c>
      <c r="H8" s="1211" t="s">
        <v>613</v>
      </c>
      <c r="I8" s="1212" t="s">
        <v>614</v>
      </c>
      <c r="J8" s="1213" t="s">
        <v>615</v>
      </c>
      <c r="K8" s="1214" t="s">
        <v>616</v>
      </c>
      <c r="L8" s="1215" t="s">
        <v>200</v>
      </c>
      <c r="M8" s="1207"/>
      <c r="N8" s="1207"/>
    </row>
    <row r="9" spans="1:14" ht="15.75" thickBot="1">
      <c r="A9" s="1207"/>
      <c r="B9" s="1207"/>
      <c r="C9" s="1731"/>
      <c r="D9" s="1732"/>
      <c r="E9" s="1216" t="s">
        <v>566</v>
      </c>
      <c r="F9" s="1217" t="s">
        <v>566</v>
      </c>
      <c r="G9" s="1217" t="s">
        <v>566</v>
      </c>
      <c r="H9" s="1216" t="s">
        <v>566</v>
      </c>
      <c r="I9" s="1217" t="s">
        <v>566</v>
      </c>
      <c r="J9" s="1217" t="s">
        <v>566</v>
      </c>
      <c r="K9" s="1218" t="s">
        <v>566</v>
      </c>
      <c r="L9" s="1219" t="s">
        <v>566</v>
      </c>
      <c r="M9" s="1207"/>
      <c r="N9" s="1207"/>
    </row>
    <row r="10" spans="1:14" ht="15">
      <c r="A10" s="1207"/>
      <c r="B10" s="1207"/>
      <c r="C10" s="1733" t="s">
        <v>617</v>
      </c>
      <c r="D10" s="1734"/>
      <c r="E10" s="1220"/>
      <c r="F10" s="1221"/>
      <c r="G10" s="1221"/>
      <c r="H10" s="1220"/>
      <c r="I10" s="1221"/>
      <c r="J10" s="1222"/>
      <c r="K10" s="1222"/>
      <c r="L10" s="1223">
        <v>0</v>
      </c>
      <c r="M10" s="1207"/>
      <c r="N10" s="1207"/>
    </row>
    <row r="11" spans="1:14" ht="14.25">
      <c r="A11" s="1207"/>
      <c r="B11" s="1207"/>
      <c r="C11" s="1735" t="s">
        <v>243</v>
      </c>
      <c r="D11" s="1736"/>
      <c r="E11" s="1224">
        <v>30.64</v>
      </c>
      <c r="F11" s="1224">
        <v>0</v>
      </c>
      <c r="G11" s="1224">
        <v>0</v>
      </c>
      <c r="H11" s="1224">
        <v>6.24</v>
      </c>
      <c r="I11" s="1225"/>
      <c r="J11" s="1226"/>
      <c r="K11" s="1227"/>
      <c r="L11" s="1228">
        <v>36.880000000000003</v>
      </c>
      <c r="M11" s="1207"/>
      <c r="N11" s="1207"/>
    </row>
    <row r="12" spans="1:14" ht="14.25">
      <c r="A12" s="1207"/>
      <c r="B12" s="1207"/>
      <c r="C12" s="1735" t="s">
        <v>247</v>
      </c>
      <c r="D12" s="1736"/>
      <c r="E12" s="1224">
        <v>5.54</v>
      </c>
      <c r="F12" s="1224">
        <v>0</v>
      </c>
      <c r="G12" s="1224">
        <v>0</v>
      </c>
      <c r="H12" s="1224">
        <v>1.74</v>
      </c>
      <c r="I12" s="1225"/>
      <c r="J12" s="1226"/>
      <c r="K12" s="1227"/>
      <c r="L12" s="1228">
        <v>7.28</v>
      </c>
      <c r="M12" s="1207"/>
      <c r="N12" s="1207"/>
    </row>
    <row r="13" spans="1:14" ht="14.25">
      <c r="A13" s="1207"/>
      <c r="B13" s="1207"/>
      <c r="C13" s="1735" t="s">
        <v>249</v>
      </c>
      <c r="D13" s="1736"/>
      <c r="E13" s="1224">
        <v>2.9520820421511697E-4</v>
      </c>
      <c r="F13" s="1224">
        <v>0</v>
      </c>
      <c r="G13" s="1224">
        <v>0</v>
      </c>
      <c r="H13" s="1224">
        <v>2.2740721737946355E-2</v>
      </c>
      <c r="I13" s="1225"/>
      <c r="J13" s="1226"/>
      <c r="K13" s="1227"/>
      <c r="L13" s="1228">
        <v>2.303592994216147E-2</v>
      </c>
      <c r="M13" s="1207"/>
      <c r="N13" s="1207"/>
    </row>
    <row r="14" spans="1:14" ht="14.25">
      <c r="A14" s="1207"/>
      <c r="B14" s="1207"/>
      <c r="C14" s="1735" t="s">
        <v>251</v>
      </c>
      <c r="D14" s="1736"/>
      <c r="E14" s="1224">
        <v>0</v>
      </c>
      <c r="F14" s="1224">
        <v>0</v>
      </c>
      <c r="G14" s="1224">
        <v>0</v>
      </c>
      <c r="H14" s="1224">
        <v>0</v>
      </c>
      <c r="I14" s="1225"/>
      <c r="J14" s="1226"/>
      <c r="K14" s="1227"/>
      <c r="L14" s="1228">
        <v>0</v>
      </c>
      <c r="M14" s="1207"/>
      <c r="N14" s="1207"/>
    </row>
    <row r="15" spans="1:14" ht="15">
      <c r="A15" s="1207"/>
      <c r="B15" s="1207"/>
      <c r="C15" s="1727" t="s">
        <v>618</v>
      </c>
      <c r="D15" s="1728"/>
      <c r="E15" s="1229"/>
      <c r="F15" s="1230"/>
      <c r="G15" s="1230"/>
      <c r="H15" s="1229"/>
      <c r="I15" s="1225"/>
      <c r="J15" s="1226"/>
      <c r="K15" s="1227"/>
      <c r="L15" s="1231">
        <v>0</v>
      </c>
      <c r="M15" s="1207"/>
      <c r="N15" s="1207"/>
    </row>
    <row r="16" spans="1:14" ht="14.25">
      <c r="A16" s="1207"/>
      <c r="B16" s="1207"/>
      <c r="C16" s="1735" t="s">
        <v>345</v>
      </c>
      <c r="D16" s="1737"/>
      <c r="E16" s="1232"/>
      <c r="F16" s="1225"/>
      <c r="G16" s="1225"/>
      <c r="H16" s="1225"/>
      <c r="I16" s="1224">
        <v>0.84</v>
      </c>
      <c r="J16" s="1224">
        <v>0</v>
      </c>
      <c r="K16" s="1227"/>
      <c r="L16" s="1228">
        <v>0.84</v>
      </c>
      <c r="M16" s="1207"/>
      <c r="N16" s="1207"/>
    </row>
    <row r="17" spans="1:14" ht="14.25">
      <c r="A17" s="1207"/>
      <c r="B17" s="1207"/>
      <c r="C17" s="1735" t="s">
        <v>346</v>
      </c>
      <c r="D17" s="1737"/>
      <c r="E17" s="1232"/>
      <c r="F17" s="1225"/>
      <c r="G17" s="1225"/>
      <c r="H17" s="1225"/>
      <c r="I17" s="1224">
        <v>4.6399999999999997</v>
      </c>
      <c r="J17" s="1224">
        <v>0</v>
      </c>
      <c r="K17" s="1227"/>
      <c r="L17" s="1228">
        <v>4.6399999999999997</v>
      </c>
      <c r="M17" s="1207"/>
      <c r="N17" s="1207"/>
    </row>
    <row r="18" spans="1:14" ht="14.25">
      <c r="A18" s="1207"/>
      <c r="B18" s="1207"/>
      <c r="C18" s="1735" t="s">
        <v>347</v>
      </c>
      <c r="D18" s="1737"/>
      <c r="E18" s="1232"/>
      <c r="F18" s="1225"/>
      <c r="G18" s="1225"/>
      <c r="H18" s="1225"/>
      <c r="I18" s="1224">
        <v>8.34</v>
      </c>
      <c r="J18" s="1224">
        <v>0</v>
      </c>
      <c r="K18" s="1227"/>
      <c r="L18" s="1228">
        <v>8.34</v>
      </c>
      <c r="M18" s="1207"/>
      <c r="N18" s="1207"/>
    </row>
    <row r="19" spans="1:14" ht="14.25">
      <c r="A19" s="1207"/>
      <c r="B19" s="1207"/>
      <c r="C19" s="1735" t="s">
        <v>348</v>
      </c>
      <c r="D19" s="1737"/>
      <c r="E19" s="1232"/>
      <c r="F19" s="1225"/>
      <c r="G19" s="1225"/>
      <c r="H19" s="1225"/>
      <c r="I19" s="1224">
        <v>1.84</v>
      </c>
      <c r="J19" s="1224">
        <v>0</v>
      </c>
      <c r="K19" s="1227"/>
      <c r="L19" s="1228">
        <v>1.84</v>
      </c>
      <c r="M19" s="1207"/>
      <c r="N19" s="1207"/>
    </row>
    <row r="20" spans="1:14" ht="15">
      <c r="A20" s="1207"/>
      <c r="B20" s="1207"/>
      <c r="C20" s="1727" t="s">
        <v>616</v>
      </c>
      <c r="D20" s="1728"/>
      <c r="E20" s="1233"/>
      <c r="F20" s="1234"/>
      <c r="G20" s="1234"/>
      <c r="H20" s="1234"/>
      <c r="I20" s="1234"/>
      <c r="J20" s="1227"/>
      <c r="K20" s="1224">
        <v>0</v>
      </c>
      <c r="L20" s="1228">
        <v>0</v>
      </c>
      <c r="M20" s="1207"/>
      <c r="N20" s="1207"/>
    </row>
    <row r="21" spans="1:14" ht="15">
      <c r="A21" s="1207"/>
      <c r="B21" s="1207"/>
      <c r="C21" s="1727" t="s">
        <v>619</v>
      </c>
      <c r="D21" s="1728"/>
      <c r="E21" s="1235">
        <v>36.180295208204214</v>
      </c>
      <c r="F21" s="1235">
        <v>0</v>
      </c>
      <c r="G21" s="1235">
        <v>0</v>
      </c>
      <c r="H21" s="1235">
        <v>8.0027407217379469</v>
      </c>
      <c r="I21" s="1235">
        <v>15.66</v>
      </c>
      <c r="J21" s="1235">
        <v>0</v>
      </c>
      <c r="K21" s="1236">
        <v>0</v>
      </c>
      <c r="L21" s="1237">
        <v>59.843035929942175</v>
      </c>
      <c r="M21" s="1238"/>
      <c r="N21" s="1207"/>
    </row>
    <row r="22" spans="1:14" ht="14.25">
      <c r="A22" s="1207"/>
      <c r="B22" s="1207"/>
      <c r="C22" s="1735" t="s">
        <v>620</v>
      </c>
      <c r="D22" s="1737"/>
      <c r="E22" s="1224">
        <v>0</v>
      </c>
      <c r="F22" s="1225"/>
      <c r="G22" s="1224">
        <v>0</v>
      </c>
      <c r="H22" s="1224">
        <v>0</v>
      </c>
      <c r="I22" s="1224">
        <v>0</v>
      </c>
      <c r="J22" s="1224">
        <v>0</v>
      </c>
      <c r="K22" s="1224">
        <v>0</v>
      </c>
      <c r="L22" s="1228">
        <v>0</v>
      </c>
      <c r="M22" s="1238"/>
      <c r="N22" s="1207"/>
    </row>
    <row r="23" spans="1:14" ht="15">
      <c r="A23" s="1207"/>
      <c r="B23" s="1207"/>
      <c r="C23" s="1727" t="s">
        <v>621</v>
      </c>
      <c r="D23" s="1728"/>
      <c r="E23" s="1235">
        <v>36.180295208204214</v>
      </c>
      <c r="F23" s="1239">
        <v>0</v>
      </c>
      <c r="G23" s="1239">
        <v>0</v>
      </c>
      <c r="H23" s="1239">
        <v>8.0027407217379469</v>
      </c>
      <c r="I23" s="1239">
        <v>15.66</v>
      </c>
      <c r="J23" s="1239">
        <v>0</v>
      </c>
      <c r="K23" s="1240">
        <v>0</v>
      </c>
      <c r="L23" s="1237">
        <v>59.843035929942161</v>
      </c>
      <c r="M23" s="1241"/>
      <c r="N23" s="1207"/>
    </row>
    <row r="24" spans="1:14" ht="15.75" thickBot="1">
      <c r="A24" s="1207"/>
      <c r="B24" s="1207"/>
      <c r="C24" s="1741" t="s">
        <v>622</v>
      </c>
      <c r="D24" s="1742"/>
      <c r="E24" s="1224">
        <v>-54.2</v>
      </c>
      <c r="F24" s="1224">
        <v>0</v>
      </c>
      <c r="G24" s="1224">
        <v>0</v>
      </c>
      <c r="H24" s="1242"/>
      <c r="I24" s="1243"/>
      <c r="J24" s="1243"/>
      <c r="K24" s="1224">
        <v>0</v>
      </c>
      <c r="L24" s="1244">
        <v>-54.2</v>
      </c>
      <c r="M24" s="1245"/>
      <c r="N24" s="1207"/>
    </row>
    <row r="25" spans="1:14" ht="15.75" thickBot="1">
      <c r="A25" s="1207"/>
      <c r="B25" s="1207"/>
      <c r="C25" s="1701" t="s">
        <v>623</v>
      </c>
      <c r="D25" s="1743"/>
      <c r="E25" s="1246">
        <v>-18.019704791795789</v>
      </c>
      <c r="F25" s="1247">
        <v>0</v>
      </c>
      <c r="G25" s="1247">
        <v>0</v>
      </c>
      <c r="H25" s="1247">
        <v>8.0027407217379469</v>
      </c>
      <c r="I25" s="1247">
        <v>15.66</v>
      </c>
      <c r="J25" s="1247">
        <v>0</v>
      </c>
      <c r="K25" s="1248">
        <v>0</v>
      </c>
      <c r="L25" s="1249">
        <v>5.6430359299421582</v>
      </c>
      <c r="M25" s="1241"/>
      <c r="N25" s="1207"/>
    </row>
    <row r="26" spans="1:14" ht="15.75" thickBot="1">
      <c r="A26" s="1207"/>
      <c r="B26" s="1207"/>
      <c r="C26" s="1199"/>
      <c r="D26" s="1199"/>
      <c r="E26" s="1250"/>
      <c r="F26" s="1250"/>
      <c r="G26" s="1251"/>
      <c r="H26" s="1252"/>
      <c r="I26" s="1207"/>
      <c r="J26" s="1207"/>
      <c r="K26" s="1207"/>
      <c r="L26" s="1207"/>
      <c r="M26" s="1207"/>
      <c r="N26" s="1207"/>
    </row>
    <row r="27" spans="1:14" ht="18.75" thickBot="1">
      <c r="A27" s="1207"/>
      <c r="B27" s="1207"/>
      <c r="C27" s="1253" t="s">
        <v>1153</v>
      </c>
      <c r="D27" s="1254"/>
      <c r="E27" s="1255"/>
      <c r="F27" s="1255"/>
      <c r="G27" s="1256"/>
      <c r="H27" s="1207"/>
      <c r="I27" s="1207"/>
      <c r="J27" s="1207"/>
      <c r="K27" s="1207"/>
      <c r="L27" s="1257"/>
      <c r="M27" s="1207"/>
      <c r="N27" s="1207"/>
    </row>
    <row r="28" spans="1:14" ht="15.75" thickBot="1">
      <c r="A28" s="1207"/>
      <c r="B28" s="1207"/>
      <c r="C28" s="1729" t="s">
        <v>609</v>
      </c>
      <c r="D28" s="1730"/>
      <c r="E28" s="1746" t="s">
        <v>624</v>
      </c>
      <c r="F28" s="1747"/>
      <c r="G28" s="1258"/>
      <c r="H28" s="1207"/>
      <c r="I28" s="1207"/>
      <c r="J28" s="1207"/>
      <c r="K28" s="1207"/>
      <c r="L28" s="1257"/>
      <c r="M28" s="1207"/>
      <c r="N28" s="1207"/>
    </row>
    <row r="29" spans="1:14" ht="45.75" thickBot="1">
      <c r="A29" s="1207"/>
      <c r="B29" s="1207"/>
      <c r="C29" s="1744"/>
      <c r="D29" s="1745"/>
      <c r="E29" s="1259" t="s">
        <v>625</v>
      </c>
      <c r="F29" s="1259" t="s">
        <v>626</v>
      </c>
      <c r="G29" s="1260" t="s">
        <v>627</v>
      </c>
      <c r="H29" s="1207"/>
      <c r="I29" s="1207"/>
      <c r="J29" s="1207"/>
      <c r="K29" s="1207"/>
      <c r="L29" s="1257"/>
      <c r="M29" s="1207"/>
      <c r="N29" s="1207"/>
    </row>
    <row r="30" spans="1:14" ht="15.75" thickBot="1">
      <c r="A30" s="1207"/>
      <c r="B30" s="1207"/>
      <c r="C30" s="1731"/>
      <c r="D30" s="1732"/>
      <c r="E30" s="1261" t="s">
        <v>566</v>
      </c>
      <c r="F30" s="1261" t="s">
        <v>566</v>
      </c>
      <c r="G30" s="1261" t="s">
        <v>566</v>
      </c>
      <c r="H30" s="1207"/>
      <c r="I30" s="1207"/>
      <c r="J30" s="1207"/>
      <c r="K30" s="1207"/>
      <c r="L30" s="1257"/>
      <c r="M30" s="1207"/>
      <c r="N30" s="1207"/>
    </row>
    <row r="31" spans="1:14" ht="15">
      <c r="A31" s="1207"/>
      <c r="B31" s="1207"/>
      <c r="C31" s="1748" t="s">
        <v>422</v>
      </c>
      <c r="D31" s="1262" t="s">
        <v>423</v>
      </c>
      <c r="E31" s="1263">
        <v>0.24</v>
      </c>
      <c r="F31" s="1224">
        <v>4.6292713318415564E-2</v>
      </c>
      <c r="G31" s="1264">
        <v>0.28629271331841555</v>
      </c>
      <c r="H31" s="1207"/>
      <c r="I31" s="1207"/>
      <c r="J31" s="1207"/>
      <c r="K31" s="1207"/>
      <c r="L31" s="1257"/>
      <c r="M31" s="1207"/>
      <c r="N31" s="1207"/>
    </row>
    <row r="32" spans="1:14" ht="15.75" thickBot="1">
      <c r="A32" s="1207"/>
      <c r="B32" s="1207"/>
      <c r="C32" s="1749"/>
      <c r="D32" s="1265" t="s">
        <v>424</v>
      </c>
      <c r="E32" s="1266">
        <v>3.64</v>
      </c>
      <c r="F32" s="1266">
        <v>0.21368979761934548</v>
      </c>
      <c r="G32" s="1267">
        <v>3.8536897976193458</v>
      </c>
      <c r="H32" s="1207"/>
      <c r="I32" s="1207"/>
      <c r="J32" s="1207"/>
      <c r="K32" s="1207"/>
      <c r="L32" s="1257"/>
      <c r="M32" s="1207"/>
      <c r="N32" s="1207"/>
    </row>
    <row r="33" spans="1:14" ht="15">
      <c r="A33" s="1207"/>
      <c r="B33" s="1207"/>
      <c r="C33" s="1748" t="s">
        <v>425</v>
      </c>
      <c r="D33" s="1262" t="s">
        <v>423</v>
      </c>
      <c r="E33" s="1263">
        <v>0</v>
      </c>
      <c r="F33" s="1224">
        <v>0</v>
      </c>
      <c r="G33" s="1264">
        <v>0</v>
      </c>
      <c r="H33" s="1207"/>
      <c r="I33" s="1207"/>
      <c r="J33" s="1207"/>
      <c r="K33" s="1207"/>
      <c r="L33" s="1257"/>
      <c r="M33" s="1207"/>
      <c r="N33" s="1207"/>
    </row>
    <row r="34" spans="1:14" ht="15.75" thickBot="1">
      <c r="A34" s="1207"/>
      <c r="B34" s="1207"/>
      <c r="C34" s="1749"/>
      <c r="D34" s="1265" t="s">
        <v>424</v>
      </c>
      <c r="E34" s="1266">
        <v>0</v>
      </c>
      <c r="F34" s="1266">
        <v>0</v>
      </c>
      <c r="G34" s="1267">
        <v>0</v>
      </c>
      <c r="H34" s="1207"/>
      <c r="I34" s="1207"/>
      <c r="J34" s="1207"/>
      <c r="K34" s="1207"/>
      <c r="L34" s="1257"/>
      <c r="M34" s="1207"/>
      <c r="N34" s="1207"/>
    </row>
    <row r="35" spans="1:14" ht="15">
      <c r="A35" s="1207"/>
      <c r="B35" s="1207"/>
      <c r="C35" s="1738" t="s">
        <v>345</v>
      </c>
      <c r="D35" s="1262" t="s">
        <v>588</v>
      </c>
      <c r="E35" s="1263">
        <v>0.58803843337182204</v>
      </c>
      <c r="F35" s="1224">
        <v>8.1542676024189704E-3</v>
      </c>
      <c r="G35" s="1264">
        <v>0.59619270097424104</v>
      </c>
      <c r="H35" s="1207"/>
      <c r="I35" s="1207"/>
      <c r="J35" s="1207"/>
      <c r="K35" s="1207"/>
      <c r="L35" s="1257"/>
      <c r="M35" s="1207"/>
      <c r="N35" s="1207"/>
    </row>
    <row r="36" spans="1:14" ht="15">
      <c r="A36" s="1207"/>
      <c r="B36" s="1207"/>
      <c r="C36" s="1739"/>
      <c r="D36" s="1268" t="s">
        <v>628</v>
      </c>
      <c r="E36" s="1263">
        <v>5.3744597642332632</v>
      </c>
      <c r="F36" s="1224">
        <v>7.1868956503129411E-2</v>
      </c>
      <c r="G36" s="1228">
        <v>5.4463287207363926</v>
      </c>
      <c r="H36" s="1207"/>
      <c r="I36" s="1207"/>
      <c r="J36" s="1207"/>
      <c r="K36" s="1207"/>
      <c r="L36" s="1257"/>
      <c r="M36" s="1207"/>
      <c r="N36" s="1207"/>
    </row>
    <row r="37" spans="1:14" ht="15.75" thickBot="1">
      <c r="A37" s="1207"/>
      <c r="B37" s="1207"/>
      <c r="C37" s="1740"/>
      <c r="D37" s="1269" t="s">
        <v>428</v>
      </c>
      <c r="E37" s="1266">
        <v>2.3075336631865913</v>
      </c>
      <c r="F37" s="1266">
        <v>0.19078495292205472</v>
      </c>
      <c r="G37" s="1267">
        <v>2.4983186161086461</v>
      </c>
      <c r="H37" s="1207"/>
      <c r="I37" s="1207"/>
      <c r="J37" s="1207"/>
      <c r="K37" s="1207"/>
      <c r="L37" s="1257"/>
      <c r="M37" s="1207"/>
      <c r="N37" s="1207"/>
    </row>
    <row r="38" spans="1:14" ht="15">
      <c r="A38" s="1207"/>
      <c r="B38" s="1207"/>
      <c r="C38" s="1738" t="s">
        <v>223</v>
      </c>
      <c r="D38" s="1262" t="s">
        <v>429</v>
      </c>
      <c r="E38" s="1263">
        <v>10.349688615538659</v>
      </c>
      <c r="F38" s="1224">
        <v>6.9203446524298495E-2</v>
      </c>
      <c r="G38" s="1264">
        <v>10.418892062062957</v>
      </c>
      <c r="H38" s="1207"/>
      <c r="I38" s="1207"/>
      <c r="J38" s="1207"/>
      <c r="K38" s="1207"/>
      <c r="L38" s="1257"/>
      <c r="M38" s="1207"/>
      <c r="N38" s="1207"/>
    </row>
    <row r="39" spans="1:14" ht="15">
      <c r="A39" s="1207"/>
      <c r="B39" s="1207"/>
      <c r="C39" s="1739"/>
      <c r="D39" s="1268" t="s">
        <v>592</v>
      </c>
      <c r="E39" s="1263">
        <v>3.54</v>
      </c>
      <c r="F39" s="1224">
        <v>1.24</v>
      </c>
      <c r="G39" s="1228">
        <v>4.78</v>
      </c>
      <c r="H39" s="1207"/>
      <c r="I39" s="1207"/>
      <c r="J39" s="1207"/>
      <c r="K39" s="1207"/>
      <c r="L39" s="1257"/>
      <c r="M39" s="1207"/>
      <c r="N39" s="1207"/>
    </row>
    <row r="40" spans="1:14" ht="15">
      <c r="A40" s="1207"/>
      <c r="B40" s="1207"/>
      <c r="C40" s="1739"/>
      <c r="D40" s="1270" t="s">
        <v>430</v>
      </c>
      <c r="E40" s="1263">
        <v>0</v>
      </c>
      <c r="F40" s="1224">
        <v>0</v>
      </c>
      <c r="G40" s="1228">
        <v>0</v>
      </c>
      <c r="H40" s="1207"/>
      <c r="I40" s="1207"/>
      <c r="J40" s="1207"/>
      <c r="K40" s="1207"/>
      <c r="L40" s="1257"/>
      <c r="M40" s="1207"/>
      <c r="N40" s="1207"/>
    </row>
    <row r="41" spans="1:14" ht="15">
      <c r="A41" s="1207"/>
      <c r="B41" s="1207"/>
      <c r="C41" s="1739"/>
      <c r="D41" s="1270" t="s">
        <v>428</v>
      </c>
      <c r="E41" s="1263">
        <v>3.74</v>
      </c>
      <c r="F41" s="1224">
        <v>0.54821908400879216</v>
      </c>
      <c r="G41" s="1228">
        <v>4.2882190840087926</v>
      </c>
      <c r="H41" s="1207"/>
      <c r="I41" s="1207"/>
      <c r="J41" s="1207"/>
      <c r="K41" s="1207"/>
      <c r="L41" s="1257"/>
      <c r="M41" s="1207"/>
      <c r="N41" s="1207"/>
    </row>
    <row r="42" spans="1:14" ht="15">
      <c r="A42" s="1207"/>
      <c r="B42" s="1207"/>
      <c r="C42" s="1739"/>
      <c r="D42" s="1268" t="s">
        <v>431</v>
      </c>
      <c r="E42" s="1263">
        <v>0.37899100091533766</v>
      </c>
      <c r="F42" s="1224">
        <v>0.32116813541497696</v>
      </c>
      <c r="G42" s="1228">
        <v>0.70015913633031457</v>
      </c>
      <c r="H42" s="1207"/>
      <c r="I42" s="1207"/>
      <c r="J42" s="1207"/>
      <c r="K42" s="1207"/>
      <c r="L42" s="1257"/>
      <c r="M42" s="1207"/>
      <c r="N42" s="1207"/>
    </row>
    <row r="43" spans="1:14" ht="15.75" thickBot="1">
      <c r="A43" s="1207"/>
      <c r="B43" s="1207"/>
      <c r="C43" s="1740"/>
      <c r="D43" s="1265" t="s">
        <v>432</v>
      </c>
      <c r="E43" s="1266">
        <v>1.24</v>
      </c>
      <c r="F43" s="1266">
        <v>0.7</v>
      </c>
      <c r="G43" s="1267">
        <v>1.94</v>
      </c>
      <c r="H43" s="1207"/>
      <c r="I43" s="1207"/>
      <c r="J43" s="1207"/>
      <c r="K43" s="1207"/>
      <c r="L43" s="1257"/>
      <c r="M43" s="1207"/>
      <c r="N43" s="1207"/>
    </row>
    <row r="44" spans="1:14" ht="15">
      <c r="A44" s="1207"/>
      <c r="B44" s="1207"/>
      <c r="C44" s="1738" t="s">
        <v>402</v>
      </c>
      <c r="D44" s="1262" t="s">
        <v>429</v>
      </c>
      <c r="E44" s="1263">
        <v>4.5747654658786413E-2</v>
      </c>
      <c r="F44" s="1224">
        <v>5.8758471721742428E-3</v>
      </c>
      <c r="G44" s="1264">
        <v>5.1623501830960657E-2</v>
      </c>
      <c r="H44" s="1207"/>
      <c r="I44" s="1207"/>
      <c r="J44" s="1207"/>
      <c r="K44" s="1207"/>
      <c r="L44" s="1257"/>
      <c r="M44" s="1207"/>
      <c r="N44" s="1207"/>
    </row>
    <row r="45" spans="1:14" ht="15">
      <c r="A45" s="1207"/>
      <c r="B45" s="1207"/>
      <c r="C45" s="1739"/>
      <c r="D45" s="1268" t="s">
        <v>592</v>
      </c>
      <c r="E45" s="1263">
        <v>1.04</v>
      </c>
      <c r="F45" s="1224">
        <v>0.22404121029423843</v>
      </c>
      <c r="G45" s="1228">
        <v>1.2640412102942384</v>
      </c>
      <c r="H45" s="1207"/>
      <c r="I45" s="1207"/>
      <c r="J45" s="1207"/>
      <c r="K45" s="1207"/>
      <c r="L45" s="1257"/>
      <c r="M45" s="1207"/>
      <c r="N45" s="1207"/>
    </row>
    <row r="46" spans="1:14" ht="15">
      <c r="A46" s="1207"/>
      <c r="B46" s="1207"/>
      <c r="C46" s="1739"/>
      <c r="D46" s="1268" t="s">
        <v>430</v>
      </c>
      <c r="E46" s="1263">
        <v>0</v>
      </c>
      <c r="F46" s="1224">
        <v>0</v>
      </c>
      <c r="G46" s="1228">
        <v>0</v>
      </c>
      <c r="H46" s="1207"/>
      <c r="I46" s="1207"/>
      <c r="J46" s="1207"/>
      <c r="K46" s="1207"/>
      <c r="L46" s="1257"/>
      <c r="M46" s="1207"/>
      <c r="N46" s="1207"/>
    </row>
    <row r="47" spans="1:14" ht="15">
      <c r="A47" s="1207"/>
      <c r="B47" s="1207"/>
      <c r="C47" s="1739"/>
      <c r="D47" s="1268" t="s">
        <v>428</v>
      </c>
      <c r="E47" s="1263">
        <v>3.8405046976352872E-2</v>
      </c>
      <c r="F47" s="1224">
        <v>3.1893983520429048E-2</v>
      </c>
      <c r="G47" s="1228">
        <v>7.029903049678192E-2</v>
      </c>
      <c r="H47" s="1207"/>
      <c r="I47" s="1207"/>
      <c r="J47" s="1207"/>
      <c r="K47" s="1207"/>
      <c r="L47" s="1257"/>
      <c r="M47" s="1207"/>
      <c r="N47" s="1207"/>
    </row>
    <row r="48" spans="1:14" ht="15">
      <c r="A48" s="1207"/>
      <c r="B48" s="1207"/>
      <c r="C48" s="1739"/>
      <c r="D48" s="1268" t="s">
        <v>431</v>
      </c>
      <c r="E48" s="1263">
        <v>-4.391021798885289E-2</v>
      </c>
      <c r="F48" s="1224">
        <v>2.2469662936353614</v>
      </c>
      <c r="G48" s="1228">
        <v>2.2030560756465083</v>
      </c>
      <c r="H48" s="1207"/>
      <c r="I48" s="1207"/>
      <c r="J48" s="1207"/>
      <c r="K48" s="1207"/>
      <c r="L48" s="1257"/>
      <c r="M48" s="1207"/>
      <c r="N48" s="1207"/>
    </row>
    <row r="49" spans="1:14" ht="15.75" thickBot="1">
      <c r="A49" s="1207"/>
      <c r="B49" s="1207"/>
      <c r="C49" s="1740"/>
      <c r="D49" s="1271" t="s">
        <v>432</v>
      </c>
      <c r="E49" s="1266">
        <v>1.592475814205339</v>
      </c>
      <c r="F49" s="1266">
        <v>4.2914531994428925E-3</v>
      </c>
      <c r="G49" s="1267">
        <v>1.5967672674047819</v>
      </c>
      <c r="H49" s="1207"/>
      <c r="I49" s="1207"/>
      <c r="J49" s="1207"/>
      <c r="K49" s="1207"/>
      <c r="L49" s="1257"/>
      <c r="M49" s="1207"/>
      <c r="N49" s="1207"/>
    </row>
    <row r="50" spans="1:14" ht="15">
      <c r="A50" s="1207"/>
      <c r="B50" s="1207"/>
      <c r="C50" s="1738" t="s">
        <v>401</v>
      </c>
      <c r="D50" s="1272" t="s">
        <v>429</v>
      </c>
      <c r="E50" s="1263">
        <v>7.04</v>
      </c>
      <c r="F50" s="1224">
        <v>0</v>
      </c>
      <c r="G50" s="1264">
        <v>7.04</v>
      </c>
      <c r="H50" s="1207"/>
      <c r="I50" s="1207"/>
      <c r="J50" s="1207"/>
      <c r="K50" s="1207"/>
      <c r="L50" s="1257"/>
      <c r="M50" s="1207"/>
      <c r="N50" s="1207"/>
    </row>
    <row r="51" spans="1:14" ht="15">
      <c r="A51" s="1207"/>
      <c r="B51" s="1207"/>
      <c r="C51" s="1739"/>
      <c r="D51" s="1268" t="s">
        <v>592</v>
      </c>
      <c r="E51" s="1263">
        <v>3.9669160593351322</v>
      </c>
      <c r="F51" s="1224">
        <v>0</v>
      </c>
      <c r="G51" s="1228">
        <v>3.9669160593351322</v>
      </c>
      <c r="H51" s="1207"/>
      <c r="I51" s="1207"/>
      <c r="J51" s="1207"/>
      <c r="K51" s="1207"/>
      <c r="L51" s="1257"/>
      <c r="M51" s="1207"/>
      <c r="N51" s="1207"/>
    </row>
    <row r="52" spans="1:14" ht="15">
      <c r="A52" s="1207"/>
      <c r="B52" s="1207"/>
      <c r="C52" s="1739"/>
      <c r="D52" s="1273" t="s">
        <v>629</v>
      </c>
      <c r="E52" s="1263">
        <v>0</v>
      </c>
      <c r="F52" s="1224">
        <v>0</v>
      </c>
      <c r="G52" s="1228">
        <v>0</v>
      </c>
      <c r="H52" s="1207"/>
      <c r="I52" s="1207"/>
      <c r="J52" s="1207"/>
      <c r="K52" s="1207"/>
      <c r="L52" s="1257"/>
      <c r="M52" s="1207"/>
      <c r="N52" s="1207"/>
    </row>
    <row r="53" spans="1:14" ht="15">
      <c r="A53" s="1207"/>
      <c r="B53" s="1207"/>
      <c r="C53" s="1739"/>
      <c r="D53" s="1273" t="s">
        <v>428</v>
      </c>
      <c r="E53" s="1263">
        <v>11.94</v>
      </c>
      <c r="F53" s="1224">
        <v>0</v>
      </c>
      <c r="G53" s="1228">
        <v>11.94</v>
      </c>
      <c r="H53" s="1207"/>
      <c r="I53" s="1207"/>
      <c r="J53" s="1207"/>
      <c r="K53" s="1207"/>
      <c r="L53" s="1257"/>
      <c r="M53" s="1207"/>
      <c r="N53" s="1207"/>
    </row>
    <row r="54" spans="1:14" ht="15">
      <c r="A54" s="1207"/>
      <c r="B54" s="1207"/>
      <c r="C54" s="1739"/>
      <c r="D54" s="1273" t="s">
        <v>431</v>
      </c>
      <c r="E54" s="1263">
        <v>2.5499467560803706</v>
      </c>
      <c r="F54" s="1224">
        <v>0.4007368773762815</v>
      </c>
      <c r="G54" s="1228">
        <v>2.9506836334566522</v>
      </c>
      <c r="H54" s="1207"/>
      <c r="I54" s="1207"/>
      <c r="J54" s="1207"/>
      <c r="K54" s="1207"/>
      <c r="L54" s="1257"/>
      <c r="M54" s="1207"/>
      <c r="N54" s="1207"/>
    </row>
    <row r="55" spans="1:14" ht="15.75" thickBot="1">
      <c r="A55" s="1207"/>
      <c r="B55" s="1207"/>
      <c r="C55" s="1740"/>
      <c r="D55" s="1271" t="s">
        <v>432</v>
      </c>
      <c r="E55" s="1263">
        <v>-2.0865269887229355E-2</v>
      </c>
      <c r="F55" s="1224">
        <v>1.1137266114561692E-2</v>
      </c>
      <c r="G55" s="1228">
        <v>-9.7280037726676632E-3</v>
      </c>
      <c r="H55" s="1207"/>
      <c r="I55" s="1207"/>
      <c r="J55" s="1207"/>
      <c r="K55" s="1207"/>
      <c r="L55" s="1257"/>
      <c r="M55" s="1207"/>
      <c r="N55" s="1207"/>
    </row>
    <row r="56" spans="1:14" ht="15.75" thickBot="1">
      <c r="A56" s="1207"/>
      <c r="B56" s="1207"/>
      <c r="C56" s="1752" t="s">
        <v>630</v>
      </c>
      <c r="D56" s="1753"/>
      <c r="E56" s="1274">
        <v>59.547427320625566</v>
      </c>
      <c r="F56" s="1274">
        <v>6.3343242852259216</v>
      </c>
      <c r="G56" s="1274">
        <v>65.881751605851491</v>
      </c>
      <c r="H56" s="1245"/>
      <c r="I56" s="1207"/>
      <c r="J56" s="1207"/>
      <c r="K56" s="1207"/>
      <c r="L56" s="1207"/>
      <c r="M56" s="1257"/>
      <c r="N56" s="1207"/>
    </row>
    <row r="57" spans="1:14" ht="15.75" thickBot="1">
      <c r="A57" s="1207"/>
      <c r="B57" s="1207"/>
      <c r="C57" s="1752" t="s">
        <v>622</v>
      </c>
      <c r="D57" s="1753"/>
      <c r="E57" s="1263">
        <v>0</v>
      </c>
      <c r="F57" s="1224">
        <v>0</v>
      </c>
      <c r="G57" s="1228">
        <v>0</v>
      </c>
      <c r="H57" s="1245"/>
      <c r="I57" s="1245"/>
      <c r="J57" s="1245"/>
      <c r="K57" s="1207"/>
      <c r="L57" s="1207"/>
      <c r="M57" s="1257"/>
      <c r="N57" s="1207"/>
    </row>
    <row r="58" spans="1:14" ht="15.75" thickBot="1">
      <c r="A58" s="1207"/>
      <c r="B58" s="1207"/>
      <c r="C58" s="1752" t="s">
        <v>631</v>
      </c>
      <c r="D58" s="1753"/>
      <c r="E58" s="1274">
        <v>59.547427320625566</v>
      </c>
      <c r="F58" s="1274">
        <v>6.3343242852259216</v>
      </c>
      <c r="G58" s="1274">
        <v>65.881751605851491</v>
      </c>
      <c r="H58" s="1207"/>
      <c r="I58" s="1207"/>
      <c r="J58" s="1207"/>
      <c r="K58" s="1207"/>
      <c r="L58" s="1257"/>
      <c r="M58" s="1207"/>
      <c r="N58" s="1207"/>
    </row>
    <row r="59" spans="1:14" ht="13.5" thickBot="1">
      <c r="A59" s="1275"/>
      <c r="B59" s="1275"/>
      <c r="C59" s="1275"/>
      <c r="D59" s="1275"/>
      <c r="E59" s="1275"/>
      <c r="F59" s="1275"/>
      <c r="G59" s="1275"/>
      <c r="H59" s="1275"/>
      <c r="I59" s="1275"/>
      <c r="J59" s="1275"/>
      <c r="K59" s="1275"/>
      <c r="L59" s="1275"/>
      <c r="M59" s="1275"/>
      <c r="N59" s="1275"/>
    </row>
    <row r="60" spans="1:14" ht="15.75" thickBot="1">
      <c r="A60" s="1207"/>
      <c r="B60" s="1207"/>
      <c r="C60" s="1276" t="s">
        <v>632</v>
      </c>
      <c r="D60" s="1277"/>
      <c r="E60" s="1278" t="s">
        <v>222</v>
      </c>
      <c r="F60" s="1278" t="s">
        <v>223</v>
      </c>
      <c r="G60" s="1278" t="s">
        <v>402</v>
      </c>
      <c r="H60" s="1278" t="s">
        <v>401</v>
      </c>
      <c r="I60" s="1278" t="s">
        <v>200</v>
      </c>
      <c r="J60" s="1207"/>
      <c r="K60" s="1207"/>
      <c r="L60" s="1207"/>
      <c r="M60" s="1257"/>
      <c r="N60" s="1207"/>
    </row>
    <row r="61" spans="1:14" ht="18.75" thickBot="1">
      <c r="A61" s="1207"/>
      <c r="B61" s="1207"/>
      <c r="C61" s="1754" t="s">
        <v>609</v>
      </c>
      <c r="D61" s="1755"/>
      <c r="E61" s="1261" t="s">
        <v>566</v>
      </c>
      <c r="F61" s="1261" t="s">
        <v>566</v>
      </c>
      <c r="G61" s="1261" t="s">
        <v>566</v>
      </c>
      <c r="H61" s="1261" t="s">
        <v>566</v>
      </c>
      <c r="I61" s="1261" t="s">
        <v>566</v>
      </c>
      <c r="J61" s="1207"/>
      <c r="K61" s="1207"/>
      <c r="L61" s="1207"/>
      <c r="M61" s="1207"/>
      <c r="N61" s="1257"/>
    </row>
    <row r="62" spans="1:14" ht="15">
      <c r="A62" s="1207"/>
      <c r="B62" s="1207"/>
      <c r="C62" s="1756" t="s">
        <v>633</v>
      </c>
      <c r="D62" s="1757"/>
      <c r="E62" s="1263">
        <v>0.11144405232676594</v>
      </c>
      <c r="F62" s="1224">
        <v>7.8516595613712017</v>
      </c>
      <c r="G62" s="1224">
        <v>1.2426650420184003E-2</v>
      </c>
      <c r="H62" s="1224">
        <v>0</v>
      </c>
      <c r="I62" s="1279">
        <v>7.9755302641181514</v>
      </c>
      <c r="J62" s="1207"/>
      <c r="K62" s="1207"/>
      <c r="L62" s="1207"/>
      <c r="M62" s="1207"/>
      <c r="N62" s="1257"/>
    </row>
    <row r="63" spans="1:14" ht="15">
      <c r="A63" s="1207"/>
      <c r="B63" s="1207"/>
      <c r="C63" s="1750" t="s">
        <v>634</v>
      </c>
      <c r="D63" s="1751"/>
      <c r="E63" s="1263">
        <v>1.44</v>
      </c>
      <c r="F63" s="1224">
        <v>0.81453474669442516</v>
      </c>
      <c r="G63" s="1224">
        <v>0.27667550609523239</v>
      </c>
      <c r="H63" s="1224">
        <v>5.6893104787277327E-2</v>
      </c>
      <c r="I63" s="1237">
        <v>2.5881033575769345</v>
      </c>
      <c r="J63" s="1207"/>
      <c r="K63" s="1207"/>
      <c r="L63" s="1207"/>
      <c r="M63" s="1207"/>
      <c r="N63" s="1257"/>
    </row>
    <row r="64" spans="1:14" ht="15">
      <c r="A64" s="1207"/>
      <c r="B64" s="1207"/>
      <c r="C64" s="1750" t="s">
        <v>635</v>
      </c>
      <c r="D64" s="1751"/>
      <c r="E64" s="1263">
        <v>7.9133040677175793E-3</v>
      </c>
      <c r="F64" s="1224">
        <v>3.1718213737327888E-2</v>
      </c>
      <c r="G64" s="1224">
        <v>6.7633462599588051E-2</v>
      </c>
      <c r="H64" s="1224">
        <v>0</v>
      </c>
      <c r="I64" s="1237">
        <v>0.10726498040463352</v>
      </c>
      <c r="J64" s="1207"/>
      <c r="K64" s="1207"/>
      <c r="L64" s="1207"/>
      <c r="M64" s="1207"/>
      <c r="N64" s="1257"/>
    </row>
    <row r="65" spans="1:14" ht="15">
      <c r="A65" s="1207"/>
      <c r="B65" s="1207"/>
      <c r="C65" s="1750" t="s">
        <v>636</v>
      </c>
      <c r="D65" s="1751"/>
      <c r="E65" s="1263">
        <v>1.7022079061462941E-2</v>
      </c>
      <c r="F65" s="1224">
        <v>2.8012541419207761E-2</v>
      </c>
      <c r="G65" s="1224">
        <v>0</v>
      </c>
      <c r="H65" s="1224">
        <v>0</v>
      </c>
      <c r="I65" s="1237">
        <v>4.5034620480670702E-2</v>
      </c>
      <c r="J65" s="1207"/>
      <c r="K65" s="1207"/>
      <c r="L65" s="1207"/>
      <c r="M65" s="1207"/>
      <c r="N65" s="1257"/>
    </row>
    <row r="66" spans="1:14" ht="15">
      <c r="A66" s="1207"/>
      <c r="B66" s="1207"/>
      <c r="C66" s="1750" t="s">
        <v>465</v>
      </c>
      <c r="D66" s="1751"/>
      <c r="E66" s="1263">
        <v>0</v>
      </c>
      <c r="F66" s="1224">
        <v>8.754704549918375E-3</v>
      </c>
      <c r="G66" s="1224">
        <v>0</v>
      </c>
      <c r="H66" s="1224">
        <v>0</v>
      </c>
      <c r="I66" s="1237">
        <v>8.754704549918375E-3</v>
      </c>
      <c r="J66" s="1207"/>
      <c r="K66" s="1207"/>
      <c r="L66" s="1207"/>
      <c r="M66" s="1207"/>
      <c r="N66" s="1257"/>
    </row>
    <row r="67" spans="1:14" ht="15">
      <c r="A67" s="1207"/>
      <c r="B67" s="1207"/>
      <c r="C67" s="1750" t="s">
        <v>637</v>
      </c>
      <c r="D67" s="1751"/>
      <c r="E67" s="1263">
        <v>0</v>
      </c>
      <c r="F67" s="1224">
        <v>0</v>
      </c>
      <c r="G67" s="1224">
        <v>0</v>
      </c>
      <c r="H67" s="1224">
        <v>0</v>
      </c>
      <c r="I67" s="1237">
        <v>0</v>
      </c>
      <c r="J67" s="1207"/>
      <c r="K67" s="1207"/>
      <c r="L67" s="1207"/>
      <c r="M67" s="1207"/>
      <c r="N67" s="1257"/>
    </row>
    <row r="68" spans="1:14" ht="15">
      <c r="A68" s="1207"/>
      <c r="B68" s="1207"/>
      <c r="C68" s="1750" t="s">
        <v>638</v>
      </c>
      <c r="D68" s="1751"/>
      <c r="E68" s="1263">
        <v>0</v>
      </c>
      <c r="F68" s="1224">
        <v>0</v>
      </c>
      <c r="G68" s="1224">
        <v>0</v>
      </c>
      <c r="H68" s="1224">
        <v>0</v>
      </c>
      <c r="I68" s="1237">
        <v>0</v>
      </c>
      <c r="J68" s="1207"/>
      <c r="K68" s="1207"/>
      <c r="L68" s="1207"/>
      <c r="M68" s="1207"/>
      <c r="N68" s="1257"/>
    </row>
    <row r="69" spans="1:14" ht="15">
      <c r="A69" s="1207"/>
      <c r="B69" s="1207"/>
      <c r="C69" s="1750" t="s">
        <v>639</v>
      </c>
      <c r="D69" s="1751"/>
      <c r="E69" s="1263">
        <v>0</v>
      </c>
      <c r="F69" s="1224">
        <v>2.0674791032064717E-4</v>
      </c>
      <c r="G69" s="1224">
        <v>5.2094717843987601E-2</v>
      </c>
      <c r="H69" s="1224">
        <v>0</v>
      </c>
      <c r="I69" s="1244">
        <v>5.2301465754308246E-2</v>
      </c>
      <c r="J69" s="1207"/>
      <c r="K69" s="1207"/>
      <c r="L69" s="1207"/>
      <c r="M69" s="1207"/>
      <c r="N69" s="1257"/>
    </row>
    <row r="70" spans="1:14" ht="15.75" thickBot="1">
      <c r="A70" s="1207"/>
      <c r="B70" s="1207"/>
      <c r="C70" s="1759" t="s">
        <v>640</v>
      </c>
      <c r="D70" s="1760"/>
      <c r="E70" s="1263">
        <v>1.7071761753133965</v>
      </c>
      <c r="F70" s="1224">
        <v>1.9141859817989475</v>
      </c>
      <c r="G70" s="1224">
        <v>0.12842695304841664</v>
      </c>
      <c r="H70" s="1224">
        <v>2.2767498048319061</v>
      </c>
      <c r="I70" s="1280">
        <v>6.0265389149926669</v>
      </c>
      <c r="J70" s="1207"/>
      <c r="K70" s="1207"/>
      <c r="L70" s="1207"/>
      <c r="M70" s="1207"/>
      <c r="N70" s="1257"/>
    </row>
    <row r="71" spans="1:14" ht="15.75" thickBot="1">
      <c r="A71" s="1207"/>
      <c r="B71" s="1207"/>
      <c r="C71" s="1761" t="s">
        <v>641</v>
      </c>
      <c r="D71" s="1762"/>
      <c r="E71" s="1249">
        <v>3.2835556107693429</v>
      </c>
      <c r="F71" s="1249">
        <v>10.649072497481351</v>
      </c>
      <c r="G71" s="1249">
        <v>0.53725729000740863</v>
      </c>
      <c r="H71" s="1249">
        <v>2.3336429096191833</v>
      </c>
      <c r="I71" s="1249">
        <v>16.803528307877283</v>
      </c>
      <c r="J71" s="1207"/>
      <c r="K71" s="1207"/>
      <c r="L71" s="1207"/>
      <c r="M71" s="1207"/>
      <c r="N71" s="1257"/>
    </row>
    <row r="72" spans="1:14" ht="15.75" thickBot="1">
      <c r="A72" s="1207"/>
      <c r="B72" s="1207"/>
      <c r="C72" s="1763" t="s">
        <v>622</v>
      </c>
      <c r="D72" s="1764"/>
      <c r="E72" s="1263">
        <v>0</v>
      </c>
      <c r="F72" s="1224">
        <v>0</v>
      </c>
      <c r="G72" s="1224">
        <v>0</v>
      </c>
      <c r="H72" s="1224">
        <v>0</v>
      </c>
      <c r="I72" s="1249">
        <v>0</v>
      </c>
      <c r="J72" s="1207"/>
      <c r="K72" s="1207"/>
      <c r="L72" s="1207"/>
      <c r="M72" s="1257"/>
      <c r="N72" s="1207"/>
    </row>
    <row r="73" spans="1:14" ht="15.75" thickBot="1">
      <c r="A73" s="1207"/>
      <c r="B73" s="1207"/>
      <c r="C73" s="1761" t="s">
        <v>642</v>
      </c>
      <c r="D73" s="1762"/>
      <c r="E73" s="1281">
        <v>3.2835556107693429</v>
      </c>
      <c r="F73" s="1281">
        <v>10.649072497481351</v>
      </c>
      <c r="G73" s="1281">
        <v>0.53725729000740863</v>
      </c>
      <c r="H73" s="1281">
        <v>2.3336429096191833</v>
      </c>
      <c r="I73" s="1281">
        <v>16.803528307877283</v>
      </c>
      <c r="J73" s="1207"/>
      <c r="K73" s="1207"/>
      <c r="L73" s="1207"/>
      <c r="M73" s="1257"/>
      <c r="N73" s="1207"/>
    </row>
    <row r="74" spans="1:14" ht="15.75" thickBot="1">
      <c r="A74" s="1207"/>
      <c r="B74" s="1207"/>
      <c r="C74" s="1282"/>
      <c r="D74" s="1283"/>
      <c r="E74" s="1284"/>
      <c r="F74" s="1284"/>
      <c r="G74" s="1284"/>
      <c r="H74" s="1285"/>
      <c r="I74" s="1285"/>
      <c r="J74" s="1285"/>
      <c r="K74" s="1285"/>
      <c r="L74" s="1207"/>
      <c r="M74" s="1207"/>
      <c r="N74" s="1207"/>
    </row>
    <row r="75" spans="1:14" ht="15.75" thickBot="1">
      <c r="A75" s="1207"/>
      <c r="B75" s="1207"/>
      <c r="C75" s="1761" t="s">
        <v>643</v>
      </c>
      <c r="D75" s="1762"/>
      <c r="E75" s="1286">
        <f>+I71+G56</f>
        <v>82.685279913728778</v>
      </c>
      <c r="F75" s="1245"/>
      <c r="G75" s="1207"/>
      <c r="H75" s="1207"/>
      <c r="I75" s="1207"/>
      <c r="J75" s="1207"/>
      <c r="K75" s="1207"/>
      <c r="L75" s="1207"/>
      <c r="M75" s="1257"/>
      <c r="N75" s="1207"/>
    </row>
    <row r="76" spans="1:14" ht="15.75" thickBot="1">
      <c r="A76" s="1207"/>
      <c r="B76" s="1207"/>
      <c r="C76" s="1761" t="s">
        <v>622</v>
      </c>
      <c r="D76" s="1762"/>
      <c r="E76" s="1287">
        <v>0</v>
      </c>
      <c r="F76" s="1245"/>
      <c r="G76" s="1207"/>
      <c r="H76" s="1207"/>
      <c r="I76" s="1207"/>
      <c r="J76" s="1207"/>
      <c r="K76" s="1207"/>
      <c r="L76" s="1207"/>
      <c r="M76" s="1257"/>
      <c r="N76" s="1207"/>
    </row>
    <row r="77" spans="1:14" ht="15.75" thickBot="1">
      <c r="A77" s="1207"/>
      <c r="B77" s="1207"/>
      <c r="C77" s="1761" t="s">
        <v>644</v>
      </c>
      <c r="D77" s="1762"/>
      <c r="E77" s="1281">
        <v>82.685279913728778</v>
      </c>
      <c r="F77" s="1207"/>
      <c r="G77" s="1207"/>
      <c r="H77" s="1207"/>
      <c r="I77" s="1207"/>
      <c r="J77" s="1207"/>
      <c r="K77" s="1207"/>
      <c r="L77" s="1207"/>
      <c r="M77" s="1257"/>
      <c r="N77" s="1207"/>
    </row>
    <row r="78" spans="1:14" ht="15" thickBot="1">
      <c r="A78" s="1207"/>
      <c r="B78" s="1207"/>
      <c r="C78" s="1288"/>
      <c r="D78" s="1288"/>
      <c r="E78" s="1288"/>
      <c r="F78" s="1288"/>
      <c r="G78" s="1288"/>
      <c r="H78" s="1288"/>
      <c r="I78" s="1288"/>
      <c r="J78" s="1288"/>
      <c r="K78" s="1288"/>
      <c r="L78" s="1207"/>
      <c r="M78" s="1207"/>
      <c r="N78" s="1207"/>
    </row>
    <row r="79" spans="1:14" ht="18.75" thickBot="1">
      <c r="A79" s="1207"/>
      <c r="B79" s="1207"/>
      <c r="C79" s="1289" t="s">
        <v>645</v>
      </c>
      <c r="D79" s="1290"/>
      <c r="E79" s="1291"/>
      <c r="F79" s="1291"/>
      <c r="G79" s="1292"/>
      <c r="H79" s="1207"/>
      <c r="I79" s="1207"/>
      <c r="J79" s="1207"/>
      <c r="K79" s="1207"/>
      <c r="L79" s="1207"/>
      <c r="M79" s="1207"/>
      <c r="N79" s="1207"/>
    </row>
    <row r="80" spans="1:14" ht="60.75" thickBot="1">
      <c r="A80" s="1207"/>
      <c r="B80" s="1207"/>
      <c r="C80" s="1765" t="s">
        <v>609</v>
      </c>
      <c r="D80" s="1766"/>
      <c r="E80" s="1293" t="s">
        <v>200</v>
      </c>
      <c r="F80" s="1294" t="s">
        <v>646</v>
      </c>
      <c r="G80" s="1294" t="s">
        <v>647</v>
      </c>
      <c r="H80" s="1207"/>
      <c r="I80" s="1207"/>
      <c r="J80" s="1207"/>
      <c r="K80" s="1207"/>
      <c r="L80" s="1207"/>
      <c r="M80" s="1207"/>
      <c r="N80" s="1207"/>
    </row>
    <row r="81" spans="1:14" ht="15.75" thickBot="1">
      <c r="A81" s="1207"/>
      <c r="B81" s="1207"/>
      <c r="C81" s="1767"/>
      <c r="D81" s="1768"/>
      <c r="E81" s="1295" t="s">
        <v>566</v>
      </c>
      <c r="F81" s="1261" t="s">
        <v>566</v>
      </c>
      <c r="G81" s="1261" t="s">
        <v>566</v>
      </c>
      <c r="H81" s="1207"/>
      <c r="I81" s="1207"/>
      <c r="J81" s="1207"/>
      <c r="K81" s="1207"/>
      <c r="L81" s="1207"/>
      <c r="M81" s="1207"/>
      <c r="N81" s="1207"/>
    </row>
    <row r="82" spans="1:14" ht="14.25">
      <c r="A82" s="1207"/>
      <c r="B82" s="1207"/>
      <c r="C82" s="1756" t="s">
        <v>648</v>
      </c>
      <c r="D82" s="1769"/>
      <c r="E82" s="1264">
        <v>0.2</v>
      </c>
      <c r="F82" s="1224">
        <v>0.2</v>
      </c>
      <c r="G82" s="1263"/>
      <c r="H82" s="1207"/>
      <c r="I82" s="1207"/>
      <c r="J82" s="1207"/>
      <c r="K82" s="1207"/>
      <c r="L82" s="1207"/>
      <c r="M82" s="1207"/>
      <c r="N82" s="1207"/>
    </row>
    <row r="83" spans="1:14" ht="14.25">
      <c r="A83" s="1207"/>
      <c r="B83" s="1207"/>
      <c r="C83" s="1750" t="s">
        <v>649</v>
      </c>
      <c r="D83" s="1758"/>
      <c r="E83" s="1228">
        <v>0</v>
      </c>
      <c r="F83" s="1224"/>
      <c r="G83" s="1263"/>
      <c r="H83" s="1207"/>
      <c r="I83" s="1207"/>
      <c r="J83" s="1207"/>
      <c r="K83" s="1207"/>
      <c r="L83" s="1207"/>
      <c r="M83" s="1207"/>
      <c r="N83" s="1207"/>
    </row>
    <row r="84" spans="1:14" ht="14.25">
      <c r="A84" s="1207"/>
      <c r="B84" s="1207"/>
      <c r="C84" s="1750" t="s">
        <v>650</v>
      </c>
      <c r="D84" s="1758"/>
      <c r="E84" s="1228">
        <v>1.359</v>
      </c>
      <c r="F84" s="1224">
        <v>1.359</v>
      </c>
      <c r="G84" s="1263"/>
      <c r="H84" s="1207"/>
      <c r="I84" s="1207"/>
      <c r="J84" s="1207"/>
      <c r="K84" s="1207"/>
      <c r="L84" s="1207"/>
      <c r="M84" s="1207"/>
      <c r="N84" s="1207"/>
    </row>
    <row r="85" spans="1:14" ht="14.25">
      <c r="A85" s="1207"/>
      <c r="B85" s="1207"/>
      <c r="C85" s="1750" t="s">
        <v>651</v>
      </c>
      <c r="D85" s="1758"/>
      <c r="E85" s="1228">
        <v>0</v>
      </c>
      <c r="F85" s="1224"/>
      <c r="G85" s="1263"/>
      <c r="H85" s="1207"/>
      <c r="I85" s="1207"/>
      <c r="J85" s="1207"/>
      <c r="K85" s="1207"/>
      <c r="L85" s="1207"/>
      <c r="M85" s="1207"/>
      <c r="N85" s="1207"/>
    </row>
    <row r="86" spans="1:14" ht="14.25">
      <c r="A86" s="1207"/>
      <c r="B86" s="1207"/>
      <c r="C86" s="1750" t="s">
        <v>652</v>
      </c>
      <c r="D86" s="1758"/>
      <c r="E86" s="1228">
        <v>0</v>
      </c>
      <c r="F86" s="1224"/>
      <c r="G86" s="1263"/>
      <c r="H86" s="1207"/>
      <c r="I86" s="1207"/>
      <c r="J86" s="1207"/>
      <c r="K86" s="1207"/>
      <c r="L86" s="1207"/>
      <c r="M86" s="1207"/>
      <c r="N86" s="1207"/>
    </row>
    <row r="87" spans="1:14" ht="14.25">
      <c r="A87" s="1207"/>
      <c r="B87" s="1207"/>
      <c r="C87" s="1750" t="s">
        <v>653</v>
      </c>
      <c r="D87" s="1758"/>
      <c r="E87" s="1228">
        <v>0.68900000000000006</v>
      </c>
      <c r="F87" s="1224">
        <v>0.68900000000000006</v>
      </c>
      <c r="G87" s="1263"/>
      <c r="H87" s="1207"/>
      <c r="I87" s="1207"/>
      <c r="J87" s="1207"/>
      <c r="K87" s="1207"/>
      <c r="L87" s="1207"/>
      <c r="M87" s="1207"/>
      <c r="N87" s="1207"/>
    </row>
    <row r="88" spans="1:14" ht="15" thickBot="1">
      <c r="A88" s="1207"/>
      <c r="B88" s="1207"/>
      <c r="C88" s="1759" t="s">
        <v>654</v>
      </c>
      <c r="D88" s="1770"/>
      <c r="E88" s="1228">
        <v>0</v>
      </c>
      <c r="F88" s="1224"/>
      <c r="G88" s="1263"/>
      <c r="H88" s="1245"/>
      <c r="I88" s="1207"/>
      <c r="J88" s="1207"/>
      <c r="K88" s="1207"/>
      <c r="L88" s="1207"/>
      <c r="M88" s="1207"/>
      <c r="N88" s="1207"/>
    </row>
    <row r="89" spans="1:14" ht="15.75" thickBot="1">
      <c r="A89" s="1207"/>
      <c r="B89" s="1207"/>
      <c r="C89" s="1752" t="s">
        <v>655</v>
      </c>
      <c r="D89" s="1771"/>
      <c r="E89" s="1249">
        <v>2.2480000000000002</v>
      </c>
      <c r="F89" s="1249">
        <v>2.2480000000000002</v>
      </c>
      <c r="G89" s="1249">
        <v>0</v>
      </c>
      <c r="H89" s="1245"/>
      <c r="I89" s="1207"/>
      <c r="J89" s="1207"/>
      <c r="K89" s="1207"/>
      <c r="L89" s="1207"/>
      <c r="M89" s="1207"/>
      <c r="N89" s="1207"/>
    </row>
  </sheetData>
  <mergeCells count="53">
    <mergeCell ref="C85:D85"/>
    <mergeCell ref="C86:D86"/>
    <mergeCell ref="C87:D87"/>
    <mergeCell ref="C88:D88"/>
    <mergeCell ref="C89:D89"/>
    <mergeCell ref="C84:D84"/>
    <mergeCell ref="C69:D69"/>
    <mergeCell ref="C70:D70"/>
    <mergeCell ref="C71:D71"/>
    <mergeCell ref="C72:D72"/>
    <mergeCell ref="C73:D73"/>
    <mergeCell ref="C75:D75"/>
    <mergeCell ref="C76:D76"/>
    <mergeCell ref="C77:D77"/>
    <mergeCell ref="C80:D81"/>
    <mergeCell ref="C82:D82"/>
    <mergeCell ref="C83:D83"/>
    <mergeCell ref="C68:D68"/>
    <mergeCell ref="C50:C55"/>
    <mergeCell ref="C56:D56"/>
    <mergeCell ref="C57:D57"/>
    <mergeCell ref="C58:D58"/>
    <mergeCell ref="C61:D61"/>
    <mergeCell ref="C62:D62"/>
    <mergeCell ref="C63:D63"/>
    <mergeCell ref="C64:D64"/>
    <mergeCell ref="C65:D65"/>
    <mergeCell ref="C66:D66"/>
    <mergeCell ref="C67:D67"/>
    <mergeCell ref="E28:F28"/>
    <mergeCell ref="C31:C32"/>
    <mergeCell ref="C33:C34"/>
    <mergeCell ref="C35:C37"/>
    <mergeCell ref="C38:C43"/>
    <mergeCell ref="C44:C49"/>
    <mergeCell ref="C21:D21"/>
    <mergeCell ref="C22:D22"/>
    <mergeCell ref="C23:D23"/>
    <mergeCell ref="C24:D24"/>
    <mergeCell ref="C25:D25"/>
    <mergeCell ref="C28:D30"/>
    <mergeCell ref="C20:D20"/>
    <mergeCell ref="C8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honeticPr fontId="1" type="noConversion"/>
  <dataValidations count="1">
    <dataValidation type="decimal" operator="lessThanOrEqual" allowBlank="1" showInputMessage="1" showErrorMessage="1" sqref="K24 E24:G24 E57:F57 E72:I72">
      <formula1>0</formula1>
    </dataValidation>
  </dataValidations>
  <hyperlinks>
    <hyperlink ref="E1" location="Inputs!A1" display="Index"/>
  </hyperlinks>
  <pageMargins left="0.75" right="0.75" top="1" bottom="1" header="0.5" footer="0.5"/>
  <pageSetup paperSize="9" scale="39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C5FFFF"/>
    <pageSetUpPr fitToPage="1"/>
  </sheetPr>
  <dimension ref="A1:M101"/>
  <sheetViews>
    <sheetView workbookViewId="0">
      <selection sqref="A1:XFD1048576"/>
    </sheetView>
  </sheetViews>
  <sheetFormatPr defaultColWidth="8.85546875" defaultRowHeight="12.75"/>
  <cols>
    <col min="1" max="5" width="8.85546875" style="74" customWidth="1"/>
    <col min="6" max="6" width="25" style="74" customWidth="1"/>
    <col min="7" max="7" width="10.42578125" style="74" customWidth="1"/>
    <col min="8" max="8" width="11.7109375" style="74" customWidth="1"/>
    <col min="9" max="9" width="10.5703125" style="74" bestFit="1" customWidth="1"/>
    <col min="10" max="10" width="9.5703125" style="74" customWidth="1"/>
    <col min="11" max="11" width="8.5703125" style="74" bestFit="1" customWidth="1"/>
    <col min="12" max="12" width="7" style="74" bestFit="1" customWidth="1"/>
    <col min="13" max="16384" width="8.85546875" style="74"/>
  </cols>
  <sheetData>
    <row r="1" spans="1:13" ht="16.5" customHeight="1">
      <c r="A1" s="726" t="s">
        <v>656</v>
      </c>
      <c r="F1" s="125" t="s">
        <v>985</v>
      </c>
    </row>
    <row r="2" spans="1:13" ht="16.5" customHeight="1">
      <c r="A2" s="726"/>
    </row>
    <row r="3" spans="1:13" ht="16.5" customHeight="1">
      <c r="A3" s="726" t="s">
        <v>81</v>
      </c>
    </row>
    <row r="5" spans="1:13" ht="16.5" customHeight="1">
      <c r="A5" s="1296" t="s">
        <v>657</v>
      </c>
      <c r="B5" s="1080"/>
      <c r="C5" s="1080"/>
      <c r="D5" s="1080"/>
      <c r="E5" s="1080"/>
      <c r="F5" s="1297"/>
      <c r="G5" s="1297"/>
      <c r="H5" s="1297"/>
      <c r="I5" s="1297"/>
      <c r="J5" s="1297"/>
      <c r="K5" s="1297"/>
      <c r="L5" s="1297"/>
      <c r="M5" s="1297"/>
    </row>
    <row r="6" spans="1:13" ht="16.5" customHeight="1" thickBot="1">
      <c r="A6" s="1298"/>
      <c r="B6" s="1299"/>
      <c r="C6" s="1300"/>
      <c r="D6" s="1301"/>
      <c r="E6" s="1299"/>
      <c r="F6" s="1299"/>
      <c r="G6" s="1298"/>
      <c r="H6" s="1298"/>
      <c r="I6" s="1298"/>
      <c r="J6" s="1298"/>
      <c r="K6" s="1298"/>
      <c r="L6" s="1298"/>
      <c r="M6" s="1298"/>
    </row>
    <row r="7" spans="1:13" ht="16.5" customHeight="1" thickBot="1">
      <c r="A7" s="1297"/>
      <c r="B7" s="1302"/>
      <c r="C7" s="1303" t="s">
        <v>658</v>
      </c>
      <c r="D7" s="1304"/>
      <c r="E7" s="1305"/>
      <c r="F7" s="1305"/>
      <c r="G7" s="1305"/>
      <c r="H7" s="1306"/>
      <c r="I7" s="1307"/>
      <c r="J7" s="1297"/>
      <c r="K7" s="1297"/>
      <c r="L7" s="1297"/>
      <c r="M7" s="1297"/>
    </row>
    <row r="8" spans="1:13" ht="16.5" customHeight="1" thickBot="1">
      <c r="A8" s="1297"/>
      <c r="B8" s="1308"/>
      <c r="C8" s="1079"/>
      <c r="D8" s="1079"/>
      <c r="E8" s="1297"/>
      <c r="F8" s="1297"/>
      <c r="G8" s="1309" t="s">
        <v>566</v>
      </c>
      <c r="H8" s="1309" t="s">
        <v>566</v>
      </c>
      <c r="I8" s="1310"/>
      <c r="J8" s="1297"/>
      <c r="K8" s="1297"/>
      <c r="L8" s="1297"/>
      <c r="M8" s="1297"/>
    </row>
    <row r="9" spans="1:13" ht="16.5" customHeight="1">
      <c r="A9" s="1297"/>
      <c r="B9" s="1311"/>
      <c r="C9" s="1774" t="s">
        <v>659</v>
      </c>
      <c r="D9" s="1774"/>
      <c r="E9" s="1774"/>
      <c r="F9" s="1775"/>
      <c r="G9" s="1312"/>
      <c r="H9" s="1313"/>
      <c r="I9" s="1310"/>
      <c r="J9" s="1297"/>
      <c r="K9" s="1297"/>
      <c r="L9" s="1297"/>
      <c r="M9" s="1297"/>
    </row>
    <row r="10" spans="1:13" ht="16.5" customHeight="1">
      <c r="A10" s="1297"/>
      <c r="B10" s="1314"/>
      <c r="C10" s="1068"/>
      <c r="D10" s="1772" t="s">
        <v>660</v>
      </c>
      <c r="E10" s="1772"/>
      <c r="F10" s="1773"/>
      <c r="G10" s="1315">
        <v>8</v>
      </c>
      <c r="H10" s="1316"/>
      <c r="I10" s="1317"/>
      <c r="J10" s="1318"/>
      <c r="K10" s="1318"/>
      <c r="L10" s="1318"/>
      <c r="M10" s="1297"/>
    </row>
    <row r="11" spans="1:13" ht="16.5" customHeight="1">
      <c r="A11" s="1297"/>
      <c r="B11" s="1314"/>
      <c r="C11" s="1068"/>
      <c r="D11" s="1772" t="s">
        <v>661</v>
      </c>
      <c r="E11" s="1772"/>
      <c r="F11" s="1773"/>
      <c r="G11" s="1315">
        <v>0</v>
      </c>
      <c r="H11" s="1316"/>
      <c r="I11" s="1317"/>
      <c r="J11" s="1318"/>
      <c r="K11" s="1318"/>
      <c r="L11" s="1318"/>
      <c r="M11" s="1297"/>
    </row>
    <row r="12" spans="1:13" ht="16.5" customHeight="1">
      <c r="A12" s="1297"/>
      <c r="B12" s="1314"/>
      <c r="C12" s="1068"/>
      <c r="D12" s="1772" t="s">
        <v>662</v>
      </c>
      <c r="E12" s="1772"/>
      <c r="F12" s="1773"/>
      <c r="G12" s="1315">
        <v>20.184226800000001</v>
      </c>
      <c r="H12" s="1316"/>
      <c r="I12" s="1317"/>
      <c r="J12" s="1318"/>
      <c r="K12" s="1318"/>
      <c r="L12" s="1318"/>
      <c r="M12" s="1297"/>
    </row>
    <row r="13" spans="1:13" ht="16.5" customHeight="1">
      <c r="A13" s="1297"/>
      <c r="B13" s="1314"/>
      <c r="C13" s="1068"/>
      <c r="D13" s="1772" t="s">
        <v>663</v>
      </c>
      <c r="E13" s="1772"/>
      <c r="F13" s="1773"/>
      <c r="G13" s="1315">
        <v>1.45009349</v>
      </c>
      <c r="H13" s="1316"/>
      <c r="I13" s="1317"/>
      <c r="J13" s="1318"/>
      <c r="K13" s="1318"/>
      <c r="L13" s="1318"/>
      <c r="M13" s="1297"/>
    </row>
    <row r="14" spans="1:13" ht="16.5" customHeight="1">
      <c r="A14" s="1297"/>
      <c r="B14" s="1314"/>
      <c r="C14" s="1068"/>
      <c r="D14" s="1772" t="s">
        <v>664</v>
      </c>
      <c r="E14" s="1772"/>
      <c r="F14" s="1773"/>
      <c r="G14" s="1315">
        <v>0</v>
      </c>
      <c r="H14" s="1316"/>
      <c r="I14" s="1317"/>
      <c r="J14" s="1318"/>
      <c r="K14" s="1318"/>
      <c r="L14" s="1318"/>
      <c r="M14" s="1297"/>
    </row>
    <row r="15" spans="1:13" ht="29.25" customHeight="1">
      <c r="A15" s="1297"/>
      <c r="B15" s="1314"/>
      <c r="C15" s="1319"/>
      <c r="D15" s="1620" t="s">
        <v>665</v>
      </c>
      <c r="E15" s="1620"/>
      <c r="F15" s="1777"/>
      <c r="G15" s="1320">
        <v>0</v>
      </c>
      <c r="H15" s="1316">
        <v>29.634320290000002</v>
      </c>
      <c r="I15" s="1317"/>
      <c r="J15" s="1318"/>
      <c r="K15" s="1318"/>
      <c r="L15" s="1318"/>
      <c r="M15" s="1297"/>
    </row>
    <row r="16" spans="1:13" ht="16.5" customHeight="1">
      <c r="A16" s="1297"/>
      <c r="B16" s="1314"/>
      <c r="C16" s="1774" t="s">
        <v>666</v>
      </c>
      <c r="D16" s="1774"/>
      <c r="E16" s="1774"/>
      <c r="F16" s="1775"/>
      <c r="G16" s="1321"/>
      <c r="H16" s="1322"/>
      <c r="I16" s="1317"/>
      <c r="J16" s="1318"/>
      <c r="K16" s="1318"/>
      <c r="L16" s="1318"/>
      <c r="M16" s="1297"/>
    </row>
    <row r="17" spans="1:13" ht="16.5" customHeight="1">
      <c r="A17" s="1297"/>
      <c r="B17" s="1314"/>
      <c r="C17" s="1319"/>
      <c r="D17" s="1778" t="s">
        <v>667</v>
      </c>
      <c r="E17" s="1778"/>
      <c r="F17" s="1779"/>
      <c r="G17" s="1315">
        <v>0</v>
      </c>
      <c r="H17" s="1316"/>
      <c r="I17" s="1317"/>
      <c r="J17" s="1318"/>
      <c r="K17" s="1318"/>
      <c r="L17" s="1318"/>
      <c r="M17" s="1297"/>
    </row>
    <row r="18" spans="1:13" ht="16.5" customHeight="1">
      <c r="A18" s="1297"/>
      <c r="B18" s="1314"/>
      <c r="C18" s="1319"/>
      <c r="D18" s="1780" t="s">
        <v>668</v>
      </c>
      <c r="E18" s="1781"/>
      <c r="F18" s="1782"/>
      <c r="G18" s="1315">
        <v>0.68664242000000009</v>
      </c>
      <c r="H18" s="1316"/>
      <c r="I18" s="1317"/>
      <c r="J18" s="1318"/>
      <c r="K18" s="1318"/>
      <c r="L18" s="1318"/>
      <c r="M18" s="1297"/>
    </row>
    <row r="19" spans="1:13" ht="16.5" customHeight="1">
      <c r="A19" s="1297"/>
      <c r="B19" s="1314"/>
      <c r="C19" s="1319"/>
      <c r="D19" s="1780" t="s">
        <v>669</v>
      </c>
      <c r="E19" s="1781"/>
      <c r="F19" s="1782"/>
      <c r="G19" s="1320">
        <v>0.31245005660000003</v>
      </c>
      <c r="H19" s="1316">
        <v>0.99909247660000011</v>
      </c>
      <c r="I19" s="1317"/>
      <c r="J19" s="1318"/>
      <c r="K19" s="1318"/>
      <c r="L19" s="1318"/>
      <c r="M19" s="1297"/>
    </row>
    <row r="20" spans="1:13" ht="16.5" customHeight="1">
      <c r="A20" s="1297"/>
      <c r="B20" s="1314"/>
      <c r="C20" s="1774" t="s">
        <v>670</v>
      </c>
      <c r="D20" s="1781"/>
      <c r="E20" s="1781"/>
      <c r="F20" s="1782"/>
      <c r="G20" s="1321"/>
      <c r="H20" s="1322"/>
      <c r="I20" s="1317"/>
      <c r="J20" s="1318"/>
      <c r="K20" s="1318"/>
      <c r="L20" s="1318"/>
      <c r="M20" s="1297"/>
    </row>
    <row r="21" spans="1:13" ht="32.25" customHeight="1">
      <c r="A21" s="1297"/>
      <c r="B21" s="1314"/>
      <c r="C21" s="1319"/>
      <c r="D21" s="1778" t="s">
        <v>671</v>
      </c>
      <c r="E21" s="1778"/>
      <c r="F21" s="1779"/>
      <c r="G21" s="1315">
        <v>7.889699999997779E-4</v>
      </c>
      <c r="H21" s="1316"/>
      <c r="I21" s="1317"/>
      <c r="J21" s="1318"/>
      <c r="K21" s="1318"/>
      <c r="L21" s="1318"/>
      <c r="M21" s="1297"/>
    </row>
    <row r="22" spans="1:13" ht="16.5" customHeight="1">
      <c r="A22" s="1297"/>
      <c r="B22" s="1314"/>
      <c r="C22" s="1319"/>
      <c r="D22" s="1772" t="s">
        <v>672</v>
      </c>
      <c r="E22" s="1772"/>
      <c r="F22" s="1773"/>
      <c r="G22" s="1315">
        <v>36.130465450300001</v>
      </c>
      <c r="H22" s="1316"/>
      <c r="I22" s="1317"/>
      <c r="J22" s="1318"/>
      <c r="K22" s="1318"/>
      <c r="L22" s="1318"/>
      <c r="M22" s="1297"/>
    </row>
    <row r="23" spans="1:13" ht="16.5" customHeight="1">
      <c r="A23" s="1297"/>
      <c r="B23" s="1314"/>
      <c r="C23" s="1319"/>
      <c r="D23" s="1783" t="s">
        <v>673</v>
      </c>
      <c r="E23" s="1781"/>
      <c r="F23" s="1782"/>
      <c r="G23" s="1320">
        <v>7.62</v>
      </c>
      <c r="H23" s="1316">
        <v>43.7512544203</v>
      </c>
      <c r="I23" s="1317"/>
      <c r="J23" s="1318"/>
      <c r="K23" s="1318"/>
      <c r="L23" s="1318"/>
      <c r="M23" s="1297"/>
    </row>
    <row r="24" spans="1:13" ht="16.5" customHeight="1">
      <c r="A24" s="1297"/>
      <c r="B24" s="1314"/>
      <c r="C24" s="1319"/>
      <c r="D24" s="1323"/>
      <c r="E24" s="1324"/>
      <c r="F24" s="1325"/>
      <c r="G24" s="1321"/>
      <c r="H24" s="1322"/>
      <c r="I24" s="1317"/>
      <c r="J24" s="1318"/>
      <c r="K24" s="1318"/>
      <c r="L24" s="1318"/>
      <c r="M24" s="1297"/>
    </row>
    <row r="25" spans="1:13" ht="16.5" customHeight="1" thickBot="1">
      <c r="A25" s="1297"/>
      <c r="B25" s="1326"/>
      <c r="C25" s="1784" t="s">
        <v>674</v>
      </c>
      <c r="D25" s="1785"/>
      <c r="E25" s="1785"/>
      <c r="F25" s="1786"/>
      <c r="G25" s="1327"/>
      <c r="H25" s="1328">
        <v>74.384667186900003</v>
      </c>
      <c r="I25" s="1317"/>
      <c r="J25" s="1318"/>
      <c r="K25" s="1318"/>
      <c r="L25" s="1318"/>
      <c r="M25" s="1297"/>
    </row>
    <row r="26" spans="1:13" ht="16.5" customHeight="1" thickBot="1">
      <c r="A26" s="1297"/>
      <c r="B26" s="1329"/>
      <c r="C26" s="1330"/>
      <c r="D26" s="1330"/>
      <c r="E26" s="1330"/>
      <c r="F26" s="1331"/>
      <c r="G26" s="1332"/>
      <c r="H26" s="1332"/>
      <c r="I26" s="1333"/>
      <c r="J26" s="1318"/>
      <c r="K26" s="1318"/>
      <c r="L26" s="1318"/>
      <c r="M26" s="1297"/>
    </row>
    <row r="27" spans="1:13" ht="16.5" customHeight="1" thickBot="1">
      <c r="A27" s="1297"/>
      <c r="B27" s="1299"/>
      <c r="C27" s="1305"/>
      <c r="D27" s="1297"/>
      <c r="E27" s="1334"/>
      <c r="F27" s="1299"/>
      <c r="G27" s="1318"/>
      <c r="H27" s="1318"/>
      <c r="I27" s="1318"/>
      <c r="J27" s="1318"/>
      <c r="K27" s="1318"/>
      <c r="L27" s="1318"/>
      <c r="M27" s="1297"/>
    </row>
    <row r="28" spans="1:13" ht="16.5" customHeight="1">
      <c r="A28" s="1297"/>
      <c r="B28" s="1302"/>
      <c r="C28" s="1335" t="s">
        <v>675</v>
      </c>
      <c r="D28" s="1305"/>
      <c r="E28" s="1305"/>
      <c r="F28" s="1336"/>
      <c r="G28" s="1337"/>
      <c r="H28" s="1338"/>
      <c r="I28" s="1338"/>
      <c r="J28" s="1338"/>
      <c r="K28" s="1338"/>
      <c r="L28" s="1338"/>
      <c r="M28" s="1307"/>
    </row>
    <row r="29" spans="1:13" ht="16.5" customHeight="1" thickBot="1">
      <c r="A29" s="1297"/>
      <c r="B29" s="1308"/>
      <c r="C29" s="1297"/>
      <c r="D29" s="1303" t="s">
        <v>676</v>
      </c>
      <c r="E29" s="1303"/>
      <c r="F29" s="1298"/>
      <c r="G29" s="1339"/>
      <c r="H29" s="1339"/>
      <c r="I29" s="1318"/>
      <c r="J29" s="1318"/>
      <c r="K29" s="1318"/>
      <c r="L29" s="1318"/>
      <c r="M29" s="1310"/>
    </row>
    <row r="30" spans="1:13" ht="16.5" customHeight="1" thickBot="1">
      <c r="A30" s="1297"/>
      <c r="B30" s="1340"/>
      <c r="C30" s="1297"/>
      <c r="D30" s="1325"/>
      <c r="E30" s="1319" t="s">
        <v>677</v>
      </c>
      <c r="F30" s="1325"/>
      <c r="G30" s="1341" t="s">
        <v>566</v>
      </c>
      <c r="H30" s="1342"/>
      <c r="I30" s="1318"/>
      <c r="J30" s="1318"/>
      <c r="K30" s="1318"/>
      <c r="L30" s="1318"/>
      <c r="M30" s="1310"/>
    </row>
    <row r="31" spans="1:13" ht="16.5" customHeight="1">
      <c r="A31" s="1297"/>
      <c r="B31" s="1340"/>
      <c r="C31" s="1297"/>
      <c r="D31" s="1325"/>
      <c r="E31" s="1343" t="s">
        <v>678</v>
      </c>
      <c r="F31" s="1297"/>
      <c r="G31" s="1344"/>
      <c r="H31" s="1342"/>
      <c r="I31" s="1318"/>
      <c r="J31" s="1318"/>
      <c r="K31" s="1318"/>
      <c r="L31" s="1318"/>
      <c r="M31" s="1310"/>
    </row>
    <row r="32" spans="1:13" ht="16.5" customHeight="1">
      <c r="A32" s="1297"/>
      <c r="B32" s="1340"/>
      <c r="C32" s="1297"/>
      <c r="D32" s="1325"/>
      <c r="E32" s="1343" t="s">
        <v>679</v>
      </c>
      <c r="F32" s="1297"/>
      <c r="G32" s="1345">
        <v>-0.50689503000000002</v>
      </c>
      <c r="H32" s="1342"/>
      <c r="I32" s="1318"/>
      <c r="J32" s="1318"/>
      <c r="K32" s="1318"/>
      <c r="L32" s="1318"/>
      <c r="M32" s="1310"/>
    </row>
    <row r="33" spans="1:13" ht="16.5" customHeight="1">
      <c r="A33" s="1298"/>
      <c r="B33" s="1346"/>
      <c r="C33" s="1298"/>
      <c r="D33" s="1325"/>
      <c r="E33" s="1343" t="s">
        <v>680</v>
      </c>
      <c r="F33" s="1298"/>
      <c r="G33" s="1345">
        <v>-0.17633336999999999</v>
      </c>
      <c r="H33" s="1342"/>
      <c r="I33" s="1339"/>
      <c r="J33" s="1339"/>
      <c r="K33" s="1339"/>
      <c r="L33" s="1339"/>
      <c r="M33" s="1347"/>
    </row>
    <row r="34" spans="1:13" ht="16.5" customHeight="1" thickBot="1">
      <c r="A34" s="1298"/>
      <c r="B34" s="1346"/>
      <c r="C34" s="1298"/>
      <c r="D34" s="1325"/>
      <c r="E34" s="1787" t="s">
        <v>200</v>
      </c>
      <c r="F34" s="1788"/>
      <c r="G34" s="1348">
        <v>-0.68322839999999996</v>
      </c>
      <c r="H34" s="1342"/>
      <c r="I34" s="1339"/>
      <c r="J34" s="1339"/>
      <c r="K34" s="1339"/>
      <c r="L34" s="1339"/>
      <c r="M34" s="1347"/>
    </row>
    <row r="35" spans="1:13" ht="16.5" customHeight="1" thickTop="1">
      <c r="A35" s="1298"/>
      <c r="B35" s="1346"/>
      <c r="C35" s="1301"/>
      <c r="D35" s="1325"/>
      <c r="E35" s="1325"/>
      <c r="F35" s="1325"/>
      <c r="G35" s="1342"/>
      <c r="H35" s="1342"/>
      <c r="I35" s="1339"/>
      <c r="J35" s="1339"/>
      <c r="K35" s="1339"/>
      <c r="L35" s="1339"/>
      <c r="M35" s="1347"/>
    </row>
    <row r="36" spans="1:13" ht="48.75" customHeight="1">
      <c r="A36" s="1298"/>
      <c r="B36" s="1326"/>
      <c r="C36" s="1325"/>
      <c r="D36" s="1325"/>
      <c r="E36" s="1776" t="s">
        <v>681</v>
      </c>
      <c r="F36" s="1776"/>
      <c r="G36" s="1349" t="s">
        <v>682</v>
      </c>
      <c r="H36" s="1349" t="s">
        <v>683</v>
      </c>
      <c r="I36" s="1349" t="s">
        <v>684</v>
      </c>
      <c r="J36" s="1349" t="s">
        <v>685</v>
      </c>
      <c r="K36" s="1350" t="s">
        <v>686</v>
      </c>
      <c r="L36" s="1351" t="s">
        <v>687</v>
      </c>
      <c r="M36" s="1347"/>
    </row>
    <row r="37" spans="1:13" ht="16.5" customHeight="1">
      <c r="A37" s="1298"/>
      <c r="B37" s="1326"/>
      <c r="C37" s="1325"/>
      <c r="D37" s="1325"/>
      <c r="E37" s="1791" t="s">
        <v>688</v>
      </c>
      <c r="F37" s="1791"/>
      <c r="G37" s="1352" t="s">
        <v>203</v>
      </c>
      <c r="H37" s="1352" t="s">
        <v>203</v>
      </c>
      <c r="I37" s="1352" t="s">
        <v>203</v>
      </c>
      <c r="J37" s="1352" t="s">
        <v>203</v>
      </c>
      <c r="K37" s="1353" t="s">
        <v>203</v>
      </c>
      <c r="L37" s="1352"/>
      <c r="M37" s="1347"/>
    </row>
    <row r="38" spans="1:13" ht="16.5" customHeight="1">
      <c r="A38" s="1298"/>
      <c r="B38" s="1326"/>
      <c r="C38" s="1325"/>
      <c r="D38" s="1325"/>
      <c r="E38" s="1789" t="s">
        <v>1154</v>
      </c>
      <c r="F38" s="1792"/>
      <c r="G38" s="1354">
        <v>1.5407160099999999</v>
      </c>
      <c r="H38" s="1354">
        <v>0.86561200999999999</v>
      </c>
      <c r="I38" s="1355">
        <v>0.67510399999999993</v>
      </c>
      <c r="J38" s="1354"/>
      <c r="K38" s="1355">
        <v>0.67510399999999993</v>
      </c>
      <c r="L38" s="1356"/>
      <c r="M38" s="1347"/>
    </row>
    <row r="39" spans="1:13" ht="16.5" customHeight="1">
      <c r="A39" s="1298"/>
      <c r="B39" s="1326"/>
      <c r="C39" s="1325"/>
      <c r="D39" s="1325"/>
      <c r="E39" s="1789" t="s">
        <v>1155</v>
      </c>
      <c r="F39" s="1790"/>
      <c r="G39" s="1354">
        <v>1.36656172</v>
      </c>
      <c r="H39" s="1354">
        <v>1.3576483500000001</v>
      </c>
      <c r="I39" s="1355">
        <v>8.9133699999999205E-3</v>
      </c>
      <c r="J39" s="1354">
        <v>0.17633336999999999</v>
      </c>
      <c r="K39" s="1355">
        <v>-0.16742000000000007</v>
      </c>
      <c r="L39" s="1357"/>
      <c r="M39" s="1347"/>
    </row>
    <row r="40" spans="1:13" ht="16.5" customHeight="1">
      <c r="A40" s="1298"/>
      <c r="B40" s="1326"/>
      <c r="C40" s="1325"/>
      <c r="D40" s="1325"/>
      <c r="E40" s="1789" t="s">
        <v>1156</v>
      </c>
      <c r="F40" s="1790"/>
      <c r="G40" s="1354"/>
      <c r="H40" s="1354"/>
      <c r="I40" s="1355">
        <v>0</v>
      </c>
      <c r="J40" s="1354">
        <v>0.50689503000000002</v>
      </c>
      <c r="K40" s="1355">
        <v>-0.50689503000000002</v>
      </c>
      <c r="L40" s="1357"/>
      <c r="M40" s="1347"/>
    </row>
    <row r="41" spans="1:13" ht="16.5" customHeight="1">
      <c r="A41" s="1298"/>
      <c r="B41" s="1326"/>
      <c r="C41" s="1325"/>
      <c r="D41" s="1325"/>
      <c r="E41" s="1789"/>
      <c r="F41" s="1790"/>
      <c r="G41" s="1358"/>
      <c r="H41" s="1358"/>
      <c r="I41" s="1359"/>
      <c r="J41" s="1358"/>
      <c r="K41" s="1359"/>
      <c r="L41" s="1357"/>
      <c r="M41" s="1347"/>
    </row>
    <row r="42" spans="1:13" ht="16.5" customHeight="1">
      <c r="A42" s="1298"/>
      <c r="B42" s="1326"/>
      <c r="C42" s="1325"/>
      <c r="D42" s="1325"/>
      <c r="E42" s="1789"/>
      <c r="F42" s="1790"/>
      <c r="G42" s="1358"/>
      <c r="H42" s="1358"/>
      <c r="I42" s="1359"/>
      <c r="J42" s="1358"/>
      <c r="K42" s="1359"/>
      <c r="L42" s="1357"/>
      <c r="M42" s="1347"/>
    </row>
    <row r="43" spans="1:13" ht="16.5" customHeight="1">
      <c r="A43" s="1298"/>
      <c r="B43" s="1326"/>
      <c r="C43" s="1325"/>
      <c r="D43" s="1325"/>
      <c r="E43" s="1789"/>
      <c r="F43" s="1790"/>
      <c r="G43" s="1358"/>
      <c r="H43" s="1358"/>
      <c r="I43" s="1359"/>
      <c r="J43" s="1358"/>
      <c r="K43" s="1359"/>
      <c r="L43" s="1357"/>
      <c r="M43" s="1347"/>
    </row>
    <row r="44" spans="1:13" ht="16.5" customHeight="1">
      <c r="A44" s="1298"/>
      <c r="B44" s="1326"/>
      <c r="C44" s="1325"/>
      <c r="D44" s="1325"/>
      <c r="E44" s="1789"/>
      <c r="F44" s="1790"/>
      <c r="G44" s="1358"/>
      <c r="H44" s="1358"/>
      <c r="I44" s="1359"/>
      <c r="J44" s="1358"/>
      <c r="K44" s="1359"/>
      <c r="L44" s="1357"/>
      <c r="M44" s="1347"/>
    </row>
    <row r="45" spans="1:13" ht="16.5" customHeight="1">
      <c r="A45" s="1298"/>
      <c r="B45" s="1326"/>
      <c r="C45" s="1325"/>
      <c r="D45" s="1325"/>
      <c r="E45" s="1789"/>
      <c r="F45" s="1790"/>
      <c r="G45" s="1358"/>
      <c r="H45" s="1358"/>
      <c r="I45" s="1359"/>
      <c r="J45" s="1358"/>
      <c r="K45" s="1359"/>
      <c r="L45" s="1357"/>
      <c r="M45" s="1347"/>
    </row>
    <row r="46" spans="1:13" ht="16.5" customHeight="1">
      <c r="A46" s="1298"/>
      <c r="B46" s="1326"/>
      <c r="C46" s="1325"/>
      <c r="D46" s="1325"/>
      <c r="E46" s="1789"/>
      <c r="F46" s="1790"/>
      <c r="G46" s="1358"/>
      <c r="H46" s="1358"/>
      <c r="I46" s="1359"/>
      <c r="J46" s="1358"/>
      <c r="K46" s="1359"/>
      <c r="L46" s="1357"/>
      <c r="M46" s="1347"/>
    </row>
    <row r="47" spans="1:13" ht="16.5" customHeight="1">
      <c r="A47" s="1298"/>
      <c r="B47" s="1326"/>
      <c r="C47" s="1325"/>
      <c r="D47" s="1325"/>
      <c r="E47" s="1789"/>
      <c r="F47" s="1790"/>
      <c r="G47" s="1358"/>
      <c r="H47" s="1358"/>
      <c r="I47" s="1359"/>
      <c r="J47" s="1358"/>
      <c r="K47" s="1359"/>
      <c r="L47" s="1357"/>
      <c r="M47" s="1347"/>
    </row>
    <row r="48" spans="1:13" ht="16.5" customHeight="1">
      <c r="A48" s="1298"/>
      <c r="B48" s="1326"/>
      <c r="C48" s="1325"/>
      <c r="D48" s="1325"/>
      <c r="E48" s="1789"/>
      <c r="F48" s="1790"/>
      <c r="G48" s="1358"/>
      <c r="H48" s="1358"/>
      <c r="I48" s="1359"/>
      <c r="J48" s="1358"/>
      <c r="K48" s="1359"/>
      <c r="L48" s="1357"/>
      <c r="M48" s="1347"/>
    </row>
    <row r="49" spans="1:13" ht="16.5" customHeight="1">
      <c r="A49" s="1298"/>
      <c r="B49" s="1326"/>
      <c r="C49" s="1325"/>
      <c r="D49" s="1325"/>
      <c r="E49" s="1789"/>
      <c r="F49" s="1790"/>
      <c r="G49" s="1358"/>
      <c r="H49" s="1358"/>
      <c r="I49" s="1359"/>
      <c r="J49" s="1358"/>
      <c r="K49" s="1359"/>
      <c r="L49" s="1357"/>
      <c r="M49" s="1347"/>
    </row>
    <row r="50" spans="1:13" ht="16.5" customHeight="1">
      <c r="A50" s="1298"/>
      <c r="B50" s="1326"/>
      <c r="C50" s="1325"/>
      <c r="D50" s="1325"/>
      <c r="E50" s="1789"/>
      <c r="F50" s="1790"/>
      <c r="G50" s="1358"/>
      <c r="H50" s="1358"/>
      <c r="I50" s="1359"/>
      <c r="J50" s="1358"/>
      <c r="K50" s="1359"/>
      <c r="L50" s="1360"/>
      <c r="M50" s="1347"/>
    </row>
    <row r="51" spans="1:13" ht="16.5" customHeight="1">
      <c r="A51" s="1298"/>
      <c r="B51" s="1326"/>
      <c r="C51" s="1325"/>
      <c r="D51" s="1325"/>
      <c r="E51" s="1795" t="s">
        <v>200</v>
      </c>
      <c r="F51" s="1782"/>
      <c r="G51" s="1361"/>
      <c r="H51" s="1361"/>
      <c r="I51" s="1361"/>
      <c r="J51" s="1361"/>
      <c r="K51" s="1361"/>
      <c r="L51" s="1298"/>
      <c r="M51" s="1347"/>
    </row>
    <row r="52" spans="1:13" ht="16.5" customHeight="1">
      <c r="A52" s="1298"/>
      <c r="B52" s="1326"/>
      <c r="C52" s="1325"/>
      <c r="D52" s="1325"/>
      <c r="E52" s="1325"/>
      <c r="F52" s="1325"/>
      <c r="G52" s="1298"/>
      <c r="H52" s="1298"/>
      <c r="I52" s="1298"/>
      <c r="J52" s="1362" t="s">
        <v>689</v>
      </c>
      <c r="K52" s="1362" t="s">
        <v>689</v>
      </c>
      <c r="L52" s="1298"/>
      <c r="M52" s="1347"/>
    </row>
    <row r="53" spans="1:13" ht="16.5" customHeight="1" thickBot="1">
      <c r="A53" s="1298"/>
      <c r="B53" s="1326"/>
      <c r="C53" s="1325"/>
      <c r="D53" s="1325"/>
      <c r="E53" s="1325"/>
      <c r="F53" s="1325"/>
      <c r="G53" s="1298"/>
      <c r="H53" s="1298"/>
      <c r="I53" s="1298"/>
      <c r="J53" s="1298"/>
      <c r="K53" s="1298"/>
      <c r="L53" s="1298"/>
      <c r="M53" s="1347"/>
    </row>
    <row r="54" spans="1:13" ht="16.5" customHeight="1" thickBot="1">
      <c r="A54" s="1298"/>
      <c r="B54" s="1326"/>
      <c r="C54" s="1363"/>
      <c r="D54" s="1303" t="s">
        <v>690</v>
      </c>
      <c r="E54" s="1364"/>
      <c r="F54" s="1298"/>
      <c r="G54" s="1341" t="s">
        <v>203</v>
      </c>
      <c r="H54" s="1341" t="s">
        <v>203</v>
      </c>
      <c r="I54" s="1298"/>
      <c r="J54" s="1339"/>
      <c r="K54" s="1339"/>
      <c r="L54" s="1339"/>
      <c r="M54" s="1365"/>
    </row>
    <row r="55" spans="1:13" ht="33" customHeight="1" thickBot="1">
      <c r="A55" s="1298"/>
      <c r="B55" s="1326"/>
      <c r="C55" s="1325"/>
      <c r="D55" s="1298"/>
      <c r="E55" s="1298"/>
      <c r="F55" s="1298"/>
      <c r="G55" s="1366"/>
      <c r="H55" s="1367" t="s">
        <v>691</v>
      </c>
      <c r="I55" s="1298"/>
      <c r="J55" s="1339"/>
      <c r="K55" s="1339"/>
      <c r="L55" s="1339"/>
      <c r="M55" s="1365"/>
    </row>
    <row r="56" spans="1:13" ht="16.5" customHeight="1">
      <c r="A56" s="1298"/>
      <c r="B56" s="1326"/>
      <c r="C56" s="1325"/>
      <c r="D56" s="1298"/>
      <c r="E56" s="1364" t="s">
        <v>692</v>
      </c>
      <c r="F56" s="1298"/>
      <c r="G56" s="1344">
        <v>0</v>
      </c>
      <c r="H56" s="1368">
        <v>0</v>
      </c>
      <c r="I56" s="1298"/>
      <c r="J56" s="1339"/>
      <c r="K56" s="1339"/>
      <c r="L56" s="1339"/>
      <c r="M56" s="1365"/>
    </row>
    <row r="57" spans="1:13" ht="16.5" customHeight="1" thickBot="1">
      <c r="A57" s="1298"/>
      <c r="B57" s="1326"/>
      <c r="C57" s="1325"/>
      <c r="D57" s="1298"/>
      <c r="E57" s="1364" t="s">
        <v>693</v>
      </c>
      <c r="F57" s="1298"/>
      <c r="G57" s="1344">
        <v>0</v>
      </c>
      <c r="H57" s="1369">
        <v>0</v>
      </c>
      <c r="I57" s="1298"/>
      <c r="J57" s="1339"/>
      <c r="K57" s="1339"/>
      <c r="L57" s="1339"/>
      <c r="M57" s="1365"/>
    </row>
    <row r="58" spans="1:13" ht="16.5" customHeight="1" thickBot="1">
      <c r="A58" s="1298"/>
      <c r="B58" s="1326"/>
      <c r="C58" s="1325"/>
      <c r="D58" s="1325"/>
      <c r="E58" s="1370" t="s">
        <v>694</v>
      </c>
      <c r="F58" s="1298"/>
      <c r="G58" s="1371">
        <v>0</v>
      </c>
      <c r="H58" s="1339"/>
      <c r="I58" s="1298"/>
      <c r="J58" s="1339"/>
      <c r="K58" s="1339"/>
      <c r="L58" s="1339"/>
      <c r="M58" s="1365"/>
    </row>
    <row r="59" spans="1:13" ht="16.5" customHeight="1" thickTop="1" thickBot="1">
      <c r="A59" s="1298"/>
      <c r="B59" s="1326"/>
      <c r="C59" s="1325"/>
      <c r="D59" s="1325"/>
      <c r="E59" s="1370"/>
      <c r="F59" s="1298"/>
      <c r="G59" s="1339"/>
      <c r="H59" s="1339"/>
      <c r="I59" s="1298"/>
      <c r="J59" s="1339"/>
      <c r="K59" s="1339"/>
      <c r="L59" s="1339"/>
      <c r="M59" s="1365"/>
    </row>
    <row r="60" spans="1:13" ht="65.25" customHeight="1" thickBot="1">
      <c r="A60" s="1298"/>
      <c r="B60" s="1326"/>
      <c r="C60" s="1325"/>
      <c r="D60" s="1793" t="s">
        <v>695</v>
      </c>
      <c r="E60" s="1793"/>
      <c r="F60" s="1298"/>
      <c r="G60" s="1372" t="s">
        <v>200</v>
      </c>
      <c r="H60" s="1373" t="s">
        <v>696</v>
      </c>
      <c r="I60" s="1373" t="s">
        <v>697</v>
      </c>
      <c r="J60" s="1373" t="s">
        <v>698</v>
      </c>
      <c r="K60" s="1373" t="s">
        <v>699</v>
      </c>
      <c r="L60" s="1339"/>
      <c r="M60" s="1347"/>
    </row>
    <row r="61" spans="1:13" ht="16.5" customHeight="1" thickBot="1">
      <c r="A61" s="1298"/>
      <c r="B61" s="1346"/>
      <c r="C61" s="1301"/>
      <c r="D61" s="1303"/>
      <c r="E61" s="1068"/>
      <c r="F61" s="1325"/>
      <c r="G61" s="1341" t="s">
        <v>203</v>
      </c>
      <c r="H61" s="1341" t="s">
        <v>203</v>
      </c>
      <c r="I61" s="1341" t="s">
        <v>203</v>
      </c>
      <c r="J61" s="1341" t="s">
        <v>203</v>
      </c>
      <c r="K61" s="1341" t="s">
        <v>203</v>
      </c>
      <c r="L61" s="1339"/>
      <c r="M61" s="1347"/>
    </row>
    <row r="62" spans="1:13" ht="16.5" customHeight="1">
      <c r="A62" s="1298"/>
      <c r="B62" s="1346"/>
      <c r="C62" s="1301"/>
      <c r="D62" s="1319"/>
      <c r="E62" s="1068" t="s">
        <v>700</v>
      </c>
      <c r="F62" s="1325"/>
      <c r="G62" s="1374">
        <v>0</v>
      </c>
      <c r="H62" s="1375">
        <v>0</v>
      </c>
      <c r="I62" s="1376">
        <v>0</v>
      </c>
      <c r="J62" s="1376">
        <v>0</v>
      </c>
      <c r="K62" s="1377">
        <v>0</v>
      </c>
      <c r="L62" s="1339"/>
      <c r="M62" s="1347"/>
    </row>
    <row r="63" spans="1:13" ht="16.5" customHeight="1" thickBot="1">
      <c r="A63" s="1298"/>
      <c r="B63" s="1346"/>
      <c r="C63" s="1301"/>
      <c r="D63" s="1319"/>
      <c r="E63" s="1068" t="s">
        <v>701</v>
      </c>
      <c r="F63" s="1325"/>
      <c r="G63" s="1378">
        <v>0</v>
      </c>
      <c r="H63" s="1379">
        <v>0</v>
      </c>
      <c r="I63" s="1380">
        <v>0</v>
      </c>
      <c r="J63" s="1380">
        <v>0</v>
      </c>
      <c r="K63" s="1381">
        <v>0</v>
      </c>
      <c r="L63" s="1339"/>
      <c r="M63" s="1347"/>
    </row>
    <row r="64" spans="1:13" ht="16.5" customHeight="1" thickBot="1">
      <c r="A64" s="1298"/>
      <c r="B64" s="1346"/>
      <c r="C64" s="1301"/>
      <c r="D64" s="1325"/>
      <c r="E64" s="1325"/>
      <c r="F64" s="1325"/>
      <c r="G64" s="1342"/>
      <c r="H64" s="1342"/>
      <c r="I64" s="1339"/>
      <c r="J64" s="1339"/>
      <c r="K64" s="1339"/>
      <c r="L64" s="1339"/>
      <c r="M64" s="1347"/>
    </row>
    <row r="65" spans="1:13" ht="77.25" customHeight="1" thickBot="1">
      <c r="A65" s="1298"/>
      <c r="B65" s="1326"/>
      <c r="C65" s="1325"/>
      <c r="D65" s="1793" t="s">
        <v>702</v>
      </c>
      <c r="E65" s="1793"/>
      <c r="F65" s="1298"/>
      <c r="G65" s="1382" t="s">
        <v>200</v>
      </c>
      <c r="H65" s="1383" t="s">
        <v>608</v>
      </c>
      <c r="I65" s="1383" t="s">
        <v>703</v>
      </c>
      <c r="J65" s="1383" t="s">
        <v>548</v>
      </c>
      <c r="K65" s="1383" t="s">
        <v>704</v>
      </c>
      <c r="L65" s="1383" t="s">
        <v>550</v>
      </c>
      <c r="M65" s="1347"/>
    </row>
    <row r="66" spans="1:13" ht="16.5" customHeight="1" thickBot="1">
      <c r="A66" s="1298"/>
      <c r="B66" s="1326"/>
      <c r="C66" s="1325"/>
      <c r="D66" s="1364"/>
      <c r="E66" s="1298"/>
      <c r="F66" s="1298"/>
      <c r="G66" s="1341" t="s">
        <v>203</v>
      </c>
      <c r="H66" s="1341" t="s">
        <v>203</v>
      </c>
      <c r="I66" s="1341" t="s">
        <v>203</v>
      </c>
      <c r="J66" s="1341" t="s">
        <v>203</v>
      </c>
      <c r="K66" s="1341" t="s">
        <v>203</v>
      </c>
      <c r="L66" s="1341" t="s">
        <v>203</v>
      </c>
      <c r="M66" s="1347"/>
    </row>
    <row r="67" spans="1:13" ht="16.5" customHeight="1">
      <c r="A67" s="1298"/>
      <c r="B67" s="1326"/>
      <c r="C67" s="1325"/>
      <c r="D67" s="1364"/>
      <c r="E67" s="1384" t="s">
        <v>705</v>
      </c>
      <c r="F67" s="1298"/>
      <c r="G67" s="1385">
        <v>0.72593800000000008</v>
      </c>
      <c r="H67" s="1386">
        <v>0.51738600000000001</v>
      </c>
      <c r="I67" s="1387">
        <v>9.9901999999999991E-2</v>
      </c>
      <c r="J67" s="1387">
        <v>0.10865</v>
      </c>
      <c r="K67" s="1388"/>
      <c r="L67" s="1389"/>
      <c r="M67" s="1347"/>
    </row>
    <row r="68" spans="1:13" ht="16.5" customHeight="1">
      <c r="A68" s="1298"/>
      <c r="B68" s="1326"/>
      <c r="C68" s="1325"/>
      <c r="D68" s="1298"/>
      <c r="E68" s="1364" t="s">
        <v>706</v>
      </c>
      <c r="F68" s="1298"/>
      <c r="G68" s="1385">
        <v>0</v>
      </c>
      <c r="H68" s="1386"/>
      <c r="I68" s="1387"/>
      <c r="J68" s="1387"/>
      <c r="K68" s="1388"/>
      <c r="L68" s="1389"/>
      <c r="M68" s="1347"/>
    </row>
    <row r="69" spans="1:13" ht="16.5" customHeight="1">
      <c r="A69" s="1298"/>
      <c r="B69" s="1326"/>
      <c r="C69" s="1325"/>
      <c r="D69" s="1298"/>
      <c r="E69" s="1364" t="s">
        <v>707</v>
      </c>
      <c r="F69" s="1298"/>
      <c r="G69" s="1385">
        <v>0</v>
      </c>
      <c r="H69" s="1386"/>
      <c r="I69" s="1387"/>
      <c r="J69" s="1387"/>
      <c r="K69" s="1388"/>
      <c r="L69" s="1389"/>
      <c r="M69" s="1347"/>
    </row>
    <row r="70" spans="1:13" ht="16.5" customHeight="1">
      <c r="A70" s="1298"/>
      <c r="B70" s="1326"/>
      <c r="C70" s="1325"/>
      <c r="D70" s="1298"/>
      <c r="E70" s="1364" t="s">
        <v>708</v>
      </c>
      <c r="F70" s="1298"/>
      <c r="G70" s="1385">
        <v>0</v>
      </c>
      <c r="H70" s="1390"/>
      <c r="I70" s="1391"/>
      <c r="J70" s="1391"/>
      <c r="K70" s="1392"/>
      <c r="L70" s="1393"/>
      <c r="M70" s="1347"/>
    </row>
    <row r="71" spans="1:13" ht="16.5" customHeight="1" thickBot="1">
      <c r="A71" s="1298"/>
      <c r="B71" s="1326"/>
      <c r="C71" s="1325"/>
      <c r="D71" s="1325"/>
      <c r="E71" s="1370" t="s">
        <v>709</v>
      </c>
      <c r="F71" s="1298"/>
      <c r="G71" s="1394">
        <v>0.72593800000000008</v>
      </c>
      <c r="H71" s="1394">
        <v>0.51738600000000001</v>
      </c>
      <c r="I71" s="1394">
        <v>9.9901999999999991E-2</v>
      </c>
      <c r="J71" s="1394">
        <v>0.10865</v>
      </c>
      <c r="K71" s="1394">
        <v>0</v>
      </c>
      <c r="L71" s="1394">
        <v>0</v>
      </c>
      <c r="M71" s="1347"/>
    </row>
    <row r="72" spans="1:13" ht="16.5" customHeight="1" thickBot="1">
      <c r="A72" s="1298"/>
      <c r="B72" s="1395"/>
      <c r="C72" s="1396"/>
      <c r="D72" s="1396"/>
      <c r="E72" s="1397"/>
      <c r="F72" s="1398"/>
      <c r="G72" s="1397"/>
      <c r="H72" s="1399"/>
      <c r="I72" s="1400"/>
      <c r="J72" s="1400"/>
      <c r="K72" s="1400"/>
      <c r="L72" s="1400"/>
      <c r="M72" s="1401"/>
    </row>
    <row r="73" spans="1:13" ht="16.5" customHeight="1" thickBot="1">
      <c r="A73" s="1298"/>
      <c r="B73" s="1298"/>
      <c r="C73" s="1398"/>
      <c r="D73" s="1298"/>
      <c r="E73" s="1298"/>
      <c r="F73" s="1298"/>
      <c r="G73" s="1339"/>
      <c r="H73" s="1339"/>
      <c r="I73" s="1339"/>
      <c r="J73" s="1339"/>
      <c r="K73" s="1339"/>
      <c r="L73" s="1339"/>
      <c r="M73" s="1298"/>
    </row>
    <row r="74" spans="1:13" ht="16.5" customHeight="1">
      <c r="A74" s="1298"/>
      <c r="B74" s="1302"/>
      <c r="C74" s="1303" t="s">
        <v>710</v>
      </c>
      <c r="D74" s="1305"/>
      <c r="E74" s="1402"/>
      <c r="F74" s="1305"/>
      <c r="G74" s="1338"/>
      <c r="H74" s="1338"/>
      <c r="I74" s="1337"/>
      <c r="J74" s="1337"/>
      <c r="K74" s="1337"/>
      <c r="L74" s="1337"/>
      <c r="M74" s="1403"/>
    </row>
    <row r="75" spans="1:13" ht="16.5" customHeight="1" thickBot="1">
      <c r="A75" s="1298"/>
      <c r="B75" s="1308"/>
      <c r="C75" s="1363"/>
      <c r="D75" s="1297"/>
      <c r="E75" s="1323"/>
      <c r="F75" s="1297"/>
      <c r="G75" s="1318"/>
      <c r="H75" s="1318"/>
      <c r="I75" s="1339"/>
      <c r="J75" s="1339"/>
      <c r="K75" s="1339"/>
      <c r="L75" s="1339"/>
      <c r="M75" s="1347"/>
    </row>
    <row r="76" spans="1:13" ht="81.75" customHeight="1" thickBot="1">
      <c r="A76" s="1298"/>
      <c r="B76" s="1326"/>
      <c r="C76" s="1325"/>
      <c r="D76" s="1793" t="s">
        <v>711</v>
      </c>
      <c r="E76" s="1793"/>
      <c r="F76" s="1794"/>
      <c r="G76" s="1382" t="s">
        <v>200</v>
      </c>
      <c r="H76" s="1383" t="s">
        <v>608</v>
      </c>
      <c r="I76" s="1383" t="s">
        <v>703</v>
      </c>
      <c r="J76" s="1383" t="s">
        <v>548</v>
      </c>
      <c r="K76" s="1383" t="s">
        <v>704</v>
      </c>
      <c r="L76" s="1383" t="s">
        <v>550</v>
      </c>
      <c r="M76" s="1347"/>
    </row>
    <row r="77" spans="1:13" ht="16.5" customHeight="1" thickBot="1">
      <c r="A77" s="1298"/>
      <c r="B77" s="1326"/>
      <c r="C77" s="1325"/>
      <c r="D77" s="1364"/>
      <c r="E77" s="1298"/>
      <c r="F77" s="1298"/>
      <c r="G77" s="1341" t="s">
        <v>203</v>
      </c>
      <c r="H77" s="1341" t="s">
        <v>203</v>
      </c>
      <c r="I77" s="1341" t="s">
        <v>203</v>
      </c>
      <c r="J77" s="1341" t="s">
        <v>203</v>
      </c>
      <c r="K77" s="1341" t="s">
        <v>203</v>
      </c>
      <c r="L77" s="1341" t="s">
        <v>203</v>
      </c>
      <c r="M77" s="1347"/>
    </row>
    <row r="78" spans="1:13" ht="16.5" customHeight="1">
      <c r="A78" s="1298"/>
      <c r="B78" s="1326"/>
      <c r="C78" s="1325"/>
      <c r="D78" s="1298"/>
      <c r="E78" s="1796" t="s">
        <v>706</v>
      </c>
      <c r="F78" s="1797"/>
      <c r="G78" s="1404">
        <v>0</v>
      </c>
      <c r="H78" s="1405"/>
      <c r="I78" s="1406"/>
      <c r="J78" s="1406"/>
      <c r="K78" s="1407"/>
      <c r="L78" s="1408"/>
      <c r="M78" s="1347"/>
    </row>
    <row r="79" spans="1:13" ht="16.5" customHeight="1">
      <c r="A79" s="1298"/>
      <c r="B79" s="1326"/>
      <c r="C79" s="1325"/>
      <c r="D79" s="1298"/>
      <c r="E79" s="1796" t="s">
        <v>707</v>
      </c>
      <c r="F79" s="1782"/>
      <c r="G79" s="1404">
        <v>0</v>
      </c>
      <c r="H79" s="1405"/>
      <c r="I79" s="1406"/>
      <c r="J79" s="1406"/>
      <c r="K79" s="1407"/>
      <c r="L79" s="1408"/>
      <c r="M79" s="1347"/>
    </row>
    <row r="80" spans="1:13" ht="16.5" customHeight="1">
      <c r="A80" s="1298"/>
      <c r="B80" s="1326"/>
      <c r="C80" s="1325"/>
      <c r="D80" s="1298"/>
      <c r="E80" s="1796" t="s">
        <v>708</v>
      </c>
      <c r="F80" s="1782"/>
      <c r="G80" s="1404">
        <v>0</v>
      </c>
      <c r="H80" s="1409"/>
      <c r="I80" s="1410"/>
      <c r="J80" s="1410"/>
      <c r="K80" s="1411"/>
      <c r="L80" s="1412"/>
      <c r="M80" s="1347"/>
    </row>
    <row r="81" spans="1:13" ht="16.5" customHeight="1" thickBot="1">
      <c r="A81" s="1298"/>
      <c r="B81" s="1326"/>
      <c r="C81" s="1325"/>
      <c r="D81" s="1325"/>
      <c r="E81" s="1787" t="s">
        <v>200</v>
      </c>
      <c r="F81" s="1786"/>
      <c r="G81" s="1413">
        <v>0</v>
      </c>
      <c r="H81" s="1413">
        <v>0</v>
      </c>
      <c r="I81" s="1413">
        <v>0</v>
      </c>
      <c r="J81" s="1413">
        <v>0</v>
      </c>
      <c r="K81" s="1413">
        <v>0</v>
      </c>
      <c r="L81" s="1413">
        <v>0</v>
      </c>
      <c r="M81" s="1347"/>
    </row>
    <row r="82" spans="1:13" ht="16.5" customHeight="1" thickBot="1">
      <c r="A82" s="1298"/>
      <c r="B82" s="1326"/>
      <c r="C82" s="1325"/>
      <c r="D82" s="1325"/>
      <c r="E82" s="1364"/>
      <c r="F82" s="1298"/>
      <c r="G82" s="1414"/>
      <c r="H82" s="1414"/>
      <c r="I82" s="1339"/>
      <c r="J82" s="1339"/>
      <c r="K82" s="1339"/>
      <c r="L82" s="1339"/>
      <c r="M82" s="1347"/>
    </row>
    <row r="83" spans="1:13" ht="16.5" customHeight="1" thickBot="1">
      <c r="A83" s="1298"/>
      <c r="B83" s="1326"/>
      <c r="C83" s="1325"/>
      <c r="D83" s="1798" t="s">
        <v>712</v>
      </c>
      <c r="E83" s="1798"/>
      <c r="F83" s="1799"/>
      <c r="G83" s="1415">
        <v>0</v>
      </c>
      <c r="H83" s="1416"/>
      <c r="I83" s="1417">
        <v>0</v>
      </c>
      <c r="J83" s="1416"/>
      <c r="K83" s="1418"/>
      <c r="L83" s="1419"/>
      <c r="M83" s="1347"/>
    </row>
    <row r="84" spans="1:13" ht="16.5" customHeight="1" thickBot="1">
      <c r="A84" s="1298"/>
      <c r="B84" s="1395"/>
      <c r="C84" s="1396"/>
      <c r="D84" s="1396"/>
      <c r="E84" s="1420"/>
      <c r="F84" s="1398"/>
      <c r="G84" s="1421"/>
      <c r="H84" s="1422"/>
      <c r="I84" s="1421"/>
      <c r="J84" s="1421"/>
      <c r="K84" s="1421"/>
      <c r="L84" s="1421"/>
      <c r="M84" s="1423"/>
    </row>
    <row r="85" spans="1:13" ht="16.5" customHeight="1" thickBot="1">
      <c r="A85" s="1364"/>
      <c r="B85" s="1364"/>
      <c r="C85" s="1366"/>
      <c r="D85" s="1325"/>
      <c r="E85" s="1364"/>
      <c r="F85" s="1298"/>
      <c r="G85" s="1339"/>
      <c r="H85" s="1414"/>
      <c r="I85" s="1339"/>
      <c r="J85" s="1339"/>
      <c r="K85" s="1339"/>
      <c r="L85" s="1339"/>
      <c r="M85" s="1298"/>
    </row>
    <row r="86" spans="1:13" ht="16.5" customHeight="1" thickBot="1">
      <c r="A86" s="1298"/>
      <c r="B86" s="1424"/>
      <c r="C86" s="1335" t="s">
        <v>713</v>
      </c>
      <c r="D86" s="1425"/>
      <c r="E86" s="1426"/>
      <c r="F86" s="1427"/>
      <c r="G86" s="1428"/>
      <c r="H86" s="1428"/>
      <c r="I86" s="1429"/>
      <c r="J86" s="1339"/>
      <c r="K86" s="1339"/>
      <c r="L86" s="1339"/>
      <c r="M86" s="1298"/>
    </row>
    <row r="87" spans="1:13" ht="16.5" customHeight="1" thickBot="1">
      <c r="A87" s="1298"/>
      <c r="B87" s="1326"/>
      <c r="C87" s="1325"/>
      <c r="D87" s="1325"/>
      <c r="E87" s="1370"/>
      <c r="F87" s="1298"/>
      <c r="G87" s="1341" t="s">
        <v>203</v>
      </c>
      <c r="H87" s="1414"/>
      <c r="I87" s="1365"/>
      <c r="J87" s="1339"/>
      <c r="K87" s="1339"/>
      <c r="L87" s="1339"/>
      <c r="M87" s="1298"/>
    </row>
    <row r="88" spans="1:13" ht="30.75" customHeight="1" thickBot="1">
      <c r="A88" s="1298"/>
      <c r="B88" s="1326"/>
      <c r="C88" s="1325"/>
      <c r="D88" s="1793" t="s">
        <v>714</v>
      </c>
      <c r="E88" s="1793"/>
      <c r="F88" s="1794"/>
      <c r="G88" s="1430"/>
      <c r="H88" s="1339"/>
      <c r="I88" s="1365"/>
      <c r="J88" s="1339"/>
      <c r="K88" s="1339"/>
      <c r="L88" s="1339"/>
      <c r="M88" s="1298"/>
    </row>
    <row r="89" spans="1:13" ht="31.5" customHeight="1" thickBot="1">
      <c r="A89" s="1298"/>
      <c r="B89" s="1326"/>
      <c r="C89" s="1325"/>
      <c r="D89" s="1793" t="s">
        <v>1157</v>
      </c>
      <c r="E89" s="1793"/>
      <c r="F89" s="1794"/>
      <c r="G89" s="1430"/>
      <c r="H89" s="1339"/>
      <c r="I89" s="1365"/>
      <c r="J89" s="1339"/>
      <c r="K89" s="1339"/>
      <c r="L89" s="1339"/>
      <c r="M89" s="1298"/>
    </row>
    <row r="90" spans="1:13" ht="16.5" customHeight="1" thickBot="1">
      <c r="A90" s="1298"/>
      <c r="B90" s="1326"/>
      <c r="C90" s="1325"/>
      <c r="D90" s="1325"/>
      <c r="E90" s="1364"/>
      <c r="F90" s="1298"/>
      <c r="G90" s="1339"/>
      <c r="H90" s="1339"/>
      <c r="I90" s="1365"/>
      <c r="J90" s="1339"/>
      <c r="K90" s="1339"/>
      <c r="L90" s="1339"/>
      <c r="M90" s="1298"/>
    </row>
    <row r="91" spans="1:13" ht="16.5" customHeight="1" thickBot="1">
      <c r="A91" s="1298"/>
      <c r="B91" s="1326"/>
      <c r="C91" s="1325"/>
      <c r="D91" s="1325"/>
      <c r="E91" s="1431"/>
      <c r="F91" s="1298"/>
      <c r="G91" s="1341" t="s">
        <v>203</v>
      </c>
      <c r="H91" s="1341" t="s">
        <v>516</v>
      </c>
      <c r="I91" s="1432"/>
      <c r="J91" s="1433"/>
      <c r="K91" s="1433"/>
      <c r="L91" s="1339"/>
      <c r="M91" s="1298"/>
    </row>
    <row r="92" spans="1:13" ht="32.25" customHeight="1" thickBot="1">
      <c r="A92" s="1298"/>
      <c r="B92" s="1326"/>
      <c r="C92" s="1325"/>
      <c r="D92" s="1793" t="s">
        <v>715</v>
      </c>
      <c r="E92" s="1793"/>
      <c r="F92" s="1794"/>
      <c r="G92" s="1434"/>
      <c r="H92" s="1435"/>
      <c r="I92" s="1436"/>
      <c r="J92" s="1437"/>
      <c r="K92" s="1437"/>
      <c r="L92" s="1339"/>
      <c r="M92" s="1298"/>
    </row>
    <row r="93" spans="1:13" ht="16.5" customHeight="1" thickTop="1" thickBot="1">
      <c r="A93" s="1298"/>
      <c r="B93" s="1346"/>
      <c r="C93" s="1298"/>
      <c r="D93" s="1438"/>
      <c r="E93" s="1298"/>
      <c r="F93" s="1298"/>
      <c r="G93" s="1298"/>
      <c r="H93" s="1298"/>
      <c r="I93" s="1436"/>
      <c r="J93" s="1439"/>
      <c r="K93" s="1439"/>
      <c r="L93" s="1339"/>
      <c r="M93" s="1298"/>
    </row>
    <row r="94" spans="1:13" ht="33.75" customHeight="1" thickBot="1">
      <c r="A94" s="1298"/>
      <c r="B94" s="1326"/>
      <c r="C94" s="1325"/>
      <c r="D94" s="1793" t="s">
        <v>716</v>
      </c>
      <c r="E94" s="1793"/>
      <c r="F94" s="1794"/>
      <c r="G94" s="1341" t="s">
        <v>203</v>
      </c>
      <c r="H94" s="1341" t="s">
        <v>516</v>
      </c>
      <c r="I94" s="1440"/>
      <c r="J94" s="1439"/>
      <c r="K94" s="1439"/>
      <c r="L94" s="1339"/>
      <c r="M94" s="1298"/>
    </row>
    <row r="95" spans="1:13" ht="16.5" customHeight="1">
      <c r="A95" s="1298"/>
      <c r="B95" s="1326"/>
      <c r="C95" s="1325"/>
      <c r="D95" s="1298"/>
      <c r="E95" s="1364" t="s">
        <v>222</v>
      </c>
      <c r="F95" s="1298"/>
      <c r="G95" s="1344"/>
      <c r="H95" s="1344"/>
      <c r="I95" s="1436"/>
      <c r="J95" s="1437"/>
      <c r="K95" s="1437"/>
      <c r="L95" s="1339"/>
      <c r="M95" s="1298"/>
    </row>
    <row r="96" spans="1:13" ht="16.5" customHeight="1">
      <c r="A96" s="1298"/>
      <c r="B96" s="1326"/>
      <c r="C96" s="1325"/>
      <c r="D96" s="1298"/>
      <c r="E96" s="1364" t="s">
        <v>223</v>
      </c>
      <c r="F96" s="1298"/>
      <c r="G96" s="1344"/>
      <c r="H96" s="1344"/>
      <c r="I96" s="1436"/>
      <c r="J96" s="1437"/>
      <c r="K96" s="1437"/>
      <c r="L96" s="1339"/>
      <c r="M96" s="1298"/>
    </row>
    <row r="97" spans="1:13" ht="16.5" customHeight="1" thickBot="1">
      <c r="A97" s="1298"/>
      <c r="B97" s="1326"/>
      <c r="C97" s="1325"/>
      <c r="D97" s="1298"/>
      <c r="E97" s="1364" t="s">
        <v>717</v>
      </c>
      <c r="F97" s="1298"/>
      <c r="G97" s="1344"/>
      <c r="H97" s="1369"/>
      <c r="I97" s="1436"/>
      <c r="J97" s="1437"/>
      <c r="K97" s="1437"/>
      <c r="L97" s="1339"/>
      <c r="M97" s="1298"/>
    </row>
    <row r="98" spans="1:13" ht="27" customHeight="1">
      <c r="A98" s="1298"/>
      <c r="B98" s="1326"/>
      <c r="C98" s="1325"/>
      <c r="D98" s="1298"/>
      <c r="E98" s="1621" t="s">
        <v>718</v>
      </c>
      <c r="F98" s="1800"/>
      <c r="G98" s="1441"/>
      <c r="H98" s="1442"/>
      <c r="I98" s="1436"/>
      <c r="J98" s="1437"/>
      <c r="K98" s="1439"/>
      <c r="L98" s="1339"/>
      <c r="M98" s="1298"/>
    </row>
    <row r="99" spans="1:13" ht="16.5" customHeight="1" thickBot="1">
      <c r="A99" s="1298"/>
      <c r="B99" s="1326"/>
      <c r="C99" s="1784" t="s">
        <v>719</v>
      </c>
      <c r="D99" s="1784"/>
      <c r="E99" s="1784"/>
      <c r="F99" s="1801"/>
      <c r="G99" s="1371"/>
      <c r="H99" s="1371"/>
      <c r="I99" s="1443"/>
      <c r="J99" s="1444"/>
      <c r="K99" s="1444"/>
      <c r="L99" s="1339"/>
      <c r="M99" s="1298"/>
    </row>
    <row r="100" spans="1:13" ht="16.5" customHeight="1" thickTop="1" thickBot="1">
      <c r="A100" s="1298"/>
      <c r="B100" s="1395"/>
      <c r="C100" s="1396"/>
      <c r="D100" s="1396"/>
      <c r="E100" s="1396"/>
      <c r="F100" s="1396"/>
      <c r="G100" s="1398"/>
      <c r="H100" s="1398"/>
      <c r="I100" s="1423"/>
      <c r="J100" s="1298"/>
      <c r="K100" s="1298"/>
      <c r="L100" s="1298"/>
      <c r="M100" s="1298"/>
    </row>
    <row r="101" spans="1:13" ht="16.5" customHeight="1">
      <c r="A101" s="1298"/>
      <c r="B101" s="1078"/>
      <c r="C101" s="1078"/>
      <c r="D101" s="1078"/>
      <c r="E101" s="1078"/>
      <c r="F101" s="1078"/>
      <c r="G101" s="1298"/>
      <c r="H101" s="1298"/>
      <c r="I101" s="1298"/>
      <c r="J101" s="1298"/>
      <c r="K101" s="1298"/>
      <c r="L101" s="1298"/>
      <c r="M101" s="1298"/>
    </row>
  </sheetData>
  <mergeCells count="47">
    <mergeCell ref="D89:F89"/>
    <mergeCell ref="D92:F92"/>
    <mergeCell ref="D94:F94"/>
    <mergeCell ref="E98:F98"/>
    <mergeCell ref="C99:F99"/>
    <mergeCell ref="D88:F88"/>
    <mergeCell ref="E49:F49"/>
    <mergeCell ref="E50:F50"/>
    <mergeCell ref="E51:F51"/>
    <mergeCell ref="D60:E60"/>
    <mergeCell ref="D65:E65"/>
    <mergeCell ref="D76:F76"/>
    <mergeCell ref="E78:F78"/>
    <mergeCell ref="E79:F79"/>
    <mergeCell ref="E80:F80"/>
    <mergeCell ref="E81:F81"/>
    <mergeCell ref="D83:F83"/>
    <mergeCell ref="E48:F48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36:F36"/>
    <mergeCell ref="D15:F15"/>
    <mergeCell ref="C16:F16"/>
    <mergeCell ref="D17:F17"/>
    <mergeCell ref="D18:F18"/>
    <mergeCell ref="D19:F19"/>
    <mergeCell ref="C20:F20"/>
    <mergeCell ref="D21:F21"/>
    <mergeCell ref="D22:F22"/>
    <mergeCell ref="D23:F23"/>
    <mergeCell ref="C25:F25"/>
    <mergeCell ref="E34:F34"/>
    <mergeCell ref="D14:F14"/>
    <mergeCell ref="C9:F9"/>
    <mergeCell ref="D10:F10"/>
    <mergeCell ref="D11:F11"/>
    <mergeCell ref="D12:F12"/>
    <mergeCell ref="D13:F13"/>
  </mergeCells>
  <phoneticPr fontId="1" type="noConversion"/>
  <dataValidations count="2">
    <dataValidation type="decimal" operator="greaterThanOrEqual" allowBlank="1" showInputMessage="1" showErrorMessage="1" sqref="J38:J40 G38:H40">
      <formula1>0</formula1>
    </dataValidation>
    <dataValidation type="decimal" operator="lessThanOrEqual" allowBlank="1" showInputMessage="1" showErrorMessage="1" sqref="G32:G33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4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C5FFFF"/>
  </sheetPr>
  <dimension ref="A1:I80"/>
  <sheetViews>
    <sheetView workbookViewId="0">
      <selection sqref="A1:XFD1048576"/>
    </sheetView>
  </sheetViews>
  <sheetFormatPr defaultRowHeight="10.5"/>
  <cols>
    <col min="1" max="1" width="8.140625" style="1448" customWidth="1"/>
    <col min="2" max="2" width="15.42578125" style="1448" customWidth="1"/>
    <col min="3" max="3" width="48.7109375" style="1448" bestFit="1" customWidth="1"/>
    <col min="4" max="4" width="15.42578125" style="1448" bestFit="1" customWidth="1"/>
    <col min="5" max="16384" width="9.140625" style="1448"/>
  </cols>
  <sheetData>
    <row r="1" spans="1:9" ht="12.75" customHeight="1">
      <c r="A1" s="1445" t="s">
        <v>526</v>
      </c>
      <c r="B1" s="1446"/>
      <c r="C1" s="1446"/>
      <c r="D1" s="1446"/>
      <c r="E1" s="1446"/>
      <c r="F1" s="1447" t="s">
        <v>985</v>
      </c>
      <c r="G1" s="1446"/>
      <c r="H1" s="1446"/>
      <c r="I1" s="1446"/>
    </row>
    <row r="2" spans="1:9" s="1451" customFormat="1" ht="12.75">
      <c r="A2" s="1449"/>
      <c r="B2" s="1450"/>
      <c r="C2" s="1450"/>
      <c r="D2" s="1450"/>
      <c r="E2" s="1450"/>
      <c r="F2" s="1450"/>
      <c r="G2" s="1450"/>
      <c r="H2" s="1450"/>
      <c r="I2" s="1450"/>
    </row>
    <row r="3" spans="1:9" ht="12.75">
      <c r="A3" s="1445" t="s">
        <v>81</v>
      </c>
      <c r="B3" s="1446"/>
      <c r="C3" s="1446"/>
      <c r="D3" s="1446"/>
      <c r="E3" s="1446"/>
      <c r="F3" s="1446"/>
      <c r="G3" s="1446"/>
      <c r="H3" s="1446"/>
      <c r="I3" s="1446"/>
    </row>
    <row r="4" spans="1:9" ht="12.75">
      <c r="A4" s="1445"/>
      <c r="B4" s="1446"/>
      <c r="C4" s="1446"/>
      <c r="D4" s="1446"/>
      <c r="E4" s="1446"/>
      <c r="F4" s="1446"/>
      <c r="G4" s="1446"/>
      <c r="H4" s="1446"/>
      <c r="I4" s="1446"/>
    </row>
    <row r="5" spans="1:9" ht="20.25">
      <c r="A5" s="1802" t="s">
        <v>720</v>
      </c>
      <c r="B5" s="1802"/>
      <c r="C5" s="1802"/>
      <c r="D5" s="1452"/>
      <c r="E5" s="1453"/>
      <c r="F5" s="1453"/>
      <c r="G5" s="1453"/>
    </row>
    <row r="6" spans="1:9" ht="15" thickBot="1">
      <c r="A6" s="1454"/>
      <c r="B6" s="1454"/>
      <c r="C6" s="1455"/>
      <c r="D6" s="1455"/>
      <c r="E6" s="1456"/>
      <c r="F6" s="1456"/>
      <c r="G6" s="1456"/>
    </row>
    <row r="7" spans="1:9" ht="15.75" thickBot="1">
      <c r="A7" s="1454"/>
      <c r="B7" s="1454"/>
      <c r="C7" s="1457"/>
      <c r="D7" s="1458" t="s">
        <v>190</v>
      </c>
      <c r="E7" s="1458" t="s">
        <v>79</v>
      </c>
      <c r="F7" s="1458" t="s">
        <v>80</v>
      </c>
      <c r="G7" s="1459" t="s">
        <v>81</v>
      </c>
      <c r="H7" s="1460" t="s">
        <v>82</v>
      </c>
      <c r="I7" s="1461" t="s">
        <v>44</v>
      </c>
    </row>
    <row r="8" spans="1:9" ht="15">
      <c r="A8" s="1454"/>
      <c r="B8" s="1454"/>
      <c r="C8" s="1462" t="s">
        <v>721</v>
      </c>
      <c r="D8" s="1463"/>
      <c r="E8" s="1803" t="s">
        <v>722</v>
      </c>
      <c r="F8" s="1804"/>
      <c r="G8" s="1805"/>
      <c r="H8" s="1806" t="s">
        <v>723</v>
      </c>
      <c r="I8" s="1806"/>
    </row>
    <row r="9" spans="1:9" ht="14.25">
      <c r="A9" s="1454"/>
      <c r="B9" s="1454"/>
      <c r="C9" s="1464" t="s">
        <v>724</v>
      </c>
      <c r="D9" s="1465" t="s">
        <v>725</v>
      </c>
      <c r="E9" s="1466"/>
      <c r="F9" s="1467"/>
      <c r="G9" s="1468">
        <v>2434837</v>
      </c>
    </row>
    <row r="10" spans="1:9" ht="14.25">
      <c r="A10" s="1454"/>
      <c r="B10" s="1454"/>
      <c r="C10" s="1464" t="s">
        <v>726</v>
      </c>
      <c r="D10" s="1465" t="s">
        <v>727</v>
      </c>
      <c r="E10" s="1466"/>
      <c r="F10" s="1467"/>
      <c r="G10" s="1468">
        <v>2920359</v>
      </c>
    </row>
    <row r="11" spans="1:9" ht="14.25">
      <c r="A11" s="1454"/>
      <c r="B11" s="1454"/>
      <c r="C11" s="1464" t="s">
        <v>728</v>
      </c>
      <c r="D11" s="1465" t="s">
        <v>729</v>
      </c>
      <c r="E11" s="1466"/>
      <c r="F11" s="1467"/>
      <c r="G11" s="1468">
        <v>270558581</v>
      </c>
    </row>
    <row r="12" spans="1:9" ht="15.75" thickBot="1">
      <c r="A12" s="1454"/>
      <c r="B12" s="1454"/>
      <c r="C12" s="1464"/>
      <c r="D12" s="1469"/>
      <c r="E12" s="1470"/>
      <c r="F12" s="1471"/>
      <c r="G12" s="1471"/>
    </row>
    <row r="13" spans="1:9" ht="15">
      <c r="A13" s="1454"/>
      <c r="B13" s="1454"/>
      <c r="C13" s="1472" t="s">
        <v>730</v>
      </c>
      <c r="D13" s="1463"/>
      <c r="E13" s="1473"/>
      <c r="F13" s="1456"/>
      <c r="G13" s="1456"/>
    </row>
    <row r="14" spans="1:9" ht="14.25">
      <c r="A14" s="1454"/>
      <c r="B14" s="1454"/>
      <c r="C14" s="1474"/>
      <c r="D14" s="1465"/>
      <c r="E14" s="1473"/>
      <c r="F14" s="1456"/>
      <c r="G14" s="1456"/>
    </row>
    <row r="15" spans="1:9" ht="14.25">
      <c r="A15" s="1454"/>
      <c r="B15" s="1454"/>
      <c r="C15" s="1475" t="s">
        <v>731</v>
      </c>
      <c r="D15" s="1465"/>
      <c r="E15" s="1473"/>
      <c r="F15" s="1456"/>
      <c r="G15" s="1456"/>
    </row>
    <row r="16" spans="1:9" ht="14.25">
      <c r="A16" s="1454"/>
      <c r="B16" s="1454"/>
      <c r="C16" s="1475" t="s">
        <v>732</v>
      </c>
      <c r="D16" s="1465"/>
      <c r="E16" s="1473"/>
      <c r="F16" s="1456"/>
      <c r="G16" s="1456"/>
    </row>
    <row r="17" spans="1:7" ht="14.25">
      <c r="A17" s="1454"/>
      <c r="B17" s="1454"/>
      <c r="C17" s="1476" t="s">
        <v>733</v>
      </c>
      <c r="D17" s="1465" t="s">
        <v>734</v>
      </c>
      <c r="E17" s="1466"/>
      <c r="F17" s="1467"/>
      <c r="G17" s="1468">
        <v>0</v>
      </c>
    </row>
    <row r="18" spans="1:7" ht="14.25">
      <c r="A18" s="1454"/>
      <c r="B18" s="1454"/>
      <c r="C18" s="1476" t="s">
        <v>223</v>
      </c>
      <c r="D18" s="1465" t="s">
        <v>734</v>
      </c>
      <c r="E18" s="1466"/>
      <c r="F18" s="1467"/>
      <c r="G18" s="1468">
        <v>20</v>
      </c>
    </row>
    <row r="19" spans="1:7" ht="14.25">
      <c r="A19" s="1454"/>
      <c r="B19" s="1454"/>
      <c r="C19" s="1476" t="s">
        <v>222</v>
      </c>
      <c r="D19" s="1465" t="s">
        <v>734</v>
      </c>
      <c r="E19" s="1466"/>
      <c r="F19" s="1467"/>
      <c r="G19" s="1468">
        <v>20219</v>
      </c>
    </row>
    <row r="20" spans="1:7" ht="14.25">
      <c r="A20" s="1454"/>
      <c r="B20" s="1454"/>
      <c r="C20" s="1476" t="s">
        <v>735</v>
      </c>
      <c r="D20" s="1465" t="s">
        <v>734</v>
      </c>
      <c r="E20" s="1466"/>
      <c r="F20" s="1467"/>
      <c r="G20" s="1468">
        <v>9</v>
      </c>
    </row>
    <row r="21" spans="1:7" ht="14.25">
      <c r="A21" s="1454"/>
      <c r="B21" s="1454"/>
      <c r="C21" s="1474"/>
      <c r="D21" s="1465"/>
      <c r="E21" s="1473"/>
      <c r="F21" s="1456"/>
      <c r="G21" s="1456"/>
    </row>
    <row r="22" spans="1:7" ht="14.25">
      <c r="A22" s="1454"/>
      <c r="B22" s="1454"/>
      <c r="C22" s="1475" t="s">
        <v>736</v>
      </c>
      <c r="D22" s="1465"/>
      <c r="E22" s="1473"/>
      <c r="F22" s="1456"/>
      <c r="G22" s="1456"/>
    </row>
    <row r="23" spans="1:7" ht="14.25">
      <c r="A23" s="1454"/>
      <c r="B23" s="1454"/>
      <c r="C23" s="1476" t="s">
        <v>401</v>
      </c>
      <c r="D23" s="1465" t="s">
        <v>210</v>
      </c>
      <c r="E23" s="1466"/>
      <c r="F23" s="1467"/>
      <c r="G23" s="1468">
        <v>0</v>
      </c>
    </row>
    <row r="24" spans="1:7" ht="14.25">
      <c r="A24" s="1454"/>
      <c r="B24" s="1454"/>
      <c r="C24" s="1476" t="s">
        <v>402</v>
      </c>
      <c r="D24" s="1465" t="s">
        <v>210</v>
      </c>
      <c r="E24" s="1466"/>
      <c r="F24" s="1467"/>
      <c r="G24" s="1468">
        <v>65</v>
      </c>
    </row>
    <row r="25" spans="1:7" ht="14.25">
      <c r="A25" s="1454"/>
      <c r="B25" s="1454"/>
      <c r="C25" s="1476" t="s">
        <v>223</v>
      </c>
      <c r="D25" s="1465" t="s">
        <v>210</v>
      </c>
      <c r="E25" s="1466"/>
      <c r="F25" s="1467"/>
      <c r="G25" s="1468">
        <v>95.1</v>
      </c>
    </row>
    <row r="26" spans="1:7" ht="15" thickBot="1">
      <c r="A26" s="1454"/>
      <c r="B26" s="1454"/>
      <c r="C26" s="1476" t="s">
        <v>222</v>
      </c>
      <c r="D26" s="1465" t="s">
        <v>210</v>
      </c>
      <c r="E26" s="1466"/>
      <c r="F26" s="1467"/>
      <c r="G26" s="1468">
        <v>2.9</v>
      </c>
    </row>
    <row r="27" spans="1:7" ht="15" thickBot="1">
      <c r="A27" s="1454"/>
      <c r="B27" s="1454"/>
      <c r="C27" s="1477" t="s">
        <v>200</v>
      </c>
      <c r="D27" s="1465"/>
      <c r="E27" s="1478"/>
      <c r="F27" s="1479"/>
      <c r="G27" s="1479">
        <v>163</v>
      </c>
    </row>
    <row r="28" spans="1:7" ht="14.25">
      <c r="A28" s="1454"/>
      <c r="B28" s="1454"/>
      <c r="C28" s="1474"/>
      <c r="D28" s="1465"/>
      <c r="E28" s="1480"/>
      <c r="F28" s="1481"/>
      <c r="G28" s="1481"/>
    </row>
    <row r="29" spans="1:7" ht="14.25">
      <c r="A29" s="1454"/>
      <c r="B29" s="1454"/>
      <c r="C29" s="1475" t="s">
        <v>737</v>
      </c>
      <c r="D29" s="1465"/>
      <c r="E29" s="1480"/>
      <c r="F29" s="1481"/>
      <c r="G29" s="1481"/>
    </row>
    <row r="30" spans="1:7" ht="14.25">
      <c r="A30" s="1454"/>
      <c r="B30" s="1454"/>
      <c r="C30" s="1476" t="s">
        <v>738</v>
      </c>
      <c r="D30" s="1465" t="s">
        <v>210</v>
      </c>
      <c r="E30" s="1466"/>
      <c r="F30" s="1467"/>
      <c r="G30" s="1468">
        <v>5215</v>
      </c>
    </row>
    <row r="31" spans="1:7" ht="14.25">
      <c r="A31" s="1454"/>
      <c r="B31" s="1454"/>
      <c r="C31" s="1476" t="s">
        <v>739</v>
      </c>
      <c r="D31" s="1465" t="s">
        <v>210</v>
      </c>
      <c r="E31" s="1466"/>
      <c r="F31" s="1467"/>
      <c r="G31" s="1468">
        <v>4974</v>
      </c>
    </row>
    <row r="32" spans="1:7" ht="14.25">
      <c r="A32" s="1454"/>
      <c r="B32" s="1454"/>
      <c r="C32" s="1474"/>
      <c r="D32" s="1465"/>
      <c r="E32" s="1480"/>
      <c r="F32" s="1481"/>
      <c r="G32" s="1481"/>
    </row>
    <row r="33" spans="1:7" ht="14.25">
      <c r="A33" s="1454"/>
      <c r="B33" s="1454"/>
      <c r="C33" s="1475" t="s">
        <v>740</v>
      </c>
      <c r="D33" s="1465"/>
      <c r="E33" s="1480"/>
      <c r="F33" s="1481"/>
      <c r="G33" s="1481"/>
    </row>
    <row r="34" spans="1:7" ht="14.25">
      <c r="A34" s="1454"/>
      <c r="B34" s="1454"/>
      <c r="C34" s="1476" t="s">
        <v>733</v>
      </c>
      <c r="D34" s="1465" t="s">
        <v>215</v>
      </c>
      <c r="E34" s="1466"/>
      <c r="F34" s="1467"/>
      <c r="G34" s="1468">
        <v>616</v>
      </c>
    </row>
    <row r="35" spans="1:7" ht="14.25">
      <c r="A35" s="1454"/>
      <c r="B35" s="1454"/>
      <c r="C35" s="1476" t="s">
        <v>223</v>
      </c>
      <c r="D35" s="1465" t="s">
        <v>215</v>
      </c>
      <c r="E35" s="1466"/>
      <c r="F35" s="1467"/>
      <c r="G35" s="1468">
        <v>9051</v>
      </c>
    </row>
    <row r="36" spans="1:7" ht="15" thickBot="1">
      <c r="A36" s="1454"/>
      <c r="B36" s="1454"/>
      <c r="C36" s="1476" t="s">
        <v>222</v>
      </c>
      <c r="D36" s="1465" t="s">
        <v>215</v>
      </c>
      <c r="E36" s="1466"/>
      <c r="F36" s="1467"/>
      <c r="G36" s="1468">
        <v>17084</v>
      </c>
    </row>
    <row r="37" spans="1:7" ht="15" thickBot="1">
      <c r="A37" s="1454"/>
      <c r="B37" s="1454"/>
      <c r="C37" s="1477" t="s">
        <v>200</v>
      </c>
      <c r="D37" s="1465"/>
      <c r="E37" s="1478"/>
      <c r="F37" s="1479"/>
      <c r="G37" s="1479">
        <v>26751</v>
      </c>
    </row>
    <row r="38" spans="1:7" ht="14.25">
      <c r="A38" s="1454"/>
      <c r="B38" s="1454"/>
      <c r="C38" s="1474"/>
      <c r="D38" s="1465"/>
      <c r="E38" s="1473"/>
      <c r="F38" s="1456"/>
      <c r="G38" s="1456"/>
    </row>
    <row r="39" spans="1:7" ht="14.25">
      <c r="A39" s="1454"/>
      <c r="B39" s="1454"/>
      <c r="C39" s="1475" t="s">
        <v>741</v>
      </c>
      <c r="D39" s="1465"/>
      <c r="E39" s="1473"/>
      <c r="F39" s="1456"/>
      <c r="G39" s="1456"/>
    </row>
    <row r="40" spans="1:7" ht="14.25">
      <c r="A40" s="1454"/>
      <c r="B40" s="1454"/>
      <c r="C40" s="1476" t="s">
        <v>742</v>
      </c>
      <c r="D40" s="1465" t="s">
        <v>743</v>
      </c>
      <c r="E40" s="1466"/>
      <c r="F40" s="1467"/>
      <c r="G40" s="1468">
        <v>1381</v>
      </c>
    </row>
    <row r="41" spans="1:7" ht="14.25">
      <c r="A41" s="1454"/>
      <c r="B41" s="1454"/>
      <c r="C41" s="1476" t="s">
        <v>744</v>
      </c>
      <c r="D41" s="1465" t="s">
        <v>745</v>
      </c>
      <c r="E41" s="1466"/>
      <c r="F41" s="1467"/>
      <c r="G41" s="1482">
        <v>5.1624238346230047E-2</v>
      </c>
    </row>
    <row r="42" spans="1:7" ht="14.25">
      <c r="A42" s="1454"/>
      <c r="B42" s="1454"/>
      <c r="C42" s="1474"/>
      <c r="D42" s="1465"/>
      <c r="E42" s="1480"/>
      <c r="F42" s="1481"/>
      <c r="G42" s="1481"/>
    </row>
    <row r="43" spans="1:7" ht="15.75" thickBot="1">
      <c r="A43" s="1454"/>
      <c r="B43" s="1454"/>
      <c r="C43" s="1464"/>
      <c r="D43" s="1469"/>
      <c r="E43" s="1470"/>
      <c r="F43" s="1471"/>
      <c r="G43" s="1471"/>
    </row>
    <row r="44" spans="1:7" ht="15">
      <c r="A44" s="1454"/>
      <c r="B44" s="1454"/>
      <c r="C44" s="1472" t="s">
        <v>746</v>
      </c>
      <c r="D44" s="1465"/>
      <c r="E44" s="1480"/>
      <c r="F44" s="1481"/>
      <c r="G44" s="1481"/>
    </row>
    <row r="45" spans="1:7" ht="14.25">
      <c r="A45" s="1454"/>
      <c r="B45" s="1454"/>
      <c r="C45" s="1474"/>
      <c r="D45" s="1465"/>
      <c r="E45" s="1480"/>
      <c r="F45" s="1481"/>
      <c r="G45" s="1481"/>
    </row>
    <row r="46" spans="1:7" ht="14.25">
      <c r="A46" s="1454"/>
      <c r="B46" s="1454"/>
      <c r="C46" s="1475" t="s">
        <v>747</v>
      </c>
      <c r="D46" s="1465"/>
      <c r="E46" s="1480"/>
      <c r="F46" s="1481"/>
      <c r="G46" s="1481"/>
    </row>
    <row r="47" spans="1:7" ht="14.25">
      <c r="A47" s="1454"/>
      <c r="B47" s="1454"/>
      <c r="C47" s="1476" t="s">
        <v>401</v>
      </c>
      <c r="D47" s="1465" t="s">
        <v>748</v>
      </c>
      <c r="E47" s="1466"/>
      <c r="F47" s="1467"/>
      <c r="G47" s="1483">
        <v>1368</v>
      </c>
    </row>
    <row r="48" spans="1:7" ht="14.25">
      <c r="A48" s="1454"/>
      <c r="B48" s="1454"/>
      <c r="C48" s="1476" t="s">
        <v>402</v>
      </c>
      <c r="D48" s="1465" t="s">
        <v>748</v>
      </c>
      <c r="E48" s="1466"/>
      <c r="F48" s="1467"/>
      <c r="G48" s="1483">
        <v>1830</v>
      </c>
    </row>
    <row r="49" spans="1:7" ht="14.25">
      <c r="A49" s="1454"/>
      <c r="B49" s="1454"/>
      <c r="C49" s="1476" t="s">
        <v>223</v>
      </c>
      <c r="D49" s="1465" t="s">
        <v>748</v>
      </c>
      <c r="E49" s="1466"/>
      <c r="F49" s="1467"/>
      <c r="G49" s="1483">
        <v>14538</v>
      </c>
    </row>
    <row r="50" spans="1:7" ht="15" thickBot="1">
      <c r="A50" s="1454"/>
      <c r="B50" s="1454"/>
      <c r="C50" s="1476" t="s">
        <v>222</v>
      </c>
      <c r="D50" s="1465" t="s">
        <v>748</v>
      </c>
      <c r="E50" s="1466"/>
      <c r="F50" s="1467"/>
      <c r="G50" s="1483">
        <v>6120</v>
      </c>
    </row>
    <row r="51" spans="1:7" ht="15" thickBot="1">
      <c r="A51" s="1454"/>
      <c r="B51" s="1454"/>
      <c r="C51" s="1477" t="s">
        <v>200</v>
      </c>
      <c r="D51" s="1465" t="s">
        <v>748</v>
      </c>
      <c r="E51" s="1478"/>
      <c r="F51" s="1479"/>
      <c r="G51" s="1479">
        <v>23856</v>
      </c>
    </row>
    <row r="52" spans="1:7" ht="14.25">
      <c r="A52" s="1454"/>
      <c r="B52" s="1454"/>
      <c r="C52" s="1474"/>
      <c r="D52" s="1465"/>
      <c r="E52" s="1480"/>
      <c r="F52" s="1481"/>
      <c r="G52" s="1481"/>
    </row>
    <row r="53" spans="1:7" ht="14.25">
      <c r="A53" s="1454"/>
      <c r="B53" s="1454"/>
      <c r="C53" s="1475" t="s">
        <v>749</v>
      </c>
      <c r="D53" s="1465"/>
      <c r="E53" s="1480"/>
      <c r="F53" s="1481"/>
      <c r="G53" s="1481"/>
    </row>
    <row r="54" spans="1:7" ht="14.25">
      <c r="A54" s="1454"/>
      <c r="B54" s="1454"/>
      <c r="C54" s="1476" t="s">
        <v>401</v>
      </c>
      <c r="D54" s="1465" t="s">
        <v>748</v>
      </c>
      <c r="E54" s="1466"/>
      <c r="F54" s="1467"/>
      <c r="G54" s="1483">
        <v>303</v>
      </c>
    </row>
    <row r="55" spans="1:7" ht="14.25">
      <c r="A55" s="1454"/>
      <c r="B55" s="1454"/>
      <c r="C55" s="1476" t="s">
        <v>402</v>
      </c>
      <c r="D55" s="1465" t="s">
        <v>748</v>
      </c>
      <c r="E55" s="1466"/>
      <c r="F55" s="1467"/>
      <c r="G55" s="1483">
        <v>380</v>
      </c>
    </row>
    <row r="56" spans="1:7" ht="14.25">
      <c r="A56" s="1454"/>
      <c r="B56" s="1454"/>
      <c r="C56" s="1476" t="s">
        <v>223</v>
      </c>
      <c r="D56" s="1465" t="s">
        <v>748</v>
      </c>
      <c r="E56" s="1466"/>
      <c r="F56" s="1467"/>
      <c r="G56" s="1483">
        <v>12085</v>
      </c>
    </row>
    <row r="57" spans="1:7" ht="15" thickBot="1">
      <c r="A57" s="1454"/>
      <c r="B57" s="1454"/>
      <c r="C57" s="1476" t="s">
        <v>222</v>
      </c>
      <c r="D57" s="1465" t="s">
        <v>748</v>
      </c>
      <c r="E57" s="1466"/>
      <c r="F57" s="1467"/>
      <c r="G57" s="1483">
        <v>25340</v>
      </c>
    </row>
    <row r="58" spans="1:7" ht="15" thickBot="1">
      <c r="A58" s="1454"/>
      <c r="B58" s="1454"/>
      <c r="C58" s="1484" t="s">
        <v>200</v>
      </c>
      <c r="D58" s="1465" t="s">
        <v>748</v>
      </c>
      <c r="E58" s="1478"/>
      <c r="F58" s="1479"/>
      <c r="G58" s="1479">
        <v>38108</v>
      </c>
    </row>
    <row r="59" spans="1:7" ht="14.25">
      <c r="A59" s="1454"/>
      <c r="B59" s="1454"/>
      <c r="C59" s="1474"/>
      <c r="D59" s="1465"/>
      <c r="E59" s="1480"/>
      <c r="F59" s="1481"/>
      <c r="G59" s="1481"/>
    </row>
    <row r="60" spans="1:7" ht="14.25">
      <c r="A60" s="1454"/>
      <c r="B60" s="1454"/>
      <c r="C60" s="1475" t="s">
        <v>750</v>
      </c>
      <c r="D60" s="1465"/>
      <c r="E60" s="1480"/>
      <c r="F60" s="1481"/>
      <c r="G60" s="1481"/>
    </row>
    <row r="61" spans="1:7" ht="14.25">
      <c r="A61" s="1454"/>
      <c r="B61" s="1454"/>
      <c r="C61" s="1476" t="s">
        <v>401</v>
      </c>
      <c r="D61" s="1465" t="s">
        <v>748</v>
      </c>
      <c r="E61" s="1485"/>
      <c r="F61" s="1483"/>
      <c r="G61" s="1483">
        <v>1671</v>
      </c>
    </row>
    <row r="62" spans="1:7" ht="14.25">
      <c r="A62" s="1454"/>
      <c r="B62" s="1454"/>
      <c r="C62" s="1476" t="s">
        <v>402</v>
      </c>
      <c r="D62" s="1465" t="s">
        <v>748</v>
      </c>
      <c r="E62" s="1485"/>
      <c r="F62" s="1483"/>
      <c r="G62" s="1483">
        <v>2210</v>
      </c>
    </row>
    <row r="63" spans="1:7" ht="14.25">
      <c r="A63" s="1454"/>
      <c r="B63" s="1454"/>
      <c r="C63" s="1476" t="s">
        <v>223</v>
      </c>
      <c r="D63" s="1465" t="s">
        <v>748</v>
      </c>
      <c r="E63" s="1485"/>
      <c r="F63" s="1483"/>
      <c r="G63" s="1483">
        <v>26623</v>
      </c>
    </row>
    <row r="64" spans="1:7" ht="15" thickBot="1">
      <c r="A64" s="1454"/>
      <c r="B64" s="1454"/>
      <c r="C64" s="1476" t="s">
        <v>222</v>
      </c>
      <c r="D64" s="1465" t="s">
        <v>748</v>
      </c>
      <c r="E64" s="1485"/>
      <c r="F64" s="1483"/>
      <c r="G64" s="1483">
        <v>31460</v>
      </c>
    </row>
    <row r="65" spans="1:7" ht="15" thickBot="1">
      <c r="A65" s="1454"/>
      <c r="B65" s="1454"/>
      <c r="C65" s="1477" t="s">
        <v>200</v>
      </c>
      <c r="D65" s="1465" t="s">
        <v>748</v>
      </c>
      <c r="E65" s="1478"/>
      <c r="F65" s="1479"/>
      <c r="G65" s="1479">
        <v>61964</v>
      </c>
    </row>
    <row r="66" spans="1:7" ht="14.25">
      <c r="A66" s="1454"/>
      <c r="B66" s="1454"/>
      <c r="C66" s="1474"/>
      <c r="D66" s="1465"/>
      <c r="E66" s="1480"/>
      <c r="F66" s="1481"/>
      <c r="G66" s="1481"/>
    </row>
    <row r="67" spans="1:7" ht="14.25">
      <c r="A67" s="1454"/>
      <c r="B67" s="1454"/>
      <c r="C67" s="1475" t="s">
        <v>751</v>
      </c>
      <c r="D67" s="1465"/>
      <c r="E67" s="1480"/>
      <c r="F67" s="1481"/>
      <c r="G67" s="1481"/>
    </row>
    <row r="68" spans="1:7" ht="14.25">
      <c r="A68" s="1454"/>
      <c r="B68" s="1454"/>
      <c r="C68" s="1476" t="s">
        <v>401</v>
      </c>
      <c r="D68" s="1465" t="s">
        <v>752</v>
      </c>
      <c r="E68" s="1466"/>
      <c r="F68" s="1467"/>
      <c r="G68" s="1468">
        <v>84</v>
      </c>
    </row>
    <row r="69" spans="1:7" ht="14.25">
      <c r="A69" s="1454"/>
      <c r="B69" s="1454"/>
      <c r="C69" s="1476" t="s">
        <v>753</v>
      </c>
      <c r="D69" s="1465" t="s">
        <v>752</v>
      </c>
      <c r="E69" s="1466"/>
      <c r="F69" s="1467"/>
      <c r="G69" s="1468">
        <v>138</v>
      </c>
    </row>
    <row r="70" spans="1:7" ht="14.25">
      <c r="A70" s="1454"/>
      <c r="B70" s="1454"/>
      <c r="C70" s="1476" t="s">
        <v>754</v>
      </c>
      <c r="D70" s="1465" t="s">
        <v>752</v>
      </c>
      <c r="E70" s="1466"/>
      <c r="F70" s="1467"/>
      <c r="G70" s="1468">
        <v>3</v>
      </c>
    </row>
    <row r="71" spans="1:7" ht="14.25">
      <c r="A71" s="1454"/>
      <c r="B71" s="1454"/>
      <c r="C71" s="1476" t="s">
        <v>755</v>
      </c>
      <c r="D71" s="1465" t="s">
        <v>752</v>
      </c>
      <c r="E71" s="1466"/>
      <c r="F71" s="1467"/>
      <c r="G71" s="1468">
        <v>16210</v>
      </c>
    </row>
    <row r="72" spans="1:7" ht="15" thickBot="1">
      <c r="A72" s="1454"/>
      <c r="B72" s="1454"/>
      <c r="C72" s="1476" t="s">
        <v>756</v>
      </c>
      <c r="D72" s="1465" t="s">
        <v>752</v>
      </c>
      <c r="E72" s="1466"/>
      <c r="F72" s="1467"/>
      <c r="G72" s="1468">
        <v>34355</v>
      </c>
    </row>
    <row r="73" spans="1:7" ht="15" thickBot="1">
      <c r="A73" s="1454"/>
      <c r="B73" s="1454"/>
      <c r="C73" s="1477" t="s">
        <v>200</v>
      </c>
      <c r="D73" s="1465" t="s">
        <v>752</v>
      </c>
      <c r="E73" s="1478"/>
      <c r="F73" s="1479"/>
      <c r="G73" s="1479">
        <v>50790</v>
      </c>
    </row>
    <row r="74" spans="1:7" ht="15.75" thickBot="1">
      <c r="A74" s="1454"/>
      <c r="B74" s="1454"/>
      <c r="C74" s="1470"/>
      <c r="D74" s="1469"/>
      <c r="E74" s="1470"/>
      <c r="F74" s="1471"/>
      <c r="G74" s="1486"/>
    </row>
    <row r="75" spans="1:7" ht="14.25">
      <c r="A75" s="1455"/>
      <c r="B75" s="1455"/>
      <c r="C75" s="1455"/>
      <c r="D75" s="1455"/>
      <c r="E75" s="1455"/>
      <c r="F75" s="1455"/>
      <c r="G75" s="1455"/>
    </row>
    <row r="76" spans="1:7" ht="14.25">
      <c r="A76" s="1454"/>
      <c r="B76" s="1454"/>
      <c r="C76" s="1455"/>
      <c r="D76" s="1455"/>
      <c r="E76" s="1455"/>
      <c r="F76" s="1455"/>
      <c r="G76" s="1455"/>
    </row>
    <row r="77" spans="1:7" ht="14.25">
      <c r="A77" s="1454"/>
      <c r="B77" s="1454"/>
      <c r="C77" s="1455"/>
      <c r="D77" s="1455"/>
      <c r="E77" s="1455"/>
      <c r="F77" s="1455"/>
      <c r="G77" s="1455"/>
    </row>
    <row r="78" spans="1:7" ht="14.25">
      <c r="A78" s="1454"/>
      <c r="B78" s="1454"/>
      <c r="C78" s="1455"/>
      <c r="D78" s="1455"/>
      <c r="E78" s="1455"/>
      <c r="F78" s="1455"/>
      <c r="G78" s="1455"/>
    </row>
    <row r="79" spans="1:7" ht="14.25">
      <c r="A79" s="1454"/>
      <c r="B79" s="1454"/>
      <c r="C79" s="1455"/>
      <c r="D79" s="1455"/>
      <c r="E79" s="1455"/>
      <c r="F79" s="1455"/>
      <c r="G79" s="1455"/>
    </row>
    <row r="80" spans="1:7" ht="14.25">
      <c r="A80" s="1454"/>
      <c r="B80" s="1454"/>
      <c r="C80" s="1455"/>
      <c r="D80" s="1455"/>
      <c r="E80" s="1455"/>
      <c r="F80" s="1455"/>
      <c r="G80" s="1455"/>
    </row>
  </sheetData>
  <mergeCells count="3">
    <mergeCell ref="A5:C5"/>
    <mergeCell ref="E8:G8"/>
    <mergeCell ref="H8:I8"/>
  </mergeCells>
  <hyperlinks>
    <hyperlink ref="F1" location="Inputs!A1" display="Index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C5FFFF"/>
    <pageSetUpPr fitToPage="1"/>
  </sheetPr>
  <dimension ref="A1:L49"/>
  <sheetViews>
    <sheetView topLeftCell="A28" workbookViewId="0">
      <selection activeCell="H11" sqref="H11:L49"/>
    </sheetView>
  </sheetViews>
  <sheetFormatPr defaultColWidth="8.85546875" defaultRowHeight="15"/>
  <cols>
    <col min="1" max="4" width="8.85546875" style="2" customWidth="1"/>
    <col min="5" max="5" width="17.42578125" style="2" customWidth="1"/>
    <col min="6" max="7" width="8.85546875" style="2" customWidth="1"/>
    <col min="8" max="12" width="8.42578125" style="2" bestFit="1" customWidth="1"/>
    <col min="13" max="16384" width="8.85546875" style="2"/>
  </cols>
  <sheetData>
    <row r="1" spans="1:12">
      <c r="C1" s="2" t="s">
        <v>757</v>
      </c>
    </row>
    <row r="8" spans="1:12">
      <c r="A8" s="2" t="s">
        <v>758</v>
      </c>
      <c r="H8" s="29" t="s">
        <v>79</v>
      </c>
      <c r="I8" s="29" t="s">
        <v>80</v>
      </c>
      <c r="J8" s="29" t="s">
        <v>81</v>
      </c>
      <c r="K8" s="29" t="s">
        <v>82</v>
      </c>
      <c r="L8" s="29" t="s">
        <v>44</v>
      </c>
    </row>
    <row r="9" spans="1:12">
      <c r="H9" s="29">
        <v>16</v>
      </c>
      <c r="I9" s="29">
        <v>17</v>
      </c>
      <c r="J9" s="29">
        <v>18</v>
      </c>
      <c r="K9" s="29">
        <v>19</v>
      </c>
      <c r="L9" s="29">
        <v>20</v>
      </c>
    </row>
    <row r="11" spans="1:12">
      <c r="B11" s="2" t="s">
        <v>759</v>
      </c>
      <c r="F11" s="2" t="s">
        <v>203</v>
      </c>
      <c r="H11" s="47">
        <v>255.06868</v>
      </c>
      <c r="I11" s="47">
        <v>262.01640500000002</v>
      </c>
      <c r="J11" s="47">
        <v>274.19156400000003</v>
      </c>
      <c r="K11" s="48"/>
      <c r="L11" s="48"/>
    </row>
    <row r="12" spans="1:12">
      <c r="B12" s="2" t="s">
        <v>760</v>
      </c>
      <c r="F12" s="2" t="s">
        <v>203</v>
      </c>
      <c r="H12" s="47">
        <v>-1.912898</v>
      </c>
      <c r="I12" s="47">
        <v>-3.5919140000000001</v>
      </c>
      <c r="J12" s="47">
        <v>-3.6379950000000001</v>
      </c>
      <c r="K12" s="48"/>
      <c r="L12" s="48"/>
    </row>
    <row r="13" spans="1:12">
      <c r="B13" s="2" t="s">
        <v>761</v>
      </c>
      <c r="F13" s="2" t="s">
        <v>203</v>
      </c>
      <c r="H13" s="47">
        <v>4.5676199999999998</v>
      </c>
      <c r="I13" s="47">
        <v>8.8523080000000007</v>
      </c>
      <c r="J13" s="47">
        <v>7.1725950000000003</v>
      </c>
      <c r="K13" s="48"/>
      <c r="L13" s="48"/>
    </row>
    <row r="14" spans="1:12">
      <c r="B14" s="2" t="s">
        <v>762</v>
      </c>
      <c r="F14" s="2" t="s">
        <v>203</v>
      </c>
      <c r="H14" s="47">
        <v>-8.2132999999999998E-2</v>
      </c>
      <c r="I14" s="47">
        <v>-11.672268000000001</v>
      </c>
      <c r="J14" s="47">
        <v>-1.294306</v>
      </c>
      <c r="K14" s="48"/>
      <c r="L14" s="48"/>
    </row>
    <row r="15" spans="1:12">
      <c r="H15" s="49"/>
      <c r="I15" s="49"/>
      <c r="J15" s="49"/>
      <c r="K15" s="50"/>
      <c r="L15" s="50"/>
    </row>
    <row r="16" spans="1:12">
      <c r="B16" s="2" t="s">
        <v>763</v>
      </c>
      <c r="F16" s="2" t="s">
        <v>203</v>
      </c>
      <c r="H16" s="51">
        <v>257.80553500000002</v>
      </c>
      <c r="I16" s="51">
        <v>278.94906700000001</v>
      </c>
      <c r="J16" s="51">
        <v>279.02046999999999</v>
      </c>
      <c r="K16" s="52"/>
      <c r="L16" s="52"/>
    </row>
    <row r="17" spans="1:12">
      <c r="H17" s="53"/>
      <c r="I17" s="53"/>
      <c r="J17" s="53"/>
      <c r="K17" s="54"/>
      <c r="L17" s="54"/>
    </row>
    <row r="18" spans="1:12">
      <c r="B18" s="2" t="s">
        <v>764</v>
      </c>
      <c r="F18" s="2" t="s">
        <v>203</v>
      </c>
      <c r="H18" s="47">
        <v>246.67</v>
      </c>
      <c r="I18" s="47">
        <v>277.74</v>
      </c>
      <c r="J18" s="47">
        <v>278.05</v>
      </c>
      <c r="K18" s="48"/>
      <c r="L18" s="48"/>
    </row>
    <row r="19" spans="1:12">
      <c r="B19" s="2" t="s">
        <v>765</v>
      </c>
      <c r="F19" s="2" t="s">
        <v>203</v>
      </c>
      <c r="H19" s="47">
        <v>2.5299999999999998</v>
      </c>
      <c r="I19" s="47">
        <v>-2.64</v>
      </c>
      <c r="J19" s="47">
        <v>-4.83</v>
      </c>
      <c r="K19" s="48"/>
      <c r="L19" s="48"/>
    </row>
    <row r="20" spans="1:12">
      <c r="H20" s="49"/>
      <c r="I20" s="49"/>
      <c r="J20" s="49"/>
      <c r="K20" s="50"/>
      <c r="L20" s="50"/>
    </row>
    <row r="21" spans="1:12">
      <c r="B21" s="2" t="s">
        <v>766</v>
      </c>
      <c r="F21" s="2" t="s">
        <v>203</v>
      </c>
      <c r="H21" s="55">
        <v>-11.135535000000001</v>
      </c>
      <c r="I21" s="55">
        <v>-1.2090669999999999</v>
      </c>
      <c r="J21" s="55">
        <v>-0.97047000000000005</v>
      </c>
      <c r="K21" s="56"/>
      <c r="L21" s="56"/>
    </row>
    <row r="22" spans="1:12">
      <c r="H22" s="53"/>
      <c r="I22" s="53"/>
      <c r="J22" s="53"/>
      <c r="K22" s="54"/>
      <c r="L22" s="54"/>
    </row>
    <row r="23" spans="1:12">
      <c r="H23" s="53"/>
      <c r="I23" s="53"/>
      <c r="J23" s="53"/>
      <c r="K23" s="54"/>
      <c r="L23" s="54"/>
    </row>
    <row r="24" spans="1:12">
      <c r="A24" s="2" t="s">
        <v>767</v>
      </c>
      <c r="H24" s="53"/>
      <c r="I24" s="53"/>
      <c r="J24" s="53"/>
      <c r="K24" s="54"/>
      <c r="L24" s="54"/>
    </row>
    <row r="25" spans="1:12">
      <c r="H25" s="53"/>
      <c r="I25" s="53"/>
      <c r="J25" s="53"/>
      <c r="K25" s="54"/>
      <c r="L25" s="54"/>
    </row>
    <row r="26" spans="1:12">
      <c r="B26" s="2" t="s">
        <v>768</v>
      </c>
      <c r="F26" s="2" t="s">
        <v>203</v>
      </c>
      <c r="H26" s="47">
        <v>0</v>
      </c>
      <c r="I26" s="47">
        <v>2.5645000000000001E-2</v>
      </c>
      <c r="J26" s="47">
        <v>6.1178000000000003E-2</v>
      </c>
      <c r="K26" s="48"/>
      <c r="L26" s="48"/>
    </row>
    <row r="27" spans="1:12">
      <c r="B27" s="2" t="s">
        <v>769</v>
      </c>
      <c r="F27" s="2" t="s">
        <v>203</v>
      </c>
      <c r="H27" s="47">
        <v>0</v>
      </c>
      <c r="I27" s="47">
        <v>0</v>
      </c>
      <c r="J27" s="47">
        <v>0</v>
      </c>
      <c r="K27" s="48"/>
      <c r="L27" s="48"/>
    </row>
    <row r="28" spans="1:12">
      <c r="B28" s="2" t="s">
        <v>770</v>
      </c>
      <c r="F28" s="2" t="s">
        <v>203</v>
      </c>
      <c r="H28" s="47">
        <v>0</v>
      </c>
      <c r="I28" s="47">
        <v>0</v>
      </c>
      <c r="J28" s="47">
        <v>4.6620000000000003E-3</v>
      </c>
      <c r="K28" s="48"/>
      <c r="L28" s="48"/>
    </row>
    <row r="29" spans="1:12">
      <c r="H29" s="49"/>
      <c r="I29" s="49"/>
      <c r="J29" s="49"/>
      <c r="K29" s="50"/>
      <c r="L29" s="50"/>
    </row>
    <row r="30" spans="1:12">
      <c r="B30" s="2" t="s">
        <v>767</v>
      </c>
      <c r="F30" s="2" t="s">
        <v>203</v>
      </c>
      <c r="H30" s="51">
        <v>0</v>
      </c>
      <c r="I30" s="51">
        <v>2.5645000000000001E-2</v>
      </c>
      <c r="J30" s="51">
        <v>5.6515999999999997E-2</v>
      </c>
      <c r="K30" s="52"/>
      <c r="L30" s="52"/>
    </row>
    <row r="31" spans="1:12">
      <c r="H31" s="53"/>
      <c r="I31" s="53"/>
      <c r="J31" s="53"/>
      <c r="K31" s="54"/>
      <c r="L31" s="54"/>
    </row>
    <row r="32" spans="1:12">
      <c r="B32" s="2" t="s">
        <v>771</v>
      </c>
      <c r="F32" s="2" t="s">
        <v>203</v>
      </c>
      <c r="H32" s="47">
        <v>0</v>
      </c>
      <c r="I32" s="47">
        <v>0.03</v>
      </c>
      <c r="J32" s="47">
        <v>7.0000000000000007E-2</v>
      </c>
      <c r="K32" s="48"/>
      <c r="L32" s="48"/>
    </row>
    <row r="33" spans="1:12">
      <c r="H33" s="53"/>
      <c r="I33" s="53"/>
      <c r="J33" s="53"/>
      <c r="K33" s="54"/>
      <c r="L33" s="54"/>
    </row>
    <row r="34" spans="1:12">
      <c r="B34" s="2" t="s">
        <v>766</v>
      </c>
      <c r="F34" s="2" t="s">
        <v>203</v>
      </c>
      <c r="H34" s="55">
        <v>0</v>
      </c>
      <c r="I34" s="55">
        <v>4.3550000000000004E-3</v>
      </c>
      <c r="J34" s="55">
        <v>1.3483999999999999E-2</v>
      </c>
      <c r="K34" s="56"/>
      <c r="L34" s="56"/>
    </row>
    <row r="35" spans="1:12">
      <c r="H35" s="53"/>
      <c r="I35" s="53"/>
      <c r="J35" s="53"/>
      <c r="K35" s="54"/>
      <c r="L35" s="54"/>
    </row>
    <row r="36" spans="1:12">
      <c r="H36" s="53"/>
      <c r="I36" s="53"/>
      <c r="J36" s="53"/>
      <c r="K36" s="54"/>
      <c r="L36" s="54"/>
    </row>
    <row r="37" spans="1:12">
      <c r="A37" s="2" t="s">
        <v>772</v>
      </c>
      <c r="H37" s="57"/>
      <c r="I37" s="57"/>
      <c r="J37" s="57"/>
      <c r="K37" s="58"/>
      <c r="L37" s="58"/>
    </row>
    <row r="38" spans="1:12">
      <c r="B38" s="2" t="s">
        <v>773</v>
      </c>
      <c r="F38" s="2" t="s">
        <v>203</v>
      </c>
      <c r="H38" s="47">
        <v>6.5</v>
      </c>
      <c r="I38" s="47">
        <v>8.2200000000000006</v>
      </c>
      <c r="J38" s="47">
        <v>7.78</v>
      </c>
      <c r="K38" s="48"/>
      <c r="L38" s="48"/>
    </row>
    <row r="39" spans="1:12">
      <c r="B39" s="2" t="s">
        <v>774</v>
      </c>
      <c r="F39" s="2" t="s">
        <v>203</v>
      </c>
      <c r="H39" s="47">
        <v>4.735894</v>
      </c>
      <c r="I39" s="47">
        <v>3.994996</v>
      </c>
      <c r="J39" s="59">
        <v>0</v>
      </c>
      <c r="K39" s="60"/>
      <c r="L39" s="60"/>
    </row>
    <row r="40" spans="1:12">
      <c r="H40" s="53"/>
      <c r="I40" s="53"/>
      <c r="J40" s="53"/>
      <c r="K40" s="54"/>
      <c r="L40" s="54"/>
    </row>
    <row r="41" spans="1:12">
      <c r="H41" s="61">
        <v>11.235894</v>
      </c>
      <c r="I41" s="61">
        <v>12.214995999999999</v>
      </c>
      <c r="J41" s="61">
        <v>7.78</v>
      </c>
      <c r="K41" s="62"/>
      <c r="L41" s="62"/>
    </row>
    <row r="42" spans="1:12">
      <c r="H42" s="57"/>
      <c r="I42" s="57"/>
      <c r="J42" s="57"/>
      <c r="K42" s="58"/>
      <c r="L42" s="58"/>
    </row>
    <row r="43" spans="1:12">
      <c r="H43" s="57"/>
      <c r="I43" s="57"/>
      <c r="J43" s="57"/>
      <c r="K43" s="58"/>
      <c r="L43" s="58"/>
    </row>
    <row r="44" spans="1:12">
      <c r="A44" s="2" t="s">
        <v>775</v>
      </c>
      <c r="H44" s="57"/>
      <c r="I44" s="57"/>
      <c r="J44" s="57"/>
      <c r="K44" s="58"/>
      <c r="L44" s="58"/>
    </row>
    <row r="45" spans="1:12">
      <c r="B45" s="2" t="s">
        <v>776</v>
      </c>
      <c r="F45" s="2" t="s">
        <v>203</v>
      </c>
      <c r="H45" s="47">
        <v>20.66</v>
      </c>
      <c r="I45" s="47">
        <v>51.69</v>
      </c>
      <c r="J45" s="47">
        <v>74.23</v>
      </c>
      <c r="K45" s="48"/>
      <c r="L45" s="48"/>
    </row>
    <row r="46" spans="1:12">
      <c r="B46" s="2" t="s">
        <v>777</v>
      </c>
      <c r="F46" s="2" t="s">
        <v>203</v>
      </c>
      <c r="H46" s="63">
        <v>6.63</v>
      </c>
      <c r="I46" s="63">
        <v>7.24</v>
      </c>
      <c r="J46" s="63">
        <v>7.96</v>
      </c>
      <c r="K46" s="64"/>
      <c r="L46" s="64"/>
    </row>
    <row r="47" spans="1:12">
      <c r="B47" s="2" t="s">
        <v>778</v>
      </c>
      <c r="F47" s="2" t="s">
        <v>203</v>
      </c>
      <c r="H47" s="63">
        <v>0</v>
      </c>
      <c r="I47" s="63">
        <v>0.4</v>
      </c>
      <c r="J47" s="63">
        <v>0.65</v>
      </c>
      <c r="K47" s="64"/>
      <c r="L47" s="64"/>
    </row>
    <row r="48" spans="1:12">
      <c r="H48" s="57"/>
      <c r="I48" s="57"/>
      <c r="J48" s="57"/>
      <c r="K48" s="58"/>
      <c r="L48" s="58"/>
    </row>
    <row r="49" spans="8:12">
      <c r="H49" s="55">
        <v>27.29</v>
      </c>
      <c r="I49" s="55">
        <v>59.33</v>
      </c>
      <c r="J49" s="55">
        <v>82.84</v>
      </c>
      <c r="K49" s="56"/>
      <c r="L49" s="56"/>
    </row>
  </sheetData>
  <phoneticPr fontId="1" type="noConversion"/>
  <pageMargins left="0.75" right="0.75" top="1" bottom="1" header="0.5" footer="0.5"/>
  <pageSetup paperSize="9" scale="57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 enableFormatConditionsCalculation="0">
    <tabColor rgb="FFC5FFFF"/>
    <pageSetUpPr fitToPage="1"/>
  </sheetPr>
  <dimension ref="A16:I163"/>
  <sheetViews>
    <sheetView showGridLines="0" topLeftCell="A34" workbookViewId="0">
      <selection activeCell="E64" sqref="E64"/>
    </sheetView>
  </sheetViews>
  <sheetFormatPr defaultColWidth="10.85546875" defaultRowHeight="15"/>
  <cols>
    <col min="1" max="1" width="4.28515625" style="1" customWidth="1"/>
    <col min="2" max="2" width="4.28515625" style="2" customWidth="1"/>
    <col min="3" max="3" width="27.42578125" style="2" bestFit="1" customWidth="1"/>
    <col min="4" max="9" width="22.85546875" style="2" customWidth="1"/>
    <col min="10" max="16384" width="10.85546875" style="2"/>
  </cols>
  <sheetData>
    <row r="16" spans="3:9" s="1" customFormat="1" ht="30">
      <c r="C16" s="1" t="s">
        <v>77</v>
      </c>
      <c r="D16" s="1" t="s">
        <v>190</v>
      </c>
      <c r="E16" s="31" t="s">
        <v>779</v>
      </c>
      <c r="F16" s="31"/>
      <c r="G16" s="31" t="s">
        <v>780</v>
      </c>
      <c r="H16" s="31" t="s">
        <v>781</v>
      </c>
      <c r="I16" s="31" t="s">
        <v>782</v>
      </c>
    </row>
    <row r="17" spans="1:9" s="1" customFormat="1" ht="60">
      <c r="E17" s="31" t="s">
        <v>783</v>
      </c>
      <c r="F17" s="31" t="s">
        <v>784</v>
      </c>
      <c r="G17" s="31" t="s">
        <v>785</v>
      </c>
      <c r="H17" s="31" t="s">
        <v>786</v>
      </c>
      <c r="I17" s="31" t="s">
        <v>787</v>
      </c>
    </row>
    <row r="18" spans="1:9">
      <c r="A18" s="1" t="s">
        <v>89</v>
      </c>
    </row>
    <row r="19" spans="1:9">
      <c r="B19" s="2" t="s">
        <v>429</v>
      </c>
    </row>
    <row r="20" spans="1:9">
      <c r="C20" s="2" t="s">
        <v>91</v>
      </c>
      <c r="D20" s="2" t="s">
        <v>516</v>
      </c>
      <c r="E20" s="2">
        <f>IF(ISNUMBER('FBPQ C2'!J12),'FBPQ C2'!J12,IF(ISNUMBER('FBPQ C2'!I12),'FBPQ C2'!I12,""))</f>
        <v>41.700246577433042</v>
      </c>
      <c r="F20" s="2" t="s">
        <v>788</v>
      </c>
      <c r="G20" s="2">
        <f t="shared" ref="G20:G83" si="0">IF(ISNUMBER(E20),E20,IF(H20&gt;0,F20," "))</f>
        <v>41.700246577433042</v>
      </c>
      <c r="H20" s="2">
        <f>IF(ISBLANK('FBPQ T4'!E12)," ",'FBPQ T4'!AE12)</f>
        <v>5998</v>
      </c>
      <c r="I20" s="2">
        <f t="shared" ref="I20:I83" si="1">IF(ISERROR(G20*H20)," ",G20*H20)</f>
        <v>250118.07897144338</v>
      </c>
    </row>
    <row r="21" spans="1:9">
      <c r="C21" s="2" t="s">
        <v>92</v>
      </c>
      <c r="D21" s="2" t="s">
        <v>517</v>
      </c>
      <c r="E21" s="2">
        <f>IF(ISNUMBER('FBPQ C2'!J13),'FBPQ C2'!J13,IF(ISNUMBER('FBPQ C2'!I13),'FBPQ C2'!I13,""))</f>
        <v>0.50853959240772006</v>
      </c>
      <c r="F21" s="2" t="s">
        <v>788</v>
      </c>
      <c r="G21" s="2">
        <f t="shared" si="0"/>
        <v>0.50853959240772006</v>
      </c>
      <c r="H21" s="2">
        <f>IF(ISBLANK('FBPQ T4'!E13)," ",'FBPQ T4'!AE13)</f>
        <v>236300</v>
      </c>
      <c r="I21" s="2">
        <f t="shared" si="1"/>
        <v>120167.90568594425</v>
      </c>
    </row>
    <row r="22" spans="1:9">
      <c r="E22" s="2" t="str">
        <f>IF(ISNUMBER('FBPQ C2'!J14),'FBPQ C2'!J14,IF(ISNUMBER('FBPQ C2'!I14),'FBPQ C2'!I14,""))</f>
        <v/>
      </c>
      <c r="G22" s="2">
        <f t="shared" si="0"/>
        <v>0</v>
      </c>
      <c r="H22" s="2" t="str">
        <f>IF(ISBLANK('FBPQ T4'!E14)," ",'FBPQ T4'!AE14)</f>
        <v xml:space="preserve"> </v>
      </c>
      <c r="I22" s="2" t="str">
        <f t="shared" si="1"/>
        <v xml:space="preserve"> </v>
      </c>
    </row>
    <row r="23" spans="1:9">
      <c r="B23" s="2" t="s">
        <v>93</v>
      </c>
      <c r="E23" s="2" t="str">
        <f>IF(ISNUMBER('FBPQ C2'!J15),'FBPQ C2'!J15,IF(ISNUMBER('FBPQ C2'!I15),'FBPQ C2'!I15,""))</f>
        <v/>
      </c>
      <c r="G23" s="2">
        <f t="shared" si="0"/>
        <v>0</v>
      </c>
      <c r="H23" s="2" t="str">
        <f>IF(ISBLANK('FBPQ T4'!E15)," ",'FBPQ T4'!AE15)</f>
        <v xml:space="preserve"> </v>
      </c>
      <c r="I23" s="2" t="str">
        <f t="shared" si="1"/>
        <v xml:space="preserve"> </v>
      </c>
    </row>
    <row r="24" spans="1:9">
      <c r="C24" s="2" t="s">
        <v>94</v>
      </c>
      <c r="D24" s="2" t="s">
        <v>517</v>
      </c>
      <c r="E24" s="2">
        <f>IF(ISNUMBER('FBPQ C2'!J16),'FBPQ C2'!J16,IF(ISNUMBER('FBPQ C2'!I16),'FBPQ C2'!I16,""))</f>
        <v>0</v>
      </c>
      <c r="F24" s="2" t="s">
        <v>788</v>
      </c>
      <c r="G24" s="2">
        <f t="shared" si="0"/>
        <v>0</v>
      </c>
      <c r="H24" s="2">
        <f>IF(ISBLANK('FBPQ T4'!E16)," ",'FBPQ T4'!AE16)</f>
        <v>194497</v>
      </c>
      <c r="I24" s="2">
        <f t="shared" si="1"/>
        <v>0</v>
      </c>
    </row>
    <row r="25" spans="1:9">
      <c r="E25" s="2" t="str">
        <f>IF(ISNUMBER('FBPQ C2'!J17),'FBPQ C2'!J17,IF(ISNUMBER('FBPQ C2'!I17),'FBPQ C2'!I17,""))</f>
        <v/>
      </c>
      <c r="G25" s="2">
        <f t="shared" si="0"/>
        <v>0</v>
      </c>
      <c r="H25" s="2" t="str">
        <f>IF(ISBLANK('FBPQ T4'!E17)," ",'FBPQ T4'!AE17)</f>
        <v xml:space="preserve"> </v>
      </c>
      <c r="I25" s="2" t="str">
        <f t="shared" si="1"/>
        <v xml:space="preserve"> </v>
      </c>
    </row>
    <row r="26" spans="1:9">
      <c r="B26" s="2" t="s">
        <v>95</v>
      </c>
      <c r="E26" s="2" t="str">
        <f>IF(ISNUMBER('FBPQ C2'!J18),'FBPQ C2'!J18,IF(ISNUMBER('FBPQ C2'!I18),'FBPQ C2'!I18,""))</f>
        <v/>
      </c>
      <c r="G26" s="2">
        <f t="shared" si="0"/>
        <v>0</v>
      </c>
      <c r="H26" s="2" t="str">
        <f>IF(ISBLANK('FBPQ T4'!E18)," ",'FBPQ T4'!AE18)</f>
        <v xml:space="preserve"> </v>
      </c>
      <c r="I26" s="2" t="str">
        <f t="shared" si="1"/>
        <v xml:space="preserve"> </v>
      </c>
    </row>
    <row r="27" spans="1:9">
      <c r="C27" s="2" t="s">
        <v>96</v>
      </c>
      <c r="D27" s="2" t="s">
        <v>516</v>
      </c>
      <c r="E27" s="2">
        <f>IF(ISNUMBER('FBPQ C2'!J19),'FBPQ C2'!J19,IF(ISNUMBER('FBPQ C2'!I19),'FBPQ C2'!I19,""))</f>
        <v>127.13489810193002</v>
      </c>
      <c r="F27" s="2" t="s">
        <v>788</v>
      </c>
      <c r="G27" s="2">
        <f t="shared" si="0"/>
        <v>127.13489810193002</v>
      </c>
      <c r="H27" s="2">
        <f>IF(ISBLANK('FBPQ T4'!E19)," ",'FBPQ T4'!AE19)</f>
        <v>3903</v>
      </c>
      <c r="I27" s="2">
        <f t="shared" si="1"/>
        <v>496207.50729183288</v>
      </c>
    </row>
    <row r="28" spans="1:9">
      <c r="C28" s="2" t="s">
        <v>97</v>
      </c>
      <c r="D28" s="2" t="s">
        <v>516</v>
      </c>
      <c r="E28" s="2">
        <f>IF(ISNUMBER('FBPQ C2'!J20),'FBPQ C2'!J20,IF(ISNUMBER('FBPQ C2'!I20),'FBPQ C2'!I20,""))</f>
        <v>127.13489810193002</v>
      </c>
      <c r="F28" s="2" t="s">
        <v>788</v>
      </c>
      <c r="G28" s="2">
        <f t="shared" si="0"/>
        <v>127.13489810193002</v>
      </c>
      <c r="H28" s="2">
        <f>IF(ISBLANK('FBPQ T4'!E20)," ",'FBPQ T4'!AE20)</f>
        <v>5782.6999999999989</v>
      </c>
      <c r="I28" s="2">
        <f t="shared" si="1"/>
        <v>735182.97525403055</v>
      </c>
    </row>
    <row r="29" spans="1:9">
      <c r="C29" s="2" t="s">
        <v>98</v>
      </c>
      <c r="D29" s="2" t="s">
        <v>516</v>
      </c>
      <c r="E29" s="2">
        <f>IF(ISNUMBER('FBPQ C2'!J21),'FBPQ C2'!J21,IF(ISNUMBER('FBPQ C2'!I21),'FBPQ C2'!I21,""))</f>
        <v>127.13489810193002</v>
      </c>
      <c r="F29" s="2" t="s">
        <v>788</v>
      </c>
      <c r="G29" s="2">
        <f t="shared" si="0"/>
        <v>127.13489810193002</v>
      </c>
      <c r="H29" s="2">
        <f>IF(ISBLANK('FBPQ T4'!E21)," ",'FBPQ T4'!AE21)</f>
        <v>16215.5</v>
      </c>
      <c r="I29" s="2">
        <f t="shared" si="1"/>
        <v>2061555.9401718462</v>
      </c>
    </row>
    <row r="30" spans="1:9">
      <c r="C30" s="2" t="s">
        <v>99</v>
      </c>
      <c r="D30" s="2" t="s">
        <v>517</v>
      </c>
      <c r="E30" s="2">
        <f>IF(ISNUMBER('FBPQ C2'!J22),'FBPQ C2'!J22,IF(ISNUMBER('FBPQ C2'!I22),'FBPQ C2'!I22,""))</f>
        <v>1.7000732843986286</v>
      </c>
      <c r="F30" s="2" t="s">
        <v>788</v>
      </c>
      <c r="G30" s="2">
        <f t="shared" si="0"/>
        <v>1.7000732843986286</v>
      </c>
      <c r="H30" s="2">
        <f>IF(ISBLANK('FBPQ T4'!E22)," ",'FBPQ T4'!AE22)</f>
        <v>2225996</v>
      </c>
      <c r="I30" s="2">
        <f t="shared" si="1"/>
        <v>3784356.3307782095</v>
      </c>
    </row>
    <row r="31" spans="1:9">
      <c r="E31" s="2" t="str">
        <f>IF(ISNUMBER('FBPQ C2'!J23),'FBPQ C2'!J23,IF(ISNUMBER('FBPQ C2'!I23),'FBPQ C2'!I23,""))</f>
        <v/>
      </c>
      <c r="G31" s="2">
        <f t="shared" si="0"/>
        <v>0</v>
      </c>
      <c r="H31" s="2" t="str">
        <f>IF(ISBLANK('FBPQ T4'!E23)," ",'FBPQ T4'!AE23)</f>
        <v xml:space="preserve"> </v>
      </c>
      <c r="I31" s="2" t="str">
        <f t="shared" si="1"/>
        <v xml:space="preserve"> </v>
      </c>
    </row>
    <row r="32" spans="1:9">
      <c r="B32" s="2" t="s">
        <v>100</v>
      </c>
      <c r="E32" s="2" t="str">
        <f>IF(ISNUMBER('FBPQ C2'!J24),'FBPQ C2'!J24,IF(ISNUMBER('FBPQ C2'!I24),'FBPQ C2'!I24,""))</f>
        <v/>
      </c>
      <c r="G32" s="2">
        <f t="shared" si="0"/>
        <v>0</v>
      </c>
      <c r="H32" s="2" t="str">
        <f>IF(ISBLANK('FBPQ T4'!E24)," ",'FBPQ T4'!AE24)</f>
        <v xml:space="preserve"> </v>
      </c>
      <c r="I32" s="2" t="str">
        <f t="shared" si="1"/>
        <v xml:space="preserve"> </v>
      </c>
    </row>
    <row r="33" spans="1:9">
      <c r="C33" s="2" t="s">
        <v>101</v>
      </c>
      <c r="D33" s="2" t="s">
        <v>517</v>
      </c>
      <c r="E33" s="2">
        <f>IF(ISNUMBER('FBPQ C2'!J25),'FBPQ C2'!J25,IF(ISNUMBER('FBPQ C2'!I25),'FBPQ C2'!I25,""))</f>
        <v>5.7210704145868512</v>
      </c>
      <c r="F33" s="2" t="s">
        <v>788</v>
      </c>
      <c r="G33" s="2">
        <f t="shared" si="0"/>
        <v>5.7210704145868512</v>
      </c>
      <c r="H33" s="2">
        <f>IF(ISBLANK('FBPQ T4'!E25)," ",'FBPQ T4'!AE25)</f>
        <v>5238</v>
      </c>
      <c r="I33" s="2">
        <f t="shared" si="1"/>
        <v>29966.966831605925</v>
      </c>
    </row>
    <row r="34" spans="1:9">
      <c r="C34" s="2" t="s">
        <v>102</v>
      </c>
      <c r="D34" s="2" t="s">
        <v>517</v>
      </c>
      <c r="E34" s="2">
        <f>IF(ISNUMBER('FBPQ C2'!J26),'FBPQ C2'!J26,IF(ISNUMBER('FBPQ C2'!I26),'FBPQ C2'!I26,""))</f>
        <v>5.7210704145868512</v>
      </c>
      <c r="F34" s="2" t="s">
        <v>788</v>
      </c>
      <c r="G34" s="2">
        <f t="shared" si="0"/>
        <v>5.7210704145868512</v>
      </c>
      <c r="H34" s="2">
        <f>IF(ISBLANK('FBPQ T4'!E26)," ",'FBPQ T4'!AE26)</f>
        <v>10420</v>
      </c>
      <c r="I34" s="2">
        <f t="shared" si="1"/>
        <v>59613.55371999499</v>
      </c>
    </row>
    <row r="35" spans="1:9">
      <c r="C35" s="2" t="s">
        <v>103</v>
      </c>
      <c r="D35" s="2" t="s">
        <v>517</v>
      </c>
      <c r="E35" s="2">
        <f>IF(ISNUMBER('FBPQ C2'!J27),'FBPQ C2'!J27,IF(ISNUMBER('FBPQ C2'!I27),'FBPQ C2'!I27,""))</f>
        <v>5.7210704145868512</v>
      </c>
      <c r="F35" s="2" t="s">
        <v>788</v>
      </c>
      <c r="G35" s="2">
        <f t="shared" si="0"/>
        <v>5.7210704145868512</v>
      </c>
      <c r="H35" s="2">
        <f>IF(ISBLANK('FBPQ T4'!E27)," ",'FBPQ T4'!AE27)</f>
        <v>0</v>
      </c>
      <c r="I35" s="2">
        <f t="shared" si="1"/>
        <v>0</v>
      </c>
    </row>
    <row r="36" spans="1:9">
      <c r="C36" s="2" t="s">
        <v>104</v>
      </c>
      <c r="D36" s="2" t="s">
        <v>517</v>
      </c>
      <c r="E36" s="2">
        <f>IF(ISNUMBER('FBPQ C2'!J28),'FBPQ C2'!J28,IF(ISNUMBER('FBPQ C2'!I28),'FBPQ C2'!I28,""))</f>
        <v>4.8311261278733406</v>
      </c>
      <c r="F36" s="2" t="s">
        <v>788</v>
      </c>
      <c r="G36" s="2">
        <f t="shared" si="0"/>
        <v>4.8311261278733406</v>
      </c>
      <c r="H36" s="2">
        <f>IF(ISBLANK('FBPQ T4'!E28)," ",'FBPQ T4'!AE28)</f>
        <v>21398.2</v>
      </c>
      <c r="I36" s="2">
        <f t="shared" si="1"/>
        <v>103377.40310945932</v>
      </c>
    </row>
    <row r="37" spans="1:9">
      <c r="C37" s="2" t="s">
        <v>105</v>
      </c>
      <c r="D37" s="2" t="s">
        <v>517</v>
      </c>
      <c r="E37" s="2" t="str">
        <f>IF(ISNUMBER('FBPQ C2'!J29),'FBPQ C2'!J29,IF(ISNUMBER('FBPQ C2'!I29),'FBPQ C2'!I29,""))</f>
        <v/>
      </c>
      <c r="F37" s="2" t="s">
        <v>788</v>
      </c>
      <c r="G37" s="2" t="str">
        <f t="shared" si="0"/>
        <v>DATA</v>
      </c>
      <c r="H37" s="2">
        <f>IF(ISBLANK('FBPQ T4'!E29)," ",'FBPQ T4'!AE29)</f>
        <v>34104</v>
      </c>
      <c r="I37" s="2" t="str">
        <f t="shared" si="1"/>
        <v xml:space="preserve"> </v>
      </c>
    </row>
    <row r="38" spans="1:9">
      <c r="C38" s="2" t="s">
        <v>106</v>
      </c>
      <c r="D38" s="2" t="s">
        <v>517</v>
      </c>
      <c r="E38" s="2" t="str">
        <f>IF(ISNUMBER('FBPQ C2'!J30),'FBPQ C2'!J30,IF(ISNUMBER('FBPQ C2'!I30),'FBPQ C2'!I30,""))</f>
        <v/>
      </c>
      <c r="F38" s="2" t="s">
        <v>788</v>
      </c>
      <c r="G38" s="2" t="str">
        <f t="shared" si="0"/>
        <v xml:space="preserve"> </v>
      </c>
      <c r="H38" s="2">
        <f>IF(ISBLANK('FBPQ T4'!E30)," ",'FBPQ T4'!AE30)</f>
        <v>0</v>
      </c>
      <c r="I38" s="2" t="str">
        <f t="shared" si="1"/>
        <v xml:space="preserve"> </v>
      </c>
    </row>
    <row r="39" spans="1:9">
      <c r="E39" s="2" t="str">
        <f>IF(ISNUMBER('FBPQ C2'!J31),'FBPQ C2'!J31,IF(ISNUMBER('FBPQ C2'!I31),'FBPQ C2'!I31,""))</f>
        <v/>
      </c>
      <c r="G39" s="2">
        <f t="shared" si="0"/>
        <v>0</v>
      </c>
      <c r="H39" s="2" t="str">
        <f>IF(ISBLANK('FBPQ T4'!E31)," ",'FBPQ T4'!AE31)</f>
        <v xml:space="preserve"> </v>
      </c>
      <c r="I39" s="2" t="str">
        <f t="shared" si="1"/>
        <v xml:space="preserve"> </v>
      </c>
    </row>
    <row r="40" spans="1:9">
      <c r="A40" s="1" t="s">
        <v>107</v>
      </c>
      <c r="E40" s="2" t="str">
        <f>IF(ISNUMBER('FBPQ C2'!J32),'FBPQ C2'!J32,IF(ISNUMBER('FBPQ C2'!I32),'FBPQ C2'!I32,""))</f>
        <v/>
      </c>
      <c r="G40" s="2">
        <f t="shared" si="0"/>
        <v>0</v>
      </c>
      <c r="H40" s="2" t="str">
        <f>IF(ISBLANK('FBPQ T4'!E32)," ",'FBPQ T4'!AE32)</f>
        <v xml:space="preserve"> </v>
      </c>
      <c r="I40" s="2" t="str">
        <f t="shared" si="1"/>
        <v xml:space="preserve"> </v>
      </c>
    </row>
    <row r="41" spans="1:9">
      <c r="B41" s="2" t="s">
        <v>429</v>
      </c>
      <c r="E41" s="2" t="str">
        <f>IF(ISNUMBER('FBPQ C2'!J33),'FBPQ C2'!J33,IF(ISNUMBER('FBPQ C2'!I33),'FBPQ C2'!I33,""))</f>
        <v/>
      </c>
      <c r="G41" s="2">
        <f t="shared" si="0"/>
        <v>0</v>
      </c>
      <c r="H41" s="2" t="str">
        <f>IF(ISBLANK('FBPQ T4'!E33)," ",'FBPQ T4'!AE33)</f>
        <v xml:space="preserve"> </v>
      </c>
      <c r="I41" s="2" t="str">
        <f t="shared" si="1"/>
        <v xml:space="preserve"> </v>
      </c>
    </row>
    <row r="42" spans="1:9">
      <c r="C42" s="2" t="s">
        <v>108</v>
      </c>
      <c r="D42" s="2" t="s">
        <v>516</v>
      </c>
      <c r="E42" s="2">
        <f>IF(ISNUMBER('FBPQ C2'!J34),'FBPQ C2'!J34,IF(ISNUMBER('FBPQ C2'!I34),'FBPQ C2'!I34,""))</f>
        <v>43.098730456554271</v>
      </c>
      <c r="F42" s="2" t="s">
        <v>788</v>
      </c>
      <c r="G42" s="2">
        <f t="shared" si="0"/>
        <v>43.098730456554271</v>
      </c>
      <c r="H42" s="2">
        <f>IF(ISBLANK('FBPQ T4'!E34)," ",'FBPQ T4'!AE34)</f>
        <v>14429.7</v>
      </c>
      <c r="I42" s="2">
        <f t="shared" si="1"/>
        <v>621901.75086894119</v>
      </c>
    </row>
    <row r="43" spans="1:9">
      <c r="C43" s="2" t="s">
        <v>109</v>
      </c>
      <c r="D43" s="2" t="s">
        <v>516</v>
      </c>
      <c r="E43" s="2">
        <f>IF(ISNUMBER('FBPQ C2'!J35),'FBPQ C2'!J35,IF(ISNUMBER('FBPQ C2'!I35),'FBPQ C2'!I35,""))</f>
        <v>43.098730456554271</v>
      </c>
      <c r="F43" s="2" t="s">
        <v>788</v>
      </c>
      <c r="G43" s="2">
        <f t="shared" si="0"/>
        <v>43.098730456554271</v>
      </c>
      <c r="H43" s="2">
        <f>IF(ISBLANK('FBPQ T4'!E35)," ",'FBPQ T4'!AE35)</f>
        <v>0</v>
      </c>
      <c r="I43" s="2">
        <f t="shared" si="1"/>
        <v>0</v>
      </c>
    </row>
    <row r="44" spans="1:9">
      <c r="C44" s="2" t="s">
        <v>110</v>
      </c>
      <c r="D44" s="2" t="s">
        <v>516</v>
      </c>
      <c r="E44" s="2">
        <f>IF(ISNUMBER('FBPQ C2'!J36),'FBPQ C2'!J36,IF(ISNUMBER('FBPQ C2'!I36),'FBPQ C2'!I36,""))</f>
        <v>0</v>
      </c>
      <c r="F44" s="2" t="s">
        <v>788</v>
      </c>
      <c r="G44" s="2">
        <f t="shared" si="0"/>
        <v>0</v>
      </c>
      <c r="H44" s="2">
        <f>IF(ISBLANK('FBPQ T4'!E36)," ",'FBPQ T4'!AE36)</f>
        <v>0</v>
      </c>
      <c r="I44" s="2">
        <f t="shared" si="1"/>
        <v>0</v>
      </c>
    </row>
    <row r="45" spans="1:9">
      <c r="C45" s="2" t="s">
        <v>111</v>
      </c>
      <c r="D45" s="2" t="s">
        <v>516</v>
      </c>
      <c r="E45" s="2">
        <f>IF(ISNUMBER('FBPQ C2'!J37),'FBPQ C2'!J37,IF(ISNUMBER('FBPQ C2'!I37),'FBPQ C2'!I37,""))</f>
        <v>0</v>
      </c>
      <c r="F45" s="2" t="s">
        <v>788</v>
      </c>
      <c r="G45" s="2">
        <f t="shared" si="0"/>
        <v>0</v>
      </c>
      <c r="H45" s="2">
        <f>IF(ISBLANK('FBPQ T4'!E37)," ",'FBPQ T4'!AE37)</f>
        <v>0</v>
      </c>
      <c r="I45" s="2">
        <f t="shared" si="1"/>
        <v>0</v>
      </c>
    </row>
    <row r="46" spans="1:9">
      <c r="E46" s="2" t="str">
        <f>IF(ISNUMBER('FBPQ C2'!J38),'FBPQ C2'!J38,IF(ISNUMBER('FBPQ C2'!I38),'FBPQ C2'!I38,""))</f>
        <v/>
      </c>
      <c r="G46" s="2">
        <f t="shared" si="0"/>
        <v>0</v>
      </c>
      <c r="H46" s="2" t="str">
        <f>IF(ISBLANK('FBPQ T4'!E38)," ",'FBPQ T4'!AE38)</f>
        <v xml:space="preserve"> </v>
      </c>
      <c r="I46" s="2" t="str">
        <f t="shared" si="1"/>
        <v xml:space="preserve"> </v>
      </c>
    </row>
    <row r="47" spans="1:9">
      <c r="B47" s="2" t="s">
        <v>93</v>
      </c>
      <c r="E47" s="2" t="str">
        <f>IF(ISNUMBER('FBPQ C2'!J39),'FBPQ C2'!J39,IF(ISNUMBER('FBPQ C2'!I39),'FBPQ C2'!I39,""))</f>
        <v/>
      </c>
      <c r="G47" s="2">
        <f t="shared" si="0"/>
        <v>0</v>
      </c>
      <c r="H47" s="2" t="str">
        <f>IF(ISBLANK('FBPQ T4'!E39)," ",'FBPQ T4'!AE39)</f>
        <v xml:space="preserve"> </v>
      </c>
      <c r="I47" s="2" t="str">
        <f t="shared" si="1"/>
        <v xml:space="preserve"> </v>
      </c>
    </row>
    <row r="48" spans="1:9">
      <c r="C48" s="2" t="s">
        <v>112</v>
      </c>
      <c r="D48" s="2" t="s">
        <v>517</v>
      </c>
      <c r="E48" s="2">
        <f>IF(ISNUMBER('FBPQ C2'!J40),'FBPQ C2'!J40,IF(ISNUMBER('FBPQ C2'!I40),'FBPQ C2'!I40,""))</f>
        <v>0</v>
      </c>
      <c r="F48" s="2" t="s">
        <v>788</v>
      </c>
      <c r="G48" s="2">
        <f t="shared" si="0"/>
        <v>0</v>
      </c>
      <c r="H48" s="2">
        <f>IF(ISBLANK('FBPQ T4'!E40)," ",'FBPQ T4'!AE40)</f>
        <v>207731</v>
      </c>
      <c r="I48" s="2">
        <f t="shared" si="1"/>
        <v>0</v>
      </c>
    </row>
    <row r="49" spans="2:9">
      <c r="C49" s="2" t="s">
        <v>113</v>
      </c>
      <c r="D49" s="2" t="s">
        <v>517</v>
      </c>
      <c r="E49" s="2">
        <f>IF(ISNUMBER('FBPQ C2'!J41),'FBPQ C2'!J41,IF(ISNUMBER('FBPQ C2'!I41),'FBPQ C2'!I41,""))</f>
        <v>0</v>
      </c>
      <c r="F49" s="2" t="s">
        <v>788</v>
      </c>
      <c r="G49" s="2">
        <f t="shared" si="0"/>
        <v>0</v>
      </c>
      <c r="H49" s="2">
        <f>IF(ISBLANK('FBPQ T4'!E41)," ",'FBPQ T4'!AE41)</f>
        <v>0</v>
      </c>
      <c r="I49" s="2">
        <f t="shared" si="1"/>
        <v>0</v>
      </c>
    </row>
    <row r="50" spans="2:9">
      <c r="E50" s="2" t="str">
        <f>IF(ISNUMBER('FBPQ C2'!J42),'FBPQ C2'!J42,IF(ISNUMBER('FBPQ C2'!I42),'FBPQ C2'!I42,""))</f>
        <v/>
      </c>
      <c r="F50" s="2" t="s">
        <v>788</v>
      </c>
      <c r="G50" s="2" t="str">
        <f t="shared" si="0"/>
        <v>DATA</v>
      </c>
      <c r="H50" s="2" t="str">
        <f>IF(ISBLANK('FBPQ T4'!E42)," ",'FBPQ T4'!AE42)</f>
        <v xml:space="preserve"> </v>
      </c>
      <c r="I50" s="2" t="str">
        <f t="shared" si="1"/>
        <v xml:space="preserve"> </v>
      </c>
    </row>
    <row r="51" spans="2:9">
      <c r="B51" s="2" t="s">
        <v>114</v>
      </c>
      <c r="E51" s="2" t="str">
        <f>IF(ISNUMBER('FBPQ C2'!J43),'FBPQ C2'!J43,IF(ISNUMBER('FBPQ C2'!I43),'FBPQ C2'!I43,""))</f>
        <v/>
      </c>
      <c r="G51" s="2">
        <f t="shared" si="0"/>
        <v>0</v>
      </c>
      <c r="H51" s="2" t="str">
        <f>IF(ISBLANK('FBPQ T4'!E43)," ",'FBPQ T4'!AE43)</f>
        <v xml:space="preserve"> </v>
      </c>
      <c r="I51" s="2" t="str">
        <f t="shared" si="1"/>
        <v xml:space="preserve"> </v>
      </c>
    </row>
    <row r="52" spans="2:9">
      <c r="C52" s="2" t="s">
        <v>115</v>
      </c>
      <c r="D52" s="2" t="s">
        <v>516</v>
      </c>
      <c r="E52" s="2">
        <f>IF(ISNUMBER('FBPQ C2'!J44),'FBPQ C2'!J44,IF(ISNUMBER('FBPQ C2'!I44),'FBPQ C2'!I44,""))</f>
        <v>84.544707237783456</v>
      </c>
      <c r="F52" s="2" t="s">
        <v>788</v>
      </c>
      <c r="G52" s="2">
        <f t="shared" si="0"/>
        <v>84.544707237783456</v>
      </c>
      <c r="H52" s="2">
        <f>IF(ISBLANK('FBPQ T4'!E44)," ",'FBPQ T4'!AE44)</f>
        <v>12294.099999999999</v>
      </c>
      <c r="I52" s="2">
        <f t="shared" si="1"/>
        <v>1039401.0852520334</v>
      </c>
    </row>
    <row r="53" spans="2:9">
      <c r="C53" s="2" t="s">
        <v>116</v>
      </c>
      <c r="D53" s="2" t="s">
        <v>516</v>
      </c>
      <c r="E53" s="2">
        <f>IF(ISNUMBER('FBPQ C2'!J45),'FBPQ C2'!J45,IF(ISNUMBER('FBPQ C2'!I45),'FBPQ C2'!I45,""))</f>
        <v>0</v>
      </c>
      <c r="F53" s="2" t="s">
        <v>788</v>
      </c>
      <c r="G53" s="2">
        <f t="shared" si="0"/>
        <v>0</v>
      </c>
      <c r="H53" s="2">
        <f>IF(ISBLANK('FBPQ T4'!E45)," ",'FBPQ T4'!AE45)</f>
        <v>0</v>
      </c>
      <c r="I53" s="2">
        <f t="shared" si="1"/>
        <v>0</v>
      </c>
    </row>
    <row r="54" spans="2:9">
      <c r="E54" s="2" t="str">
        <f>IF(ISNUMBER('FBPQ C2'!J46),'FBPQ C2'!J46,IF(ISNUMBER('FBPQ C2'!I46),'FBPQ C2'!I46,""))</f>
        <v/>
      </c>
      <c r="G54" s="2">
        <f t="shared" si="0"/>
        <v>0</v>
      </c>
      <c r="H54" s="2" t="str">
        <f>IF(ISBLANK('FBPQ T4'!E46)," ",'FBPQ T4'!AE46)</f>
        <v xml:space="preserve"> </v>
      </c>
      <c r="I54" s="2" t="str">
        <f t="shared" si="1"/>
        <v xml:space="preserve"> </v>
      </c>
    </row>
    <row r="55" spans="2:9">
      <c r="B55" s="2" t="s">
        <v>117</v>
      </c>
      <c r="E55" s="2" t="str">
        <f>IF(ISNUMBER('FBPQ C2'!J47),'FBPQ C2'!J47,IF(ISNUMBER('FBPQ C2'!I47),'FBPQ C2'!I47,""))</f>
        <v/>
      </c>
      <c r="G55" s="2">
        <f t="shared" si="0"/>
        <v>0</v>
      </c>
      <c r="H55" s="2" t="str">
        <f>IF(ISBLANK('FBPQ T4'!E47)," ",'FBPQ T4'!AE47)</f>
        <v xml:space="preserve"> </v>
      </c>
      <c r="I55" s="2" t="str">
        <f t="shared" si="1"/>
        <v xml:space="preserve"> </v>
      </c>
    </row>
    <row r="56" spans="2:9">
      <c r="C56" s="2" t="s">
        <v>118</v>
      </c>
      <c r="D56" s="2" t="s">
        <v>516</v>
      </c>
      <c r="E56" s="2">
        <f>IF(ISNUMBER('FBPQ C2'!J48),'FBPQ C2'!J48,IF(ISNUMBER('FBPQ C2'!I48),'FBPQ C2'!I48,""))</f>
        <v>0</v>
      </c>
      <c r="F56" s="2" t="s">
        <v>788</v>
      </c>
      <c r="G56" s="2">
        <f t="shared" si="0"/>
        <v>0</v>
      </c>
      <c r="H56" s="2">
        <f>IF(ISBLANK('FBPQ T4'!E48)," ",'FBPQ T4'!AE48)</f>
        <v>0</v>
      </c>
      <c r="I56" s="2">
        <f t="shared" si="1"/>
        <v>0</v>
      </c>
    </row>
    <row r="57" spans="2:9">
      <c r="E57" s="2" t="str">
        <f>IF(ISNUMBER('FBPQ C2'!J49),'FBPQ C2'!J49,IF(ISNUMBER('FBPQ C2'!I49),'FBPQ C2'!I49,""))</f>
        <v/>
      </c>
      <c r="F57" s="2" t="s">
        <v>788</v>
      </c>
      <c r="G57" s="2" t="str">
        <f t="shared" si="0"/>
        <v>DATA</v>
      </c>
      <c r="H57" s="2" t="str">
        <f>IF(ISBLANK('FBPQ T4'!E49)," ",'FBPQ T4'!AE49)</f>
        <v xml:space="preserve"> </v>
      </c>
      <c r="I57" s="2" t="str">
        <f t="shared" si="1"/>
        <v xml:space="preserve"> </v>
      </c>
    </row>
    <row r="58" spans="2:9">
      <c r="B58" s="2" t="s">
        <v>100</v>
      </c>
      <c r="E58" s="2" t="str">
        <f>IF(ISNUMBER('FBPQ C2'!J50),'FBPQ C2'!J50,IF(ISNUMBER('FBPQ C2'!I50),'FBPQ C2'!I50,""))</f>
        <v/>
      </c>
      <c r="G58" s="2">
        <f t="shared" si="0"/>
        <v>0</v>
      </c>
      <c r="H58" s="2" t="str">
        <f>IF(ISBLANK('FBPQ T4'!E50)," ",'FBPQ T4'!AE50)</f>
        <v xml:space="preserve"> </v>
      </c>
      <c r="I58" s="2" t="str">
        <f t="shared" si="1"/>
        <v xml:space="preserve"> </v>
      </c>
    </row>
    <row r="59" spans="2:9">
      <c r="C59" s="2" t="s">
        <v>119</v>
      </c>
      <c r="D59" s="2" t="s">
        <v>517</v>
      </c>
      <c r="E59" s="2">
        <f>IF(ISNUMBER('FBPQ C2'!J51),'FBPQ C2'!J51,IF(ISNUMBER('FBPQ C2'!I51),'FBPQ C2'!I51,""))</f>
        <v>13.984838791212301</v>
      </c>
      <c r="F59" s="2" t="s">
        <v>788</v>
      </c>
      <c r="G59" s="2">
        <f t="shared" si="0"/>
        <v>13.984838791212301</v>
      </c>
      <c r="H59" s="2">
        <f>IF(ISBLANK('FBPQ T4'!E51)," ",'FBPQ T4'!AE51)</f>
        <v>1779</v>
      </c>
      <c r="I59" s="2">
        <f t="shared" si="1"/>
        <v>24879.028209566684</v>
      </c>
    </row>
    <row r="60" spans="2:9">
      <c r="C60" s="2" t="s">
        <v>120</v>
      </c>
      <c r="D60" s="2" t="s">
        <v>517</v>
      </c>
      <c r="E60" s="2">
        <f>IF(ISNUMBER('FBPQ C2'!J52),'FBPQ C2'!J52,IF(ISNUMBER('FBPQ C2'!I52),'FBPQ C2'!I52,""))</f>
        <v>30.893780238768993</v>
      </c>
      <c r="F60" s="2" t="s">
        <v>788</v>
      </c>
      <c r="G60" s="2">
        <f t="shared" si="0"/>
        <v>30.893780238768993</v>
      </c>
      <c r="H60" s="2">
        <f>IF(ISBLANK('FBPQ T4'!E52)," ",'FBPQ T4'!AE52)</f>
        <v>9875</v>
      </c>
      <c r="I60" s="2">
        <f t="shared" si="1"/>
        <v>305076.07985784381</v>
      </c>
    </row>
    <row r="61" spans="2:9">
      <c r="C61" s="2" t="s">
        <v>121</v>
      </c>
      <c r="D61" s="2" t="s">
        <v>517</v>
      </c>
      <c r="E61" s="2">
        <f>IF(ISNUMBER('FBPQ C2'!J53),'FBPQ C2'!J53,IF(ISNUMBER('FBPQ C2'!I53),'FBPQ C2'!I53,""))</f>
        <v>1.6527536753250902</v>
      </c>
      <c r="F61" s="2" t="s">
        <v>788</v>
      </c>
      <c r="G61" s="2">
        <f t="shared" si="0"/>
        <v>1.6527536753250902</v>
      </c>
      <c r="H61" s="2">
        <f>IF(ISBLANK('FBPQ T4'!E53)," ",'FBPQ T4'!AE53)</f>
        <v>935</v>
      </c>
      <c r="I61" s="2">
        <f t="shared" si="1"/>
        <v>1545.3246864289592</v>
      </c>
    </row>
    <row r="62" spans="2:9">
      <c r="C62" s="2" t="s">
        <v>122</v>
      </c>
      <c r="D62" s="2" t="s">
        <v>517</v>
      </c>
      <c r="E62" s="2">
        <f>IF(ISNUMBER('FBPQ C2'!J54),'FBPQ C2'!J54,IF(ISNUMBER('FBPQ C2'!I54),'FBPQ C2'!I54,""))</f>
        <v>5.2125308221791302</v>
      </c>
      <c r="F62" s="2" t="s">
        <v>788</v>
      </c>
      <c r="G62" s="2">
        <f t="shared" si="0"/>
        <v>5.2125308221791302</v>
      </c>
      <c r="H62" s="2">
        <f>IF(ISBLANK('FBPQ T4'!E54)," ",'FBPQ T4'!AE54)</f>
        <v>8754</v>
      </c>
      <c r="I62" s="2">
        <f t="shared" si="1"/>
        <v>45630.494817356106</v>
      </c>
    </row>
    <row r="63" spans="2:9">
      <c r="C63" s="2" t="s">
        <v>123</v>
      </c>
      <c r="D63" s="2" t="s">
        <v>517</v>
      </c>
      <c r="E63" s="2">
        <f>IF(ISNUMBER('FBPQ C2'!J55),'FBPQ C2'!J55,IF(ISNUMBER('FBPQ C2'!I55),'FBPQ C2'!I55,""))</f>
        <v>16.400401855148971</v>
      </c>
      <c r="F63" s="2" t="s">
        <v>788</v>
      </c>
      <c r="G63" s="2">
        <f t="shared" si="0"/>
        <v>16.400401855148971</v>
      </c>
      <c r="H63" s="2">
        <f>IF(ISBLANK('FBPQ T4'!E55)," ",'FBPQ T4'!AE55)</f>
        <v>13991</v>
      </c>
      <c r="I63" s="2">
        <f t="shared" si="1"/>
        <v>229458.02235538926</v>
      </c>
    </row>
    <row r="64" spans="2:9">
      <c r="C64" s="2" t="s">
        <v>124</v>
      </c>
      <c r="D64" s="2" t="s">
        <v>517</v>
      </c>
      <c r="E64" s="1487">
        <f>E61</f>
        <v>1.6527536753250902</v>
      </c>
      <c r="F64" s="2" t="s">
        <v>788</v>
      </c>
      <c r="G64" s="2">
        <f t="shared" si="0"/>
        <v>1.6527536753250902</v>
      </c>
      <c r="H64" s="2">
        <f>IF(ISBLANK('FBPQ T4'!E56)," ",'FBPQ T4'!AE56)</f>
        <v>11321</v>
      </c>
      <c r="I64" s="2">
        <f t="shared" si="1"/>
        <v>18710.824358355345</v>
      </c>
    </row>
    <row r="65" spans="1:9">
      <c r="C65" s="2" t="s">
        <v>125</v>
      </c>
      <c r="D65" s="2" t="s">
        <v>517</v>
      </c>
      <c r="E65" s="2" t="str">
        <f>IF(ISNUMBER('FBPQ C2'!J57),'FBPQ C2'!J57,IF(ISNUMBER('FBPQ C2'!I57),'FBPQ C2'!I57,""))</f>
        <v/>
      </c>
      <c r="F65" s="2" t="s">
        <v>788</v>
      </c>
      <c r="G65" s="2" t="str">
        <f t="shared" si="0"/>
        <v xml:space="preserve"> </v>
      </c>
      <c r="H65" s="2">
        <f>IF(ISBLANK('FBPQ T4'!E57)," ",'FBPQ T4'!AE57)</f>
        <v>0</v>
      </c>
      <c r="I65" s="2" t="str">
        <f t="shared" si="1"/>
        <v xml:space="preserve"> </v>
      </c>
    </row>
    <row r="66" spans="1:9">
      <c r="C66" s="2" t="s">
        <v>126</v>
      </c>
      <c r="D66" s="2" t="s">
        <v>517</v>
      </c>
      <c r="E66" s="2">
        <f>IF(ISNUMBER('FBPQ C2'!J58),'FBPQ C2'!J58,IF(ISNUMBER('FBPQ C2'!I58),'FBPQ C2'!I58,""))</f>
        <v>0</v>
      </c>
      <c r="F66" s="2" t="s">
        <v>788</v>
      </c>
      <c r="G66" s="2">
        <f t="shared" si="0"/>
        <v>0</v>
      </c>
      <c r="H66" s="2">
        <f>IF(ISBLANK('FBPQ T4'!E58)," ",'FBPQ T4'!AE58)</f>
        <v>0</v>
      </c>
      <c r="I66" s="2">
        <f t="shared" si="1"/>
        <v>0</v>
      </c>
    </row>
    <row r="67" spans="1:9">
      <c r="C67" s="2" t="s">
        <v>127</v>
      </c>
      <c r="D67" s="2" t="s">
        <v>517</v>
      </c>
      <c r="E67" s="2">
        <f>IF(ISNUMBER('FBPQ C2'!J59),'FBPQ C2'!J59,IF(ISNUMBER('FBPQ C2'!I59),'FBPQ C2'!I59,""))</f>
        <v>0</v>
      </c>
      <c r="F67" s="2" t="s">
        <v>788</v>
      </c>
      <c r="G67" s="2">
        <f t="shared" si="0"/>
        <v>0</v>
      </c>
      <c r="H67" s="2">
        <f>IF(ISBLANK('FBPQ T4'!E59)," ",'FBPQ T4'!AE59)</f>
        <v>0</v>
      </c>
      <c r="I67" s="2">
        <f t="shared" si="1"/>
        <v>0</v>
      </c>
    </row>
    <row r="68" spans="1:9">
      <c r="C68" s="2" t="s">
        <v>128</v>
      </c>
      <c r="D68" s="2" t="s">
        <v>517</v>
      </c>
      <c r="E68" s="2">
        <f>IF(ISNUMBER('FBPQ C2'!J60),'FBPQ C2'!J60,IF(ISNUMBER('FBPQ C2'!I60),'FBPQ C2'!I60,""))</f>
        <v>0</v>
      </c>
      <c r="F68" s="2" t="s">
        <v>788</v>
      </c>
      <c r="G68" s="2">
        <f t="shared" si="0"/>
        <v>0</v>
      </c>
      <c r="H68" s="2">
        <f>IF(ISBLANK('FBPQ T4'!E60)," ",'FBPQ T4'!AE60)</f>
        <v>0</v>
      </c>
      <c r="I68" s="2">
        <f t="shared" si="1"/>
        <v>0</v>
      </c>
    </row>
    <row r="69" spans="1:9">
      <c r="C69" s="2" t="s">
        <v>129</v>
      </c>
      <c r="D69" s="2" t="s">
        <v>517</v>
      </c>
      <c r="E69" s="2">
        <f>IF(ISNUMBER('FBPQ C2'!J61),'FBPQ C2'!J61,IF(ISNUMBER('FBPQ C2'!I61),'FBPQ C2'!I61,""))</f>
        <v>0</v>
      </c>
      <c r="F69" s="2" t="s">
        <v>788</v>
      </c>
      <c r="G69" s="2">
        <f t="shared" si="0"/>
        <v>0</v>
      </c>
      <c r="H69" s="2">
        <f>IF(ISBLANK('FBPQ T4'!E61)," ",'FBPQ T4'!AE61)</f>
        <v>0</v>
      </c>
      <c r="I69" s="2">
        <f t="shared" si="1"/>
        <v>0</v>
      </c>
    </row>
    <row r="70" spans="1:9">
      <c r="C70" s="2" t="s">
        <v>130</v>
      </c>
      <c r="D70" s="2" t="s">
        <v>517</v>
      </c>
      <c r="E70" s="2">
        <f>IF(ISNUMBER('FBPQ C2'!J62),'FBPQ C2'!J62,IF(ISNUMBER('FBPQ C2'!I62),'FBPQ C2'!I62,""))</f>
        <v>0</v>
      </c>
      <c r="F70" s="2" t="s">
        <v>788</v>
      </c>
      <c r="G70" s="2">
        <f t="shared" si="0"/>
        <v>0</v>
      </c>
      <c r="H70" s="2">
        <f>IF(ISBLANK('FBPQ T4'!E62)," ",'FBPQ T4'!AE62)</f>
        <v>0</v>
      </c>
      <c r="I70" s="2">
        <f t="shared" si="1"/>
        <v>0</v>
      </c>
    </row>
    <row r="71" spans="1:9">
      <c r="C71" s="2" t="s">
        <v>131</v>
      </c>
      <c r="D71" s="2" t="s">
        <v>517</v>
      </c>
      <c r="E71" s="2" t="str">
        <f>IF(ISNUMBER('FBPQ C2'!J63),'FBPQ C2'!J63,IF(ISNUMBER('FBPQ C2'!I63),'FBPQ C2'!I63,""))</f>
        <v/>
      </c>
      <c r="F71" s="2" t="s">
        <v>788</v>
      </c>
      <c r="G71" s="2" t="str">
        <f t="shared" si="0"/>
        <v xml:space="preserve"> </v>
      </c>
      <c r="H71" s="2">
        <f>IF(ISBLANK('FBPQ T4'!E63)," ",'FBPQ T4'!AE63)</f>
        <v>0</v>
      </c>
      <c r="I71" s="2" t="str">
        <f t="shared" si="1"/>
        <v xml:space="preserve"> </v>
      </c>
    </row>
    <row r="72" spans="1:9">
      <c r="C72" s="2" t="s">
        <v>132</v>
      </c>
      <c r="D72" s="2" t="s">
        <v>517</v>
      </c>
      <c r="E72" s="2" t="str">
        <f>IF(ISNUMBER('FBPQ C2'!J64),'FBPQ C2'!J64,IF(ISNUMBER('FBPQ C2'!I64),'FBPQ C2'!I64,""))</f>
        <v/>
      </c>
      <c r="F72" s="2" t="s">
        <v>788</v>
      </c>
      <c r="G72" s="2" t="str">
        <f t="shared" si="0"/>
        <v xml:space="preserve"> </v>
      </c>
      <c r="H72" s="2">
        <f>IF(ISBLANK('FBPQ T4'!E64)," ",'FBPQ T4'!AE64)</f>
        <v>0</v>
      </c>
      <c r="I72" s="2" t="str">
        <f t="shared" si="1"/>
        <v xml:space="preserve"> </v>
      </c>
    </row>
    <row r="73" spans="1:9">
      <c r="E73" s="2" t="str">
        <f>IF(ISNUMBER('FBPQ C2'!J65),'FBPQ C2'!J65,IF(ISNUMBER('FBPQ C2'!I65),'FBPQ C2'!I65,""))</f>
        <v/>
      </c>
      <c r="G73" s="2">
        <f t="shared" si="0"/>
        <v>0</v>
      </c>
      <c r="H73" s="2" t="str">
        <f>IF(ISBLANK('FBPQ T4'!E65)," ",'FBPQ T4'!AE65)</f>
        <v xml:space="preserve"> </v>
      </c>
      <c r="I73" s="2" t="str">
        <f t="shared" si="1"/>
        <v xml:space="preserve"> </v>
      </c>
    </row>
    <row r="74" spans="1:9">
      <c r="B74" s="2" t="s">
        <v>133</v>
      </c>
      <c r="E74" s="2" t="str">
        <f>IF(ISNUMBER('FBPQ C2'!J66),'FBPQ C2'!J66,IF(ISNUMBER('FBPQ C2'!I66),'FBPQ C2'!I66,""))</f>
        <v/>
      </c>
      <c r="G74" s="2">
        <f t="shared" si="0"/>
        <v>0</v>
      </c>
      <c r="H74" s="2" t="str">
        <f>IF(ISBLANK('FBPQ T4'!E66)," ",'FBPQ T4'!AE66)</f>
        <v xml:space="preserve"> </v>
      </c>
      <c r="I74" s="2" t="str">
        <f t="shared" si="1"/>
        <v xml:space="preserve"> </v>
      </c>
    </row>
    <row r="75" spans="1:9">
      <c r="C75" s="2" t="s">
        <v>134</v>
      </c>
      <c r="D75" s="2" t="s">
        <v>517</v>
      </c>
      <c r="E75" s="2">
        <f>IF(ISNUMBER('FBPQ C2'!J67),'FBPQ C2'!J67,IF(ISNUMBER('FBPQ C2'!I67),'FBPQ C2'!I67,""))</f>
        <v>3.68691204495597</v>
      </c>
      <c r="F75" s="2" t="s">
        <v>788</v>
      </c>
      <c r="G75" s="2">
        <f t="shared" si="0"/>
        <v>3.68691204495597</v>
      </c>
      <c r="H75" s="2">
        <f>IF(ISBLANK('FBPQ T4'!E67)," ",'FBPQ T4'!AE67)</f>
        <v>34852</v>
      </c>
      <c r="I75" s="2">
        <f t="shared" si="1"/>
        <v>128496.25859080546</v>
      </c>
    </row>
    <row r="76" spans="1:9">
      <c r="C76" s="2" t="s">
        <v>135</v>
      </c>
      <c r="D76" s="2" t="s">
        <v>517</v>
      </c>
      <c r="E76" s="2">
        <f>IF(ISNUMBER('FBPQ C2'!J68),'FBPQ C2'!J68,IF(ISNUMBER('FBPQ C2'!I68),'FBPQ C2'!I68,""))</f>
        <v>11.950680421581421</v>
      </c>
      <c r="F76" s="2" t="s">
        <v>788</v>
      </c>
      <c r="G76" s="2">
        <f t="shared" si="0"/>
        <v>11.950680421581421</v>
      </c>
      <c r="H76" s="2">
        <f>IF(ISBLANK('FBPQ T4'!E68)," ",'FBPQ T4'!AE68)</f>
        <v>15750</v>
      </c>
      <c r="I76" s="2">
        <f t="shared" si="1"/>
        <v>188223.21663990736</v>
      </c>
    </row>
    <row r="77" spans="1:9">
      <c r="C77" s="2" t="s">
        <v>136</v>
      </c>
      <c r="D77" s="2" t="s">
        <v>517</v>
      </c>
      <c r="E77" s="2">
        <f>IF(ISNUMBER('FBPQ C2'!J69),'FBPQ C2'!J69,IF(ISNUMBER('FBPQ C2'!I69),'FBPQ C2'!I69,""))</f>
        <v>0</v>
      </c>
      <c r="F77" s="2" t="s">
        <v>788</v>
      </c>
      <c r="G77" s="2">
        <f t="shared" si="0"/>
        <v>0</v>
      </c>
      <c r="H77" s="2">
        <f>IF(ISBLANK('FBPQ T4'!E69)," ",'FBPQ T4'!AE69)</f>
        <v>0</v>
      </c>
      <c r="I77" s="2">
        <f t="shared" si="1"/>
        <v>0</v>
      </c>
    </row>
    <row r="78" spans="1:9">
      <c r="C78" s="2" t="s">
        <v>137</v>
      </c>
      <c r="D78" s="2" t="s">
        <v>517</v>
      </c>
      <c r="E78" s="2">
        <f>IF(ISNUMBER('FBPQ C2'!J70),'FBPQ C2'!J70,IF(ISNUMBER('FBPQ C2'!I70),'FBPQ C2'!I70,""))</f>
        <v>0</v>
      </c>
      <c r="F78" s="2" t="s">
        <v>788</v>
      </c>
      <c r="G78" s="2">
        <f t="shared" si="0"/>
        <v>0</v>
      </c>
      <c r="H78" s="2">
        <f>IF(ISBLANK('FBPQ T4'!E70)," ",'FBPQ T4'!AE70)</f>
        <v>0</v>
      </c>
      <c r="I78" s="2">
        <f t="shared" si="1"/>
        <v>0</v>
      </c>
    </row>
    <row r="79" spans="1:9">
      <c r="E79" s="2" t="str">
        <f>IF(ISNUMBER('FBPQ C2'!J71),'FBPQ C2'!J71,IF(ISNUMBER('FBPQ C2'!I71),'FBPQ C2'!I71,""))</f>
        <v/>
      </c>
      <c r="G79" s="2">
        <f t="shared" si="0"/>
        <v>0</v>
      </c>
      <c r="H79" s="2" t="str">
        <f>IF(ISBLANK('FBPQ T4'!E71)," ",'FBPQ T4'!AE71)</f>
        <v xml:space="preserve"> </v>
      </c>
      <c r="I79" s="2" t="str">
        <f t="shared" si="1"/>
        <v xml:space="preserve"> </v>
      </c>
    </row>
    <row r="80" spans="1:9">
      <c r="A80" s="1" t="s">
        <v>138</v>
      </c>
      <c r="E80" s="2" t="str">
        <f>IF(ISNUMBER('FBPQ C2'!J72),'FBPQ C2'!J72,IF(ISNUMBER('FBPQ C2'!I72),'FBPQ C2'!I72,""))</f>
        <v/>
      </c>
      <c r="G80" s="2">
        <f t="shared" si="0"/>
        <v>0</v>
      </c>
      <c r="H80" s="2" t="str">
        <f>IF(ISBLANK('FBPQ T4'!E72)," ",'FBPQ T4'!AE72)</f>
        <v xml:space="preserve"> </v>
      </c>
      <c r="I80" s="2" t="str">
        <f t="shared" si="1"/>
        <v xml:space="preserve"> </v>
      </c>
    </row>
    <row r="81" spans="2:9">
      <c r="B81" s="2" t="s">
        <v>429</v>
      </c>
      <c r="E81" s="2" t="str">
        <f>IF(ISNUMBER('FBPQ C2'!J73),'FBPQ C2'!J73,IF(ISNUMBER('FBPQ C2'!I73),'FBPQ C2'!I73,""))</f>
        <v/>
      </c>
      <c r="G81" s="2">
        <f t="shared" si="0"/>
        <v>0</v>
      </c>
      <c r="H81" s="2" t="str">
        <f>IF(ISBLANK('FBPQ T4'!E73)," ",'FBPQ T4'!AE73)</f>
        <v xml:space="preserve"> </v>
      </c>
      <c r="I81" s="2" t="str">
        <f t="shared" si="1"/>
        <v xml:space="preserve"> </v>
      </c>
    </row>
    <row r="82" spans="2:9">
      <c r="C82" s="2" t="s">
        <v>139</v>
      </c>
      <c r="D82" s="2" t="s">
        <v>516</v>
      </c>
      <c r="E82" s="2">
        <f>IF(ISNUMBER('FBPQ C2'!J74),'FBPQ C2'!J74,IF(ISNUMBER('FBPQ C2'!I74),'FBPQ C2'!I74,""))</f>
        <v>98.402411130893839</v>
      </c>
      <c r="F82" s="2" t="s">
        <v>788</v>
      </c>
      <c r="G82" s="2">
        <f t="shared" si="0"/>
        <v>98.402411130893839</v>
      </c>
      <c r="H82" s="2">
        <f>IF(ISBLANK('FBPQ T4'!E74)," ",'FBPQ T4'!AE74)</f>
        <v>1029.0000000000002</v>
      </c>
      <c r="I82" s="2">
        <f t="shared" si="1"/>
        <v>101256.08105368978</v>
      </c>
    </row>
    <row r="83" spans="2:9">
      <c r="C83" s="2" t="s">
        <v>140</v>
      </c>
      <c r="D83" s="2" t="s">
        <v>516</v>
      </c>
      <c r="E83" s="2">
        <f>IF(ISNUMBER('FBPQ C2'!J75),'FBPQ C2'!J75,IF(ISNUMBER('FBPQ C2'!I75),'FBPQ C2'!I75,""))</f>
        <v>156.75732935967969</v>
      </c>
      <c r="F83" s="2" t="s">
        <v>788</v>
      </c>
      <c r="G83" s="2">
        <f t="shared" si="0"/>
        <v>156.75732935967969</v>
      </c>
      <c r="H83" s="2">
        <f>IF(ISBLANK('FBPQ T4'!E75)," ",'FBPQ T4'!AE75)</f>
        <v>0</v>
      </c>
      <c r="I83" s="2">
        <f t="shared" si="1"/>
        <v>0</v>
      </c>
    </row>
    <row r="84" spans="2:9">
      <c r="C84" s="2" t="s">
        <v>141</v>
      </c>
      <c r="D84" s="2" t="s">
        <v>516</v>
      </c>
      <c r="E84" s="2">
        <f>IF(ISNUMBER('FBPQ C2'!J76),'FBPQ C2'!J76,IF(ISNUMBER('FBPQ C2'!I76),'FBPQ C2'!I76,""))</f>
        <v>185.61695122881781</v>
      </c>
      <c r="F84" s="2" t="s">
        <v>788</v>
      </c>
      <c r="G84" s="2">
        <f t="shared" ref="G84:G147" si="2">IF(ISNUMBER(E84),E84,IF(H84&gt;0,F84," "))</f>
        <v>185.61695122881781</v>
      </c>
      <c r="H84" s="2">
        <f>IF(ISBLANK('FBPQ T4'!E76)," ",'FBPQ T4'!AE76)</f>
        <v>793</v>
      </c>
      <c r="I84" s="2">
        <f t="shared" ref="I84:I147" si="3">IF(ISERROR(G84*H84)," ",G84*H84)</f>
        <v>147194.24232445253</v>
      </c>
    </row>
    <row r="85" spans="2:9">
      <c r="C85" s="2" t="s">
        <v>142</v>
      </c>
      <c r="D85" s="2" t="s">
        <v>516</v>
      </c>
      <c r="E85" s="2">
        <f>IF(ISNUMBER('FBPQ C2'!J77),'FBPQ C2'!J77,IF(ISNUMBER('FBPQ C2'!I77),'FBPQ C2'!I77,""))</f>
        <v>185.61695122881781</v>
      </c>
      <c r="F85" s="2" t="s">
        <v>788</v>
      </c>
      <c r="G85" s="2">
        <f t="shared" si="2"/>
        <v>185.61695122881781</v>
      </c>
      <c r="H85" s="2">
        <f>IF(ISBLANK('FBPQ T4'!E77)," ",'FBPQ T4'!AE77)</f>
        <v>0</v>
      </c>
      <c r="I85" s="2">
        <f t="shared" si="3"/>
        <v>0</v>
      </c>
    </row>
    <row r="86" spans="2:9">
      <c r="E86" s="2" t="str">
        <f>IF(ISNUMBER('FBPQ C2'!J78),'FBPQ C2'!J78,IF(ISNUMBER('FBPQ C2'!I78),'FBPQ C2'!I78,""))</f>
        <v/>
      </c>
      <c r="G86" s="2">
        <f t="shared" si="2"/>
        <v>0</v>
      </c>
      <c r="H86" s="2" t="str">
        <f>IF(ISBLANK('FBPQ T4'!E78)," ",'FBPQ T4'!AE78)</f>
        <v xml:space="preserve"> </v>
      </c>
      <c r="I86" s="2" t="str">
        <f t="shared" si="3"/>
        <v xml:space="preserve"> </v>
      </c>
    </row>
    <row r="87" spans="2:9">
      <c r="B87" s="2" t="s">
        <v>93</v>
      </c>
      <c r="E87" s="2" t="str">
        <f>IF(ISNUMBER('FBPQ C2'!J79),'FBPQ C2'!J79,IF(ISNUMBER('FBPQ C2'!I79),'FBPQ C2'!I79,""))</f>
        <v/>
      </c>
      <c r="G87" s="2">
        <f t="shared" si="2"/>
        <v>0</v>
      </c>
      <c r="H87" s="2" t="str">
        <f>IF(ISBLANK('FBPQ T4'!E79)," ",'FBPQ T4'!AE79)</f>
        <v xml:space="preserve"> </v>
      </c>
      <c r="I87" s="2" t="str">
        <f t="shared" si="3"/>
        <v xml:space="preserve"> </v>
      </c>
    </row>
    <row r="88" spans="2:9">
      <c r="C88" s="2" t="s">
        <v>143</v>
      </c>
      <c r="D88" s="2" t="s">
        <v>517</v>
      </c>
      <c r="E88" s="2">
        <f>IF(ISNUMBER('FBPQ C2'!J80),'FBPQ C2'!J80,IF(ISNUMBER('FBPQ C2'!I80),'FBPQ C2'!I80,""))</f>
        <v>0</v>
      </c>
      <c r="F88" s="2" t="s">
        <v>788</v>
      </c>
      <c r="G88" s="2">
        <f t="shared" si="2"/>
        <v>0</v>
      </c>
      <c r="H88" s="2">
        <f>IF(ISBLANK('FBPQ T4'!E80)," ",'FBPQ T4'!AE80)</f>
        <v>7311.4</v>
      </c>
      <c r="I88" s="2">
        <f t="shared" si="3"/>
        <v>0</v>
      </c>
    </row>
    <row r="89" spans="2:9">
      <c r="C89" s="2" t="s">
        <v>144</v>
      </c>
      <c r="D89" s="2" t="s">
        <v>517</v>
      </c>
      <c r="E89" s="2">
        <f>IF(ISNUMBER('FBPQ C2'!J81),'FBPQ C2'!J81,IF(ISNUMBER('FBPQ C2'!I81),'FBPQ C2'!I81,""))</f>
        <v>0</v>
      </c>
      <c r="F89" s="2" t="s">
        <v>788</v>
      </c>
      <c r="G89" s="2">
        <f t="shared" si="2"/>
        <v>0</v>
      </c>
      <c r="H89" s="2">
        <f>IF(ISBLANK('FBPQ T4'!E81)," ",'FBPQ T4'!AE81)</f>
        <v>725</v>
      </c>
      <c r="I89" s="2">
        <f t="shared" si="3"/>
        <v>0</v>
      </c>
    </row>
    <row r="90" spans="2:9">
      <c r="C90" s="2" t="s">
        <v>145</v>
      </c>
      <c r="D90" s="2" t="s">
        <v>517</v>
      </c>
      <c r="E90" s="2">
        <f>IF(ISNUMBER('FBPQ C2'!J82),'FBPQ C2'!J82,IF(ISNUMBER('FBPQ C2'!I82),'FBPQ C2'!I82,""))</f>
        <v>0</v>
      </c>
      <c r="F90" s="2" t="s">
        <v>788</v>
      </c>
      <c r="G90" s="2">
        <f t="shared" si="2"/>
        <v>0</v>
      </c>
      <c r="H90" s="2">
        <f>IF(ISBLANK('FBPQ T4'!E82)," ",'FBPQ T4'!AE82)</f>
        <v>8891</v>
      </c>
      <c r="I90" s="2">
        <f t="shared" si="3"/>
        <v>0</v>
      </c>
    </row>
    <row r="91" spans="2:9">
      <c r="C91" s="2" t="s">
        <v>146</v>
      </c>
      <c r="D91" s="2" t="s">
        <v>517</v>
      </c>
      <c r="E91" s="2">
        <f>IF(ISNUMBER('FBPQ C2'!J83),'FBPQ C2'!J83,IF(ISNUMBER('FBPQ C2'!I83),'FBPQ C2'!I83,""))</f>
        <v>0</v>
      </c>
      <c r="F91" s="2" t="s">
        <v>788</v>
      </c>
      <c r="G91" s="2">
        <f t="shared" si="2"/>
        <v>0</v>
      </c>
      <c r="H91" s="2">
        <f>IF(ISBLANK('FBPQ T4'!E83)," ",'FBPQ T4'!AE83)</f>
        <v>669</v>
      </c>
      <c r="I91" s="2">
        <f t="shared" si="3"/>
        <v>0</v>
      </c>
    </row>
    <row r="92" spans="2:9">
      <c r="E92" s="2" t="str">
        <f>IF(ISNUMBER('FBPQ C2'!J84),'FBPQ C2'!J84,IF(ISNUMBER('FBPQ C2'!I84),'FBPQ C2'!I84,""))</f>
        <v/>
      </c>
      <c r="G92" s="2">
        <f t="shared" si="2"/>
        <v>0</v>
      </c>
      <c r="H92" s="2" t="str">
        <f>IF(ISBLANK('FBPQ T4'!E84)," ",'FBPQ T4'!AE84)</f>
        <v xml:space="preserve"> </v>
      </c>
      <c r="I92" s="2" t="str">
        <f t="shared" si="3"/>
        <v xml:space="preserve"> </v>
      </c>
    </row>
    <row r="93" spans="2:9">
      <c r="B93" s="2" t="s">
        <v>114</v>
      </c>
      <c r="E93" s="2" t="str">
        <f>IF(ISNUMBER('FBPQ C2'!J85),'FBPQ C2'!J85,IF(ISNUMBER('FBPQ C2'!I85),'FBPQ C2'!I85,""))</f>
        <v/>
      </c>
      <c r="G93" s="2">
        <f t="shared" si="2"/>
        <v>0</v>
      </c>
      <c r="H93" s="2" t="str">
        <f>IF(ISBLANK('FBPQ T4'!E85)," ",'FBPQ T4'!AE85)</f>
        <v xml:space="preserve"> </v>
      </c>
      <c r="I93" s="2" t="str">
        <f t="shared" si="3"/>
        <v xml:space="preserve"> </v>
      </c>
    </row>
    <row r="94" spans="2:9">
      <c r="C94" s="2" t="s">
        <v>147</v>
      </c>
      <c r="D94" s="2" t="s">
        <v>516</v>
      </c>
      <c r="E94" s="2">
        <f>IF(ISNUMBER('FBPQ C2'!J86),'FBPQ C2'!J86,IF(ISNUMBER('FBPQ C2'!I86),'FBPQ C2'!I86,""))</f>
        <v>257.06676396210247</v>
      </c>
      <c r="F94" s="2" t="s">
        <v>788</v>
      </c>
      <c r="G94" s="2">
        <f t="shared" si="2"/>
        <v>257.06676396210247</v>
      </c>
      <c r="H94" s="2">
        <f>IF(ISBLANK('FBPQ T4'!E86)," ",'FBPQ T4'!AE86)</f>
        <v>221.5</v>
      </c>
      <c r="I94" s="2">
        <f t="shared" si="3"/>
        <v>56940.288217605696</v>
      </c>
    </row>
    <row r="95" spans="2:9">
      <c r="C95" s="2" t="s">
        <v>148</v>
      </c>
      <c r="D95" s="2" t="s">
        <v>516</v>
      </c>
      <c r="E95" s="2">
        <f>IF(ISNUMBER('FBPQ C2'!J87),'FBPQ C2'!J87,IF(ISNUMBER('FBPQ C2'!I87),'FBPQ C2'!I87,""))</f>
        <v>257.06676396210247</v>
      </c>
      <c r="F95" s="2" t="s">
        <v>788</v>
      </c>
      <c r="G95" s="2">
        <f t="shared" si="2"/>
        <v>257.06676396210247</v>
      </c>
      <c r="H95" s="2">
        <f>IF(ISBLANK('FBPQ T4'!E87)," ",'FBPQ T4'!AE87)</f>
        <v>122</v>
      </c>
      <c r="I95" s="2">
        <f t="shared" si="3"/>
        <v>31362.145203376502</v>
      </c>
    </row>
    <row r="96" spans="2:9">
      <c r="C96" s="2" t="s">
        <v>149</v>
      </c>
      <c r="D96" s="2" t="s">
        <v>516</v>
      </c>
      <c r="E96" s="1487">
        <f>E95</f>
        <v>257.06676396210247</v>
      </c>
      <c r="F96" s="2" t="s">
        <v>788</v>
      </c>
      <c r="G96" s="2">
        <f t="shared" si="2"/>
        <v>257.06676396210247</v>
      </c>
      <c r="H96" s="2">
        <f>IF(ISBLANK('FBPQ T4'!E88)," ",'FBPQ T4'!AE88)</f>
        <v>9</v>
      </c>
      <c r="I96" s="2">
        <f t="shared" si="3"/>
        <v>2313.6008756589222</v>
      </c>
    </row>
    <row r="97" spans="2:9">
      <c r="C97" s="2" t="s">
        <v>150</v>
      </c>
      <c r="D97" s="2" t="s">
        <v>516</v>
      </c>
      <c r="E97" s="2">
        <f>IF(ISNUMBER('FBPQ C2'!J89),'FBPQ C2'!J89,IF(ISNUMBER('FBPQ C2'!I89),'FBPQ C2'!I89,""))</f>
        <v>1206.5101829873158</v>
      </c>
      <c r="F97" s="2" t="s">
        <v>788</v>
      </c>
      <c r="G97" s="2">
        <f t="shared" si="2"/>
        <v>1206.5101829873158</v>
      </c>
      <c r="H97" s="2">
        <f>IF(ISBLANK('FBPQ T4'!E89)," ",'FBPQ T4'!AE89)</f>
        <v>8</v>
      </c>
      <c r="I97" s="2">
        <f t="shared" si="3"/>
        <v>9652.0814638985266</v>
      </c>
    </row>
    <row r="98" spans="2:9">
      <c r="C98" s="2" t="s">
        <v>151</v>
      </c>
      <c r="D98" s="2" t="s">
        <v>516</v>
      </c>
      <c r="E98" s="2">
        <f>IF(ISNUMBER('FBPQ C2'!J90),'FBPQ C2'!J90,IF(ISNUMBER('FBPQ C2'!I90),'FBPQ C2'!I90,""))</f>
        <v>1206.5101829873158</v>
      </c>
      <c r="F98" s="2" t="s">
        <v>788</v>
      </c>
      <c r="G98" s="2">
        <f t="shared" si="2"/>
        <v>1206.5101829873158</v>
      </c>
      <c r="H98" s="2">
        <f>IF(ISBLANK('FBPQ T4'!E90)," ",'FBPQ T4'!AE90)</f>
        <v>8</v>
      </c>
      <c r="I98" s="2">
        <f t="shared" si="3"/>
        <v>9652.0814638985266</v>
      </c>
    </row>
    <row r="99" spans="2:9">
      <c r="C99" s="2" t="s">
        <v>152</v>
      </c>
      <c r="D99" s="2" t="s">
        <v>516</v>
      </c>
      <c r="E99" s="2">
        <f>IF(ISNUMBER('FBPQ C2'!J91),'FBPQ C2'!J91,IF(ISNUMBER('FBPQ C2'!I91),'FBPQ C2'!I91,""))</f>
        <v>0</v>
      </c>
      <c r="F99" s="2" t="s">
        <v>788</v>
      </c>
      <c r="G99" s="2">
        <f t="shared" si="2"/>
        <v>0</v>
      </c>
      <c r="H99" s="2">
        <f>IF(ISBLANK('FBPQ T4'!E91)," ",'FBPQ T4'!AE91)</f>
        <v>0</v>
      </c>
      <c r="I99" s="2">
        <f t="shared" si="3"/>
        <v>0</v>
      </c>
    </row>
    <row r="100" spans="2:9">
      <c r="E100" s="2" t="str">
        <f>IF(ISNUMBER('FBPQ C2'!J92),'FBPQ C2'!J92,IF(ISNUMBER('FBPQ C2'!I92),'FBPQ C2'!I92,""))</f>
        <v/>
      </c>
      <c r="G100" s="2">
        <f t="shared" si="2"/>
        <v>0</v>
      </c>
      <c r="H100" s="2" t="str">
        <f>IF(ISBLANK('FBPQ T4'!E92)," ",'FBPQ T4'!AE92)</f>
        <v xml:space="preserve"> </v>
      </c>
      <c r="I100" s="2" t="str">
        <f t="shared" si="3"/>
        <v xml:space="preserve"> </v>
      </c>
    </row>
    <row r="101" spans="2:9">
      <c r="B101" s="2" t="s">
        <v>117</v>
      </c>
      <c r="E101" s="2" t="str">
        <f>IF(ISNUMBER('FBPQ C2'!J93),'FBPQ C2'!J93,IF(ISNUMBER('FBPQ C2'!I93),'FBPQ C2'!I93,""))</f>
        <v/>
      </c>
      <c r="G101" s="2">
        <f t="shared" si="2"/>
        <v>0</v>
      </c>
      <c r="H101" s="2" t="str">
        <f>IF(ISBLANK('FBPQ T4'!E93)," ",'FBPQ T4'!AE93)</f>
        <v xml:space="preserve"> </v>
      </c>
      <c r="I101" s="2" t="str">
        <f t="shared" si="3"/>
        <v xml:space="preserve"> </v>
      </c>
    </row>
    <row r="102" spans="2:9">
      <c r="C102" s="2" t="s">
        <v>153</v>
      </c>
      <c r="D102" s="2" t="s">
        <v>516</v>
      </c>
      <c r="E102" s="2">
        <f>IF(ISNUMBER('FBPQ C2'!J94),'FBPQ C2'!J94,IF(ISNUMBER('FBPQ C2'!I94),'FBPQ C2'!I94,""))</f>
        <v>0</v>
      </c>
      <c r="F102" s="2" t="s">
        <v>788</v>
      </c>
      <c r="G102" s="2">
        <f t="shared" si="2"/>
        <v>0</v>
      </c>
      <c r="H102" s="2">
        <f>IF(ISBLANK('FBPQ T4'!E94)," ",'FBPQ T4'!AE94)</f>
        <v>0</v>
      </c>
      <c r="I102" s="2">
        <f t="shared" si="3"/>
        <v>0</v>
      </c>
    </row>
    <row r="103" spans="2:9">
      <c r="E103" s="2" t="str">
        <f>IF(ISNUMBER('FBPQ C2'!J95),'FBPQ C2'!J95,IF(ISNUMBER('FBPQ C2'!I95),'FBPQ C2'!I95,""))</f>
        <v/>
      </c>
      <c r="G103" s="2">
        <f t="shared" si="2"/>
        <v>0</v>
      </c>
      <c r="H103" s="2" t="str">
        <f>IF(ISBLANK('FBPQ T4'!E95)," ",'FBPQ T4'!AE95)</f>
        <v xml:space="preserve"> </v>
      </c>
      <c r="I103" s="2" t="str">
        <f t="shared" si="3"/>
        <v xml:space="preserve"> </v>
      </c>
    </row>
    <row r="104" spans="2:9">
      <c r="B104" s="2" t="s">
        <v>100</v>
      </c>
      <c r="E104" s="2" t="str">
        <f>IF(ISNUMBER('FBPQ C2'!J96),'FBPQ C2'!J96,IF(ISNUMBER('FBPQ C2'!I96),'FBPQ C2'!I96,""))</f>
        <v/>
      </c>
      <c r="G104" s="2">
        <f t="shared" si="2"/>
        <v>0</v>
      </c>
      <c r="H104" s="2" t="str">
        <f>IF(ISBLANK('FBPQ T4'!E96)," ",'FBPQ T4'!AE96)</f>
        <v xml:space="preserve"> </v>
      </c>
      <c r="I104" s="2" t="str">
        <f t="shared" si="3"/>
        <v xml:space="preserve"> </v>
      </c>
    </row>
    <row r="105" spans="2:9">
      <c r="C105" s="2" t="s">
        <v>154</v>
      </c>
      <c r="D105" s="2" t="s">
        <v>517</v>
      </c>
      <c r="E105" s="2">
        <f>IF(ISNUMBER('FBPQ C2'!J97),'FBPQ C2'!J97,IF(ISNUMBER('FBPQ C2'!I97),'FBPQ C2'!I97,""))</f>
        <v>184.98127673830817</v>
      </c>
      <c r="F105" s="2" t="s">
        <v>788</v>
      </c>
      <c r="G105" s="2">
        <f t="shared" si="2"/>
        <v>184.98127673830817</v>
      </c>
      <c r="H105" s="2">
        <f>IF(ISBLANK('FBPQ T4'!E97)," ",'FBPQ T4'!AE97)</f>
        <v>88</v>
      </c>
      <c r="I105" s="2">
        <f t="shared" si="3"/>
        <v>16278.352352971118</v>
      </c>
    </row>
    <row r="106" spans="2:9">
      <c r="C106" s="2" t="s">
        <v>155</v>
      </c>
      <c r="D106" s="2" t="s">
        <v>517</v>
      </c>
      <c r="E106" s="2">
        <f>IF(ISNUMBER('FBPQ C2'!J98),'FBPQ C2'!J98,IF(ISNUMBER('FBPQ C2'!I98),'FBPQ C2'!I98,""))</f>
        <v>184.98127673830817</v>
      </c>
      <c r="F106" s="2" t="s">
        <v>788</v>
      </c>
      <c r="G106" s="2">
        <f t="shared" si="2"/>
        <v>184.98127673830817</v>
      </c>
      <c r="H106" s="2">
        <f>IF(ISBLANK('FBPQ T4'!E98)," ",'FBPQ T4'!AE98)</f>
        <v>305</v>
      </c>
      <c r="I106" s="2">
        <f t="shared" si="3"/>
        <v>56419.28940518399</v>
      </c>
    </row>
    <row r="107" spans="2:9">
      <c r="C107" s="2" t="s">
        <v>156</v>
      </c>
      <c r="D107" s="2" t="s">
        <v>517</v>
      </c>
      <c r="E107" s="2">
        <f>IF(ISNUMBER('FBPQ C2'!J99),'FBPQ C2'!J99,IF(ISNUMBER('FBPQ C2'!I99),'FBPQ C2'!I99,""))</f>
        <v>0</v>
      </c>
      <c r="F107" s="2" t="s">
        <v>788</v>
      </c>
      <c r="G107" s="2">
        <f t="shared" si="2"/>
        <v>0</v>
      </c>
      <c r="H107" s="2">
        <f>IF(ISBLANK('FBPQ T4'!E99)," ",'FBPQ T4'!AE99)</f>
        <v>0</v>
      </c>
      <c r="I107" s="2">
        <f t="shared" si="3"/>
        <v>0</v>
      </c>
    </row>
    <row r="108" spans="2:9">
      <c r="C108" s="2" t="s">
        <v>157</v>
      </c>
      <c r="D108" s="2" t="s">
        <v>517</v>
      </c>
      <c r="E108" s="2">
        <f>IF(ISNUMBER('FBPQ C2'!J100),'FBPQ C2'!J100,IF(ISNUMBER('FBPQ C2'!I100),'FBPQ C2'!I100,""))</f>
        <v>0</v>
      </c>
      <c r="F108" s="2" t="s">
        <v>788</v>
      </c>
      <c r="G108" s="2">
        <f t="shared" si="2"/>
        <v>0</v>
      </c>
      <c r="H108" s="2">
        <f>IF(ISBLANK('FBPQ T4'!E100)," ",'FBPQ T4'!AE100)</f>
        <v>0</v>
      </c>
      <c r="I108" s="2">
        <f t="shared" si="3"/>
        <v>0</v>
      </c>
    </row>
    <row r="109" spans="2:9">
      <c r="C109" s="2" t="s">
        <v>158</v>
      </c>
      <c r="D109" s="2" t="s">
        <v>517</v>
      </c>
      <c r="E109" s="2">
        <f>IF(ISNUMBER('FBPQ C2'!J101),'FBPQ C2'!J101,IF(ISNUMBER('FBPQ C2'!I101),'FBPQ C2'!I101,""))</f>
        <v>588.50744331383407</v>
      </c>
      <c r="F109" s="2" t="s">
        <v>788</v>
      </c>
      <c r="G109" s="2">
        <f t="shared" si="2"/>
        <v>588.50744331383407</v>
      </c>
      <c r="H109" s="2">
        <f>IF(ISBLANK('FBPQ T4'!E101)," ",'FBPQ T4'!AE101)</f>
        <v>0</v>
      </c>
      <c r="I109" s="2">
        <f t="shared" si="3"/>
        <v>0</v>
      </c>
    </row>
    <row r="110" spans="2:9">
      <c r="C110" s="2" t="s">
        <v>159</v>
      </c>
      <c r="D110" s="2" t="s">
        <v>517</v>
      </c>
      <c r="E110" s="1487">
        <f>E106</f>
        <v>184.98127673830817</v>
      </c>
      <c r="F110" s="2" t="s">
        <v>788</v>
      </c>
      <c r="G110" s="2">
        <f t="shared" si="2"/>
        <v>184.98127673830817</v>
      </c>
      <c r="H110" s="2">
        <f>IF(ISBLANK('FBPQ T4'!E102)," ",'FBPQ T4'!AE102)</f>
        <v>1444</v>
      </c>
      <c r="I110" s="2">
        <f t="shared" si="3"/>
        <v>267112.96361011697</v>
      </c>
    </row>
    <row r="111" spans="2:9">
      <c r="C111" s="2" t="s">
        <v>160</v>
      </c>
      <c r="D111" s="2" t="s">
        <v>517</v>
      </c>
      <c r="E111" s="2">
        <f>IF(ISNUMBER('FBPQ C2'!J103),'FBPQ C2'!J103,IF(ISNUMBER('FBPQ C2'!I103),'FBPQ C2'!I103,""))</f>
        <v>697.84345568149388</v>
      </c>
      <c r="F111" s="2" t="s">
        <v>788</v>
      </c>
      <c r="G111" s="2">
        <f t="shared" si="2"/>
        <v>697.84345568149388</v>
      </c>
      <c r="H111" s="2">
        <f>IF(ISBLANK('FBPQ T4'!E103)," ",'FBPQ T4'!AE103)</f>
        <v>77</v>
      </c>
      <c r="I111" s="2">
        <f t="shared" si="3"/>
        <v>53733.946087475029</v>
      </c>
    </row>
    <row r="112" spans="2:9">
      <c r="C112" s="2" t="s">
        <v>161</v>
      </c>
      <c r="D112" s="2" t="s">
        <v>517</v>
      </c>
      <c r="E112" s="1487">
        <f>E111</f>
        <v>697.84345568149388</v>
      </c>
      <c r="F112" s="2" t="s">
        <v>788</v>
      </c>
      <c r="G112" s="2">
        <f t="shared" si="2"/>
        <v>697.84345568149388</v>
      </c>
      <c r="H112" s="2">
        <f>IF(ISBLANK('FBPQ T4'!E104)," ",'FBPQ T4'!AE104)</f>
        <v>575</v>
      </c>
      <c r="I112" s="2">
        <f t="shared" si="3"/>
        <v>401259.987016859</v>
      </c>
    </row>
    <row r="113" spans="1:9">
      <c r="E113" s="2" t="str">
        <f>IF(ISNUMBER('FBPQ C2'!J105),'FBPQ C2'!J105,IF(ISNUMBER('FBPQ C2'!I105),'FBPQ C2'!I105,""))</f>
        <v/>
      </c>
      <c r="G113" s="2">
        <f t="shared" si="2"/>
        <v>0</v>
      </c>
      <c r="H113" s="2" t="str">
        <f>IF(ISBLANK('FBPQ T4'!E105)," ",'FBPQ T4'!AE105)</f>
        <v xml:space="preserve"> </v>
      </c>
      <c r="I113" s="2" t="str">
        <f t="shared" si="3"/>
        <v xml:space="preserve"> </v>
      </c>
    </row>
    <row r="114" spans="1:9">
      <c r="B114" s="2" t="s">
        <v>133</v>
      </c>
      <c r="E114" s="2" t="str">
        <f>IF(ISNUMBER('FBPQ C2'!J106),'FBPQ C2'!J106,IF(ISNUMBER('FBPQ C2'!I106),'FBPQ C2'!I106,""))</f>
        <v/>
      </c>
      <c r="G114" s="2">
        <f t="shared" si="2"/>
        <v>0</v>
      </c>
      <c r="H114" s="2" t="str">
        <f>IF(ISBLANK('FBPQ T4'!E106)," ",'FBPQ T4'!AE106)</f>
        <v xml:space="preserve"> </v>
      </c>
      <c r="I114" s="2" t="str">
        <f t="shared" si="3"/>
        <v xml:space="preserve"> </v>
      </c>
    </row>
    <row r="115" spans="1:9">
      <c r="C115" s="2" t="s">
        <v>162</v>
      </c>
      <c r="D115" s="2" t="s">
        <v>517</v>
      </c>
      <c r="E115" s="2">
        <f>IF(ISNUMBER('FBPQ C2'!J107),'FBPQ C2'!J107,IF(ISNUMBER('FBPQ C2'!I107),'FBPQ C2'!I107,""))</f>
        <v>532.56808814898477</v>
      </c>
      <c r="F115" s="2" t="s">
        <v>788</v>
      </c>
      <c r="G115" s="2">
        <f t="shared" si="2"/>
        <v>532.56808814898477</v>
      </c>
      <c r="H115" s="2">
        <f>IF(ISBLANK('FBPQ T4'!E107)," ",'FBPQ T4'!AE107)</f>
        <v>3</v>
      </c>
      <c r="I115" s="2">
        <f t="shared" si="3"/>
        <v>1597.7042644469543</v>
      </c>
    </row>
    <row r="116" spans="1:9">
      <c r="C116" s="2" t="s">
        <v>163</v>
      </c>
      <c r="D116" s="2" t="s">
        <v>517</v>
      </c>
      <c r="E116" s="2">
        <f>IF(ISNUMBER('FBPQ C2'!J108),'FBPQ C2'!J108,IF(ISNUMBER('FBPQ C2'!I108),'FBPQ C2'!I108,""))</f>
        <v>571.97990656058312</v>
      </c>
      <c r="F116" s="2" t="s">
        <v>788</v>
      </c>
      <c r="G116" s="2">
        <f t="shared" si="2"/>
        <v>571.97990656058312</v>
      </c>
      <c r="H116" s="2">
        <f>IF(ISBLANK('FBPQ T4'!E108)," ",'FBPQ T4'!AE108)</f>
        <v>203</v>
      </c>
      <c r="I116" s="2">
        <f t="shared" si="3"/>
        <v>116111.92103179837</v>
      </c>
    </row>
    <row r="117" spans="1:9">
      <c r="C117" s="2" t="s">
        <v>164</v>
      </c>
      <c r="D117" s="2" t="s">
        <v>517</v>
      </c>
      <c r="E117" s="1487">
        <f>E76</f>
        <v>11.950680421581421</v>
      </c>
      <c r="F117" s="2" t="s">
        <v>788</v>
      </c>
      <c r="G117" s="2">
        <f t="shared" si="2"/>
        <v>11.950680421581421</v>
      </c>
      <c r="H117" s="2">
        <f>IF(ISBLANK('FBPQ T4'!E109)," ",'FBPQ T4'!AE109)</f>
        <v>193</v>
      </c>
      <c r="I117" s="2">
        <f t="shared" si="3"/>
        <v>2306.4813213652142</v>
      </c>
    </row>
    <row r="118" spans="1:9">
      <c r="C118" s="2" t="s">
        <v>165</v>
      </c>
      <c r="D118" s="2" t="s">
        <v>517</v>
      </c>
      <c r="E118" s="2">
        <f>IF(ISNUMBER('FBPQ C2'!J110),'FBPQ C2'!J110,IF(ISNUMBER('FBPQ C2'!I110),'FBPQ C2'!I110,""))</f>
        <v>2234.9043737338279</v>
      </c>
      <c r="F118" s="2" t="s">
        <v>788</v>
      </c>
      <c r="G118" s="2">
        <f t="shared" si="2"/>
        <v>2234.9043737338279</v>
      </c>
      <c r="H118" s="2">
        <f>IF(ISBLANK('FBPQ T4'!E110)," ",'FBPQ T4'!AE110)</f>
        <v>82</v>
      </c>
      <c r="I118" s="2">
        <f t="shared" si="3"/>
        <v>183262.15864617389</v>
      </c>
    </row>
    <row r="119" spans="1:9">
      <c r="C119" s="2" t="s">
        <v>166</v>
      </c>
      <c r="D119" s="2" t="s">
        <v>517</v>
      </c>
      <c r="E119" s="1487">
        <f>E76</f>
        <v>11.950680421581421</v>
      </c>
      <c r="F119" s="2" t="s">
        <v>788</v>
      </c>
      <c r="G119" s="2">
        <f t="shared" si="2"/>
        <v>11.950680421581421</v>
      </c>
      <c r="H119" s="2">
        <f>IF(ISBLANK('FBPQ T4'!E111)," ",'FBPQ T4'!AE111)</f>
        <v>46</v>
      </c>
      <c r="I119" s="2">
        <f t="shared" si="3"/>
        <v>549.73129939274531</v>
      </c>
    </row>
    <row r="120" spans="1:9">
      <c r="E120" s="2" t="str">
        <f>IF(ISNUMBER('FBPQ C2'!J112),'FBPQ C2'!J112,IF(ISNUMBER('FBPQ C2'!I112),'FBPQ C2'!I112,""))</f>
        <v/>
      </c>
      <c r="G120" s="2">
        <f t="shared" si="2"/>
        <v>0</v>
      </c>
      <c r="H120" s="2" t="str">
        <f>IF(ISBLANK('FBPQ T4'!E112)," ",'FBPQ T4'!AE112)</f>
        <v xml:space="preserve"> </v>
      </c>
      <c r="I120" s="2" t="str">
        <f t="shared" si="3"/>
        <v xml:space="preserve"> </v>
      </c>
    </row>
    <row r="121" spans="1:9">
      <c r="A121" s="1" t="s">
        <v>167</v>
      </c>
      <c r="E121" s="2" t="str">
        <f>IF(ISNUMBER('FBPQ C2'!J113),'FBPQ C2'!J113,IF(ISNUMBER('FBPQ C2'!I113),'FBPQ C2'!I113,""))</f>
        <v/>
      </c>
      <c r="G121" s="2">
        <f t="shared" si="2"/>
        <v>0</v>
      </c>
      <c r="H121" s="2" t="str">
        <f>IF(ISBLANK('FBPQ T4'!E113)," ",'FBPQ T4'!AE113)</f>
        <v xml:space="preserve"> </v>
      </c>
      <c r="I121" s="2" t="str">
        <f t="shared" si="3"/>
        <v xml:space="preserve"> </v>
      </c>
    </row>
    <row r="122" spans="1:9">
      <c r="B122" s="2" t="s">
        <v>429</v>
      </c>
      <c r="E122" s="2" t="str">
        <f>IF(ISNUMBER('FBPQ C2'!J114),'FBPQ C2'!J114,IF(ISNUMBER('FBPQ C2'!I114),'FBPQ C2'!I114,""))</f>
        <v/>
      </c>
      <c r="G122" s="2">
        <f t="shared" si="2"/>
        <v>0</v>
      </c>
      <c r="H122" s="2" t="str">
        <f>IF(ISBLANK('FBPQ T4'!E114)," ",'FBPQ T4'!AE114)</f>
        <v xml:space="preserve"> </v>
      </c>
      <c r="I122" s="2" t="str">
        <f t="shared" si="3"/>
        <v xml:space="preserve"> </v>
      </c>
    </row>
    <row r="123" spans="1:9">
      <c r="C123" s="2" t="s">
        <v>168</v>
      </c>
      <c r="D123" s="2" t="s">
        <v>516</v>
      </c>
      <c r="E123" s="2">
        <f>IF(ISNUMBER('FBPQ C2'!J115),'FBPQ C2'!J115,IF(ISNUMBER('FBPQ C2'!I115),'FBPQ C2'!I115,""))</f>
        <v>714.87953202715244</v>
      </c>
      <c r="F123" s="2" t="s">
        <v>788</v>
      </c>
      <c r="G123" s="2">
        <f t="shared" si="2"/>
        <v>714.87953202715244</v>
      </c>
      <c r="H123" s="2">
        <f>IF(ISBLANK('FBPQ T4'!E115)," ",'FBPQ T4'!AE115)</f>
        <v>0</v>
      </c>
      <c r="I123" s="2">
        <f t="shared" si="3"/>
        <v>0</v>
      </c>
    </row>
    <row r="124" spans="1:9">
      <c r="C124" s="2" t="s">
        <v>169</v>
      </c>
      <c r="D124" s="2" t="s">
        <v>516</v>
      </c>
      <c r="E124" s="2">
        <f>IF(ISNUMBER('FBPQ C2'!J116),'FBPQ C2'!J116,IF(ISNUMBER('FBPQ C2'!I116),'FBPQ C2'!I116,""))</f>
        <v>1228.5045203589498</v>
      </c>
      <c r="F124" s="2" t="s">
        <v>788</v>
      </c>
      <c r="G124" s="2">
        <f t="shared" si="2"/>
        <v>1228.5045203589498</v>
      </c>
      <c r="H124" s="2">
        <f>IF(ISBLANK('FBPQ T4'!E116)," ",'FBPQ T4'!AE116)</f>
        <v>1368</v>
      </c>
      <c r="I124" s="2">
        <f t="shared" si="3"/>
        <v>1680594.1838510432</v>
      </c>
    </row>
    <row r="125" spans="1:9">
      <c r="E125" s="2" t="str">
        <f>IF(ISNUMBER('FBPQ C2'!J117),'FBPQ C2'!J117,IF(ISNUMBER('FBPQ C2'!I117),'FBPQ C2'!I117,""))</f>
        <v/>
      </c>
      <c r="G125" s="2">
        <f t="shared" si="2"/>
        <v>0</v>
      </c>
      <c r="H125" s="2" t="str">
        <f>IF(ISBLANK('FBPQ T4'!E117)," ",'FBPQ T4'!AE117)</f>
        <v xml:space="preserve"> </v>
      </c>
      <c r="I125" s="2" t="str">
        <f t="shared" si="3"/>
        <v xml:space="preserve"> </v>
      </c>
    </row>
    <row r="126" spans="1:9">
      <c r="B126" s="2" t="s">
        <v>93</v>
      </c>
      <c r="E126" s="2" t="str">
        <f>IF(ISNUMBER('FBPQ C2'!J118),'FBPQ C2'!J118,IF(ISNUMBER('FBPQ C2'!I118),'FBPQ C2'!I118,""))</f>
        <v/>
      </c>
      <c r="G126" s="2">
        <f t="shared" si="2"/>
        <v>0</v>
      </c>
      <c r="H126" s="2" t="str">
        <f>IF(ISBLANK('FBPQ T4'!E118)," ",'FBPQ T4'!AE118)</f>
        <v xml:space="preserve"> </v>
      </c>
      <c r="I126" s="2" t="str">
        <f t="shared" si="3"/>
        <v xml:space="preserve"> </v>
      </c>
    </row>
    <row r="127" spans="1:9">
      <c r="C127" s="2" t="s">
        <v>170</v>
      </c>
      <c r="D127" s="2" t="s">
        <v>517</v>
      </c>
      <c r="E127" s="2">
        <f>IF(ISNUMBER('FBPQ C2'!J119),'FBPQ C2'!J119,IF(ISNUMBER('FBPQ C2'!I119),'FBPQ C2'!I119,""))</f>
        <v>0</v>
      </c>
      <c r="F127" s="2" t="s">
        <v>788</v>
      </c>
      <c r="G127" s="2">
        <f t="shared" si="2"/>
        <v>0</v>
      </c>
      <c r="H127" s="2">
        <f>IF(ISBLANK('FBPQ T4'!E119)," ",'FBPQ T4'!AE119)</f>
        <v>843</v>
      </c>
      <c r="I127" s="2">
        <f t="shared" si="3"/>
        <v>0</v>
      </c>
    </row>
    <row r="128" spans="1:9">
      <c r="C128" s="2" t="s">
        <v>171</v>
      </c>
      <c r="D128" s="2" t="s">
        <v>517</v>
      </c>
      <c r="E128" s="2">
        <f>IF(ISNUMBER('FBPQ C2'!J120),'FBPQ C2'!J120,IF(ISNUMBER('FBPQ C2'!I120),'FBPQ C2'!I120,""))</f>
        <v>0</v>
      </c>
      <c r="F128" s="2" t="s">
        <v>788</v>
      </c>
      <c r="G128" s="2">
        <f t="shared" si="2"/>
        <v>0</v>
      </c>
      <c r="H128" s="2">
        <f>IF(ISBLANK('FBPQ T4'!E120)," ",'FBPQ T4'!AE120)</f>
        <v>2776</v>
      </c>
      <c r="I128" s="2">
        <f t="shared" si="3"/>
        <v>0</v>
      </c>
    </row>
    <row r="129" spans="2:9">
      <c r="C129" s="2" t="s">
        <v>172</v>
      </c>
      <c r="D129" s="2" t="s">
        <v>517</v>
      </c>
      <c r="E129" s="2">
        <f>IF(ISNUMBER('FBPQ C2'!J121),'FBPQ C2'!J121,IF(ISNUMBER('FBPQ C2'!I121),'FBPQ C2'!I121,""))</f>
        <v>0</v>
      </c>
      <c r="F129" s="2" t="s">
        <v>788</v>
      </c>
      <c r="G129" s="2">
        <f t="shared" si="2"/>
        <v>0</v>
      </c>
      <c r="H129" s="2">
        <f>IF(ISBLANK('FBPQ T4'!E121)," ",'FBPQ T4'!AE121)</f>
        <v>4787</v>
      </c>
      <c r="I129" s="2">
        <f t="shared" si="3"/>
        <v>0</v>
      </c>
    </row>
    <row r="130" spans="2:9">
      <c r="E130" s="2" t="str">
        <f>IF(ISNUMBER('FBPQ C2'!J122),'FBPQ C2'!J122,IF(ISNUMBER('FBPQ C2'!I122),'FBPQ C2'!I122,""))</f>
        <v/>
      </c>
      <c r="G130" s="2">
        <f t="shared" si="2"/>
        <v>0</v>
      </c>
      <c r="H130" s="2" t="str">
        <f>IF(ISBLANK('FBPQ T4'!E122)," ",'FBPQ T4'!AE122)</f>
        <v xml:space="preserve"> </v>
      </c>
      <c r="I130" s="2" t="str">
        <f t="shared" si="3"/>
        <v xml:space="preserve"> </v>
      </c>
    </row>
    <row r="131" spans="2:9">
      <c r="B131" s="2" t="s">
        <v>114</v>
      </c>
      <c r="E131" s="2" t="str">
        <f>IF(ISNUMBER('FBPQ C2'!J123),'FBPQ C2'!J123,IF(ISNUMBER('FBPQ C2'!I123),'FBPQ C2'!I123,""))</f>
        <v/>
      </c>
      <c r="G131" s="2">
        <f t="shared" si="2"/>
        <v>0</v>
      </c>
      <c r="H131" s="2" t="str">
        <f>IF(ISBLANK('FBPQ T4'!E123)," ",'FBPQ T4'!AE123)</f>
        <v xml:space="preserve"> </v>
      </c>
      <c r="I131" s="2" t="str">
        <f t="shared" si="3"/>
        <v xml:space="preserve"> </v>
      </c>
    </row>
    <row r="132" spans="2:9">
      <c r="C132" s="2" t="s">
        <v>173</v>
      </c>
      <c r="D132" s="2" t="s">
        <v>516</v>
      </c>
      <c r="E132" s="2">
        <f>IF(ISNUMBER('FBPQ C2'!J124),'FBPQ C2'!J124,IF(ISNUMBER('FBPQ C2'!I124),'FBPQ C2'!I124,""))</f>
        <v>1239.5652564938177</v>
      </c>
      <c r="F132" s="2" t="s">
        <v>788</v>
      </c>
      <c r="G132" s="2">
        <f t="shared" si="2"/>
        <v>1239.5652564938177</v>
      </c>
      <c r="H132" s="2">
        <f>IF(ISBLANK('FBPQ T4'!E124)," ",'FBPQ T4'!AE124)</f>
        <v>43</v>
      </c>
      <c r="I132" s="2">
        <f t="shared" si="3"/>
        <v>53301.306029234162</v>
      </c>
    </row>
    <row r="133" spans="2:9">
      <c r="C133" s="2" t="s">
        <v>174</v>
      </c>
      <c r="D133" s="2" t="s">
        <v>516</v>
      </c>
      <c r="E133" s="2">
        <f>IF(ISNUMBER('FBPQ C2'!J125),'FBPQ C2'!J125,IF(ISNUMBER('FBPQ C2'!I125),'FBPQ C2'!I125,""))</f>
        <v>1239.5652564938177</v>
      </c>
      <c r="F133" s="2" t="s">
        <v>788</v>
      </c>
      <c r="G133" s="2">
        <f t="shared" si="2"/>
        <v>1239.5652564938177</v>
      </c>
      <c r="H133" s="2">
        <f>IF(ISBLANK('FBPQ T4'!E125)," ",'FBPQ T4'!AE125)</f>
        <v>251</v>
      </c>
      <c r="I133" s="2">
        <f t="shared" si="3"/>
        <v>311130.87937994825</v>
      </c>
    </row>
    <row r="134" spans="2:9">
      <c r="C134" s="2" t="s">
        <v>175</v>
      </c>
      <c r="D134" s="2" t="s">
        <v>516</v>
      </c>
      <c r="E134" s="1487">
        <f>E133</f>
        <v>1239.5652564938177</v>
      </c>
      <c r="F134" s="2" t="s">
        <v>788</v>
      </c>
      <c r="G134" s="2">
        <f t="shared" si="2"/>
        <v>1239.5652564938177</v>
      </c>
      <c r="H134" s="2">
        <f>IF(ISBLANK('FBPQ T4'!E126)," ",'FBPQ T4'!AE126)</f>
        <v>16</v>
      </c>
      <c r="I134" s="2">
        <f t="shared" si="3"/>
        <v>19833.044103901084</v>
      </c>
    </row>
    <row r="135" spans="2:9">
      <c r="E135" s="2" t="str">
        <f>IF(ISNUMBER('FBPQ C2'!J127),'FBPQ C2'!J127,IF(ISNUMBER('FBPQ C2'!I127),'FBPQ C2'!I127,""))</f>
        <v/>
      </c>
      <c r="G135" s="2">
        <f t="shared" si="2"/>
        <v>0</v>
      </c>
      <c r="H135" s="2" t="str">
        <f>IF(ISBLANK('FBPQ T4'!E127)," ",'FBPQ T4'!AE127)</f>
        <v xml:space="preserve"> </v>
      </c>
      <c r="I135" s="2" t="str">
        <f t="shared" si="3"/>
        <v xml:space="preserve"> </v>
      </c>
    </row>
    <row r="136" spans="2:9">
      <c r="B136" s="2" t="s">
        <v>117</v>
      </c>
      <c r="E136" s="2" t="str">
        <f>IF(ISNUMBER('FBPQ C2'!J128),'FBPQ C2'!J128,IF(ISNUMBER('FBPQ C2'!I128),'FBPQ C2'!I128,""))</f>
        <v/>
      </c>
      <c r="G136" s="2">
        <f t="shared" si="2"/>
        <v>0</v>
      </c>
      <c r="H136" s="2" t="str">
        <f>IF(ISBLANK('FBPQ T4'!E128)," ",'FBPQ T4'!AE128)</f>
        <v xml:space="preserve"> </v>
      </c>
      <c r="I136" s="2" t="str">
        <f t="shared" si="3"/>
        <v xml:space="preserve"> </v>
      </c>
    </row>
    <row r="137" spans="2:9">
      <c r="C137" s="2" t="s">
        <v>176</v>
      </c>
      <c r="D137" s="2" t="s">
        <v>516</v>
      </c>
      <c r="E137" s="2">
        <f>IF(ISNUMBER('FBPQ C2'!J129),'FBPQ C2'!J129,IF(ISNUMBER('FBPQ C2'!I129),'FBPQ C2'!I129,""))</f>
        <v>0</v>
      </c>
      <c r="F137" s="2" t="s">
        <v>788</v>
      </c>
      <c r="G137" s="2">
        <f t="shared" si="2"/>
        <v>0</v>
      </c>
      <c r="H137" s="2">
        <f>IF(ISBLANK('FBPQ T4'!E129)," ",'FBPQ T4'!AE129)</f>
        <v>0</v>
      </c>
      <c r="I137" s="2">
        <f t="shared" si="3"/>
        <v>0</v>
      </c>
    </row>
    <row r="138" spans="2:9">
      <c r="E138" s="2" t="str">
        <f>IF(ISNUMBER('FBPQ C2'!J130),'FBPQ C2'!J130,IF(ISNUMBER('FBPQ C2'!I130),'FBPQ C2'!I130,""))</f>
        <v/>
      </c>
      <c r="G138" s="2">
        <f t="shared" si="2"/>
        <v>0</v>
      </c>
      <c r="H138" s="2" t="str">
        <f>IF(ISBLANK('FBPQ T4'!E130)," ",'FBPQ T4'!AE130)</f>
        <v xml:space="preserve"> </v>
      </c>
      <c r="I138" s="2" t="str">
        <f t="shared" si="3"/>
        <v xml:space="preserve"> </v>
      </c>
    </row>
    <row r="139" spans="2:9">
      <c r="B139" s="2" t="s">
        <v>100</v>
      </c>
      <c r="E139" s="2" t="str">
        <f>IF(ISNUMBER('FBPQ C2'!J131),'FBPQ C2'!J131,IF(ISNUMBER('FBPQ C2'!I131),'FBPQ C2'!I131,""))</f>
        <v/>
      </c>
      <c r="G139" s="2">
        <f t="shared" si="2"/>
        <v>0</v>
      </c>
      <c r="H139" s="2" t="str">
        <f>IF(ISBLANK('FBPQ T4'!E131)," ",'FBPQ T4'!AE131)</f>
        <v xml:space="preserve"> </v>
      </c>
      <c r="I139" s="2" t="str">
        <f t="shared" si="3"/>
        <v xml:space="preserve"> </v>
      </c>
    </row>
    <row r="140" spans="2:9">
      <c r="C140" s="2" t="s">
        <v>177</v>
      </c>
      <c r="D140" s="2" t="s">
        <v>517</v>
      </c>
      <c r="E140" s="2">
        <f>IF(ISNUMBER('FBPQ C2'!J132),'FBPQ C2'!J132,IF(ISNUMBER('FBPQ C2'!I132),'FBPQ C2'!I132,""))</f>
        <v>1106.4550181810969</v>
      </c>
      <c r="F140" s="2" t="s">
        <v>788</v>
      </c>
      <c r="G140" s="2">
        <f t="shared" si="2"/>
        <v>1106.4550181810969</v>
      </c>
      <c r="H140" s="2">
        <f>IF(ISBLANK('FBPQ T4'!E132)," ",'FBPQ T4'!AE132)</f>
        <v>295</v>
      </c>
      <c r="I140" s="2">
        <f t="shared" si="3"/>
        <v>326404.23036342359</v>
      </c>
    </row>
    <row r="141" spans="2:9">
      <c r="C141" s="2" t="s">
        <v>178</v>
      </c>
      <c r="D141" s="2" t="s">
        <v>517</v>
      </c>
      <c r="E141" s="1487">
        <f>E140</f>
        <v>1106.4550181810969</v>
      </c>
      <c r="F141" s="2" t="s">
        <v>788</v>
      </c>
      <c r="G141" s="2">
        <f t="shared" si="2"/>
        <v>1106.4550181810969</v>
      </c>
      <c r="H141" s="2">
        <f>IF(ISBLANK('FBPQ T4'!E133)," ",'FBPQ T4'!AE133)</f>
        <v>1704</v>
      </c>
      <c r="I141" s="2">
        <f t="shared" si="3"/>
        <v>1885399.3509805892</v>
      </c>
    </row>
    <row r="142" spans="2:9">
      <c r="E142" s="2" t="str">
        <f>IF(ISNUMBER('FBPQ C2'!J134),'FBPQ C2'!J134,IF(ISNUMBER('FBPQ C2'!I134),'FBPQ C2'!I134,""))</f>
        <v/>
      </c>
      <c r="G142" s="2">
        <f t="shared" si="2"/>
        <v>0</v>
      </c>
      <c r="H142" s="2" t="str">
        <f>IF(ISBLANK('FBPQ T4'!E134)," ",'FBPQ T4'!AE134)</f>
        <v xml:space="preserve"> </v>
      </c>
      <c r="I142" s="2" t="str">
        <f t="shared" si="3"/>
        <v xml:space="preserve"> </v>
      </c>
    </row>
    <row r="143" spans="2:9">
      <c r="B143" s="2" t="s">
        <v>133</v>
      </c>
      <c r="E143" s="2" t="str">
        <f>IF(ISNUMBER('FBPQ C2'!J135),'FBPQ C2'!J135,IF(ISNUMBER('FBPQ C2'!I135),'FBPQ C2'!I135,""))</f>
        <v/>
      </c>
      <c r="G143" s="2">
        <f t="shared" si="2"/>
        <v>0</v>
      </c>
      <c r="H143" s="2" t="str">
        <f>IF(ISBLANK('FBPQ T4'!E135)," ",'FBPQ T4'!AE135)</f>
        <v xml:space="preserve"> </v>
      </c>
      <c r="I143" s="2" t="str">
        <f t="shared" si="3"/>
        <v xml:space="preserve"> </v>
      </c>
    </row>
    <row r="144" spans="2:9">
      <c r="C144" s="2" t="s">
        <v>179</v>
      </c>
      <c r="D144" s="2" t="s">
        <v>517</v>
      </c>
      <c r="E144" s="2">
        <f>IF(ISNUMBER('FBPQ C2'!J136),'FBPQ C2'!J136,IF(ISNUMBER('FBPQ C2'!I136),'FBPQ C2'!I136,""))</f>
        <v>2234.9043737338279</v>
      </c>
      <c r="F144" s="2" t="s">
        <v>788</v>
      </c>
      <c r="G144" s="2">
        <f t="shared" si="2"/>
        <v>2234.9043737338279</v>
      </c>
      <c r="H144" s="2">
        <f>IF(ISBLANK('FBPQ T4'!E136)," ",'FBPQ T4'!AE136)</f>
        <v>249</v>
      </c>
      <c r="I144" s="2">
        <f t="shared" si="3"/>
        <v>556491.18905972317</v>
      </c>
    </row>
    <row r="145" spans="1:9">
      <c r="C145" s="2" t="s">
        <v>180</v>
      </c>
      <c r="D145" s="2" t="s">
        <v>517</v>
      </c>
      <c r="E145" s="1487">
        <f>E76</f>
        <v>11.950680421581421</v>
      </c>
      <c r="F145" s="2" t="s">
        <v>788</v>
      </c>
      <c r="G145" s="2">
        <f t="shared" si="2"/>
        <v>11.950680421581421</v>
      </c>
      <c r="H145" s="2">
        <f>IF(ISBLANK('FBPQ T4'!E137)," ",'FBPQ T4'!AE137)</f>
        <v>356</v>
      </c>
      <c r="I145" s="2">
        <f t="shared" si="3"/>
        <v>4254.4422300829856</v>
      </c>
    </row>
    <row r="146" spans="1:9">
      <c r="E146" s="2" t="str">
        <f>IF(ISNUMBER('FBPQ C2'!J138),'FBPQ C2'!J138,IF(ISNUMBER('FBPQ C2'!I138),'FBPQ C2'!I138,""))</f>
        <v/>
      </c>
      <c r="G146" s="2">
        <f t="shared" si="2"/>
        <v>0</v>
      </c>
      <c r="H146" s="2" t="str">
        <f>IF(ISBLANK('FBPQ T4'!E138)," ",'FBPQ T4'!AE138)</f>
        <v xml:space="preserve"> </v>
      </c>
      <c r="I146" s="2" t="str">
        <f t="shared" si="3"/>
        <v xml:space="preserve"> </v>
      </c>
    </row>
    <row r="147" spans="1:9">
      <c r="A147" s="1" t="s">
        <v>181</v>
      </c>
      <c r="E147" s="2" t="str">
        <f>IF(ISNUMBER('FBPQ C2'!J139),'FBPQ C2'!J139,IF(ISNUMBER('FBPQ C2'!I139),'FBPQ C2'!I139,""))</f>
        <v/>
      </c>
      <c r="G147" s="2">
        <f t="shared" si="2"/>
        <v>0</v>
      </c>
      <c r="H147" s="2" t="str">
        <f>IF(ISBLANK('FBPQ T4'!E139)," ",'FBPQ T4'!AE139)</f>
        <v xml:space="preserve"> </v>
      </c>
      <c r="I147" s="2" t="str">
        <f t="shared" si="3"/>
        <v xml:space="preserve"> </v>
      </c>
    </row>
    <row r="148" spans="1:9">
      <c r="B148" s="2" t="s">
        <v>182</v>
      </c>
      <c r="E148" s="2" t="str">
        <f>IF(ISNUMBER('FBPQ C2'!J140),'FBPQ C2'!J140,IF(ISNUMBER('FBPQ C2'!I140),'FBPQ C2'!I140,""))</f>
        <v/>
      </c>
      <c r="G148" s="2">
        <f t="shared" ref="G148:G163" si="4">IF(ISNUMBER(E148),E148,IF(H148&gt;0,F148," "))</f>
        <v>0</v>
      </c>
      <c r="H148" s="2" t="str">
        <f>IF(ISBLANK('FBPQ T4'!E140)," ",'FBPQ T4'!AE140)</f>
        <v xml:space="preserve"> </v>
      </c>
      <c r="I148" s="2" t="str">
        <f t="shared" ref="I148:I163" si="5">IF(ISERROR(G148*H148)," ",G148*H148)</f>
        <v xml:space="preserve"> </v>
      </c>
    </row>
    <row r="149" spans="1:9">
      <c r="C149" s="2" t="s">
        <v>183</v>
      </c>
      <c r="D149" s="2" t="s">
        <v>517</v>
      </c>
      <c r="E149" s="1487">
        <v>62.645000000000003</v>
      </c>
      <c r="F149" s="2" t="s">
        <v>788</v>
      </c>
      <c r="G149" s="2">
        <f t="shared" si="4"/>
        <v>62.645000000000003</v>
      </c>
      <c r="H149" s="2">
        <f>IF(ISBLANK('FBPQ T4'!E141)," ",'FBPQ T4'!AE141)</f>
        <v>2</v>
      </c>
      <c r="I149" s="2">
        <f t="shared" si="5"/>
        <v>125.29</v>
      </c>
    </row>
    <row r="150" spans="1:9">
      <c r="C150" s="2" t="s">
        <v>184</v>
      </c>
      <c r="D150" s="2" t="s">
        <v>517</v>
      </c>
      <c r="E150" s="1487">
        <v>62.645000000000003</v>
      </c>
      <c r="F150" s="2" t="s">
        <v>788</v>
      </c>
      <c r="G150" s="2">
        <f t="shared" si="4"/>
        <v>62.645000000000003</v>
      </c>
      <c r="H150" s="2">
        <f>IF(ISBLANK('FBPQ T4'!E142)," ",'FBPQ T4'!AE142)</f>
        <v>262</v>
      </c>
      <c r="I150" s="2">
        <f t="shared" si="5"/>
        <v>16412.990000000002</v>
      </c>
    </row>
    <row r="151" spans="1:9">
      <c r="E151" s="2" t="str">
        <f>IF(ISNUMBER('FBPQ C2'!J143),'FBPQ C2'!J143,IF(ISNUMBER('FBPQ C2'!I143),'FBPQ C2'!I143,""))</f>
        <v/>
      </c>
      <c r="G151" s="2">
        <f t="shared" si="4"/>
        <v>0</v>
      </c>
      <c r="H151" s="2" t="str">
        <f>IF(ISBLANK('FBPQ T4'!E143)," ",'FBPQ T4'!AE143)</f>
        <v xml:space="preserve"> </v>
      </c>
      <c r="I151" s="2" t="str">
        <f t="shared" si="5"/>
        <v xml:space="preserve"> </v>
      </c>
    </row>
    <row r="152" spans="1:9">
      <c r="B152" s="2" t="s">
        <v>185</v>
      </c>
      <c r="E152" s="2" t="str">
        <f>IF(ISNUMBER('FBPQ C2'!J144),'FBPQ C2'!J144,IF(ISNUMBER('FBPQ C2'!I144),'FBPQ C2'!I144,""))</f>
        <v/>
      </c>
      <c r="G152" s="2">
        <f t="shared" si="4"/>
        <v>0</v>
      </c>
      <c r="H152" s="2" t="str">
        <f>IF(ISBLANK('FBPQ T4'!E144)," ",'FBPQ T4'!AE144)</f>
        <v xml:space="preserve"> </v>
      </c>
      <c r="I152" s="2" t="str">
        <f t="shared" si="5"/>
        <v xml:space="preserve"> </v>
      </c>
    </row>
    <row r="153" spans="1:9">
      <c r="C153" s="2" t="s">
        <v>186</v>
      </c>
      <c r="D153" s="2" t="s">
        <v>517</v>
      </c>
      <c r="E153" s="1487">
        <v>62.645000000000003</v>
      </c>
      <c r="F153" s="2" t="s">
        <v>788</v>
      </c>
      <c r="G153" s="2">
        <f t="shared" si="4"/>
        <v>62.645000000000003</v>
      </c>
      <c r="H153" s="2">
        <f>IF(ISBLANK('FBPQ T4'!E145)," ",'FBPQ T4'!AE145)</f>
        <v>1773</v>
      </c>
      <c r="I153" s="2">
        <f t="shared" si="5"/>
        <v>111069.58500000001</v>
      </c>
    </row>
    <row r="154" spans="1:9">
      <c r="C154" s="2" t="s">
        <v>187</v>
      </c>
      <c r="D154" s="2" t="s">
        <v>517</v>
      </c>
      <c r="E154" s="1487">
        <v>62.645000000000003</v>
      </c>
      <c r="F154" s="2" t="s">
        <v>788</v>
      </c>
      <c r="G154" s="2">
        <f t="shared" si="4"/>
        <v>62.645000000000003</v>
      </c>
      <c r="H154" s="2">
        <f>IF(ISBLANK('FBPQ T4'!E146)," ",'FBPQ T4'!AE146)</f>
        <v>1264</v>
      </c>
      <c r="I154" s="2">
        <f t="shared" si="5"/>
        <v>79183.28</v>
      </c>
    </row>
    <row r="155" spans="1:9">
      <c r="E155" s="2" t="str">
        <f>IF(ISNUMBER('FBPQ C2'!J147),'FBPQ C2'!J147,IF(ISNUMBER('FBPQ C2'!I147),'FBPQ C2'!I147,""))</f>
        <v/>
      </c>
      <c r="G155" s="2">
        <f t="shared" si="4"/>
        <v>0</v>
      </c>
      <c r="H155" s="2" t="str">
        <f>IF(ISBLANK('FBPQ T4'!E147)," ",'FBPQ T4'!AE147)</f>
        <v xml:space="preserve"> </v>
      </c>
      <c r="I155" s="2" t="str">
        <f t="shared" si="5"/>
        <v xml:space="preserve"> </v>
      </c>
    </row>
    <row r="156" spans="1:9">
      <c r="E156" s="2" t="str">
        <f>IF(ISNUMBER('FBPQ C2'!J148),'FBPQ C2'!J148,IF(ISNUMBER('FBPQ C2'!I148),'FBPQ C2'!I148,""))</f>
        <v/>
      </c>
      <c r="G156" s="2">
        <f t="shared" si="4"/>
        <v>0</v>
      </c>
      <c r="H156" s="2" t="str">
        <f>IF(ISBLANK('FBPQ T4'!E148)," ",'FBPQ T4'!AE148)</f>
        <v xml:space="preserve"> </v>
      </c>
      <c r="I156" s="2" t="str">
        <f t="shared" si="5"/>
        <v xml:space="preserve"> </v>
      </c>
    </row>
    <row r="157" spans="1:9">
      <c r="A157" s="1" t="s">
        <v>518</v>
      </c>
      <c r="E157" s="2" t="str">
        <f>IF(ISNUMBER('FBPQ C2'!J149),'FBPQ C2'!J149,IF(ISNUMBER('FBPQ C2'!I149),'FBPQ C2'!I149,""))</f>
        <v/>
      </c>
      <c r="G157" s="2">
        <f t="shared" si="4"/>
        <v>0</v>
      </c>
      <c r="H157" s="2" t="str">
        <f>IF(ISBLANK('FBPQ T4'!E149)," ",'FBPQ T4'!AE149)</f>
        <v xml:space="preserve"> </v>
      </c>
      <c r="I157" s="2" t="str">
        <f t="shared" si="5"/>
        <v xml:space="preserve"> </v>
      </c>
    </row>
    <row r="158" spans="1:9">
      <c r="C158" s="2" t="s">
        <v>120</v>
      </c>
      <c r="E158" s="2" t="str">
        <f>IF(ISNUMBER('FBPQ C2'!J150),'FBPQ C2'!J150,IF(ISNUMBER('FBPQ C2'!I150),'FBPQ C2'!I150,""))</f>
        <v/>
      </c>
      <c r="G158" s="2">
        <f t="shared" si="4"/>
        <v>0</v>
      </c>
      <c r="H158" s="2" t="str">
        <f>IF(ISBLANK('FBPQ T4'!E150)," ",'FBPQ T4'!AE150)</f>
        <v xml:space="preserve"> </v>
      </c>
      <c r="I158" s="2" t="str">
        <f t="shared" si="5"/>
        <v xml:space="preserve"> </v>
      </c>
    </row>
    <row r="159" spans="1:9">
      <c r="C159" s="2" t="s">
        <v>519</v>
      </c>
      <c r="D159" s="2" t="s">
        <v>517</v>
      </c>
      <c r="E159" s="2">
        <f>IF(ISNUMBER('FBPQ C2'!J151),'FBPQ C2'!J151,IF(ISNUMBER('FBPQ C2'!I151),'FBPQ C2'!I151,""))</f>
        <v>30.893780238768993</v>
      </c>
      <c r="F159" s="2" t="s">
        <v>788</v>
      </c>
      <c r="G159" s="2">
        <f t="shared" si="4"/>
        <v>30.893780238768993</v>
      </c>
      <c r="H159" s="2" t="str">
        <f>IF(ISBLANK('FBPQ T4'!E151)," ",'FBPQ T4'!AE151)</f>
        <v xml:space="preserve"> </v>
      </c>
      <c r="I159" s="2" t="str">
        <f t="shared" si="5"/>
        <v xml:space="preserve"> </v>
      </c>
    </row>
    <row r="160" spans="1:9">
      <c r="C160" s="2" t="s">
        <v>520</v>
      </c>
      <c r="D160" s="2" t="s">
        <v>517</v>
      </c>
      <c r="E160" s="2">
        <f>IF(ISNUMBER('FBPQ C2'!J152),'FBPQ C2'!J152,IF(ISNUMBER('FBPQ C2'!I152),'FBPQ C2'!I152,""))</f>
        <v>7.882363682319661</v>
      </c>
      <c r="F160" s="2" t="s">
        <v>788</v>
      </c>
      <c r="G160" s="2">
        <f t="shared" si="4"/>
        <v>7.882363682319661</v>
      </c>
      <c r="H160" s="2" t="str">
        <f>IF(ISBLANK('FBPQ T4'!E152)," ",'FBPQ T4'!AE152)</f>
        <v xml:space="preserve"> </v>
      </c>
      <c r="I160" s="2" t="str">
        <f t="shared" si="5"/>
        <v xml:space="preserve"> </v>
      </c>
    </row>
    <row r="161" spans="3:9">
      <c r="C161" s="2" t="s">
        <v>129</v>
      </c>
      <c r="E161" s="2" t="str">
        <f>IF(ISNUMBER('FBPQ C2'!J153),'FBPQ C2'!J153,IF(ISNUMBER('FBPQ C2'!I153),'FBPQ C2'!I153,""))</f>
        <v/>
      </c>
      <c r="F161" s="2" t="s">
        <v>788</v>
      </c>
      <c r="G161" s="2" t="str">
        <f t="shared" si="4"/>
        <v>DATA</v>
      </c>
      <c r="H161" s="2" t="str">
        <f>IF(ISBLANK('FBPQ T4'!E153)," ",'FBPQ T4'!AE153)</f>
        <v xml:space="preserve"> </v>
      </c>
      <c r="I161" s="2" t="str">
        <f t="shared" si="5"/>
        <v xml:space="preserve"> </v>
      </c>
    </row>
    <row r="162" spans="3:9">
      <c r="C162" s="2" t="s">
        <v>519</v>
      </c>
      <c r="D162" s="2" t="s">
        <v>517</v>
      </c>
      <c r="E162" s="2">
        <f>IF(ISNUMBER('FBPQ C2'!J154),'FBPQ C2'!J154,IF(ISNUMBER('FBPQ C2'!I154),'FBPQ C2'!I154,""))</f>
        <v>0</v>
      </c>
      <c r="F162" s="2" t="s">
        <v>788</v>
      </c>
      <c r="G162" s="2">
        <f t="shared" si="4"/>
        <v>0</v>
      </c>
      <c r="H162" s="2" t="str">
        <f>IF(ISBLANK('FBPQ T4'!E154)," ",'FBPQ T4'!AE154)</f>
        <v xml:space="preserve"> </v>
      </c>
      <c r="I162" s="2" t="str">
        <f t="shared" si="5"/>
        <v xml:space="preserve"> </v>
      </c>
    </row>
    <row r="163" spans="3:9">
      <c r="C163" s="2" t="s">
        <v>520</v>
      </c>
      <c r="D163" s="2" t="s">
        <v>517</v>
      </c>
      <c r="E163" s="2">
        <f>IF(ISNUMBER('FBPQ C2'!J155),'FBPQ C2'!J155,IF(ISNUMBER('FBPQ C2'!I155),'FBPQ C2'!I155,""))</f>
        <v>0</v>
      </c>
      <c r="F163" s="2" t="s">
        <v>788</v>
      </c>
      <c r="G163" s="2">
        <f t="shared" si="4"/>
        <v>0</v>
      </c>
      <c r="H163" s="2" t="str">
        <f>IF(ISBLANK('FBPQ T4'!E155)," ",'FBPQ T4'!AE155)</f>
        <v xml:space="preserve"> </v>
      </c>
      <c r="I163" s="2" t="str">
        <f t="shared" si="5"/>
        <v xml:space="preserve"> </v>
      </c>
    </row>
  </sheetData>
  <phoneticPr fontId="1" type="noConversion"/>
  <pageMargins left="0.75" right="0.75" top="1" bottom="1" header="0.5" footer="0.5"/>
  <pageSetup paperSize="9" scale="35" orientation="portrait" horizontalDpi="4294967292" verticalDpi="4294967292"/>
  <headerFooter>
    <oddHeader>&amp;A&amp;RPage &amp;P</oddHeader>
  </headerFooter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rgb="FFC5FFFF"/>
    <pageSetUpPr fitToPage="1"/>
  </sheetPr>
  <dimension ref="A1:L17"/>
  <sheetViews>
    <sheetView showGridLines="0" workbookViewId="0">
      <selection activeCell="C7" sqref="C7"/>
    </sheetView>
  </sheetViews>
  <sheetFormatPr defaultColWidth="18.28515625" defaultRowHeight="15"/>
  <cols>
    <col min="1" max="1" width="36.140625" style="2" customWidth="1"/>
    <col min="2" max="12" width="18.85546875" style="2" customWidth="1"/>
    <col min="13" max="16384" width="18.28515625" style="2"/>
  </cols>
  <sheetData>
    <row r="1" spans="1:12" ht="19.5">
      <c r="A1" s="4" t="str">
        <f>"Inputs for Method M ("&amp;'Calc-Net capex'!B5&amp;") for "&amp;Inputs!B6&amp;" in "&amp;Inputs!C6&amp;"  Status: "&amp;Inputs!D6&amp;""</f>
        <v>Inputs for Method M (LR1) for Mid West in April 17  Status: Finals</v>
      </c>
    </row>
    <row r="2" spans="1:12">
      <c r="C2" s="17"/>
    </row>
    <row r="3" spans="1:12" ht="17.25">
      <c r="A3" s="45" t="s">
        <v>26</v>
      </c>
      <c r="B3" s="5"/>
      <c r="C3" s="17"/>
    </row>
    <row r="4" spans="1:12">
      <c r="A4" s="5"/>
      <c r="B4" s="5"/>
      <c r="C4" s="17"/>
    </row>
    <row r="5" spans="1:12">
      <c r="B5" s="14" t="s">
        <v>27</v>
      </c>
      <c r="C5" s="14" t="s">
        <v>28</v>
      </c>
      <c r="D5" s="14" t="s">
        <v>29</v>
      </c>
    </row>
    <row r="6" spans="1:12" ht="17.25" customHeight="1">
      <c r="A6" s="14" t="s">
        <v>26</v>
      </c>
      <c r="B6" s="37" t="s">
        <v>982</v>
      </c>
      <c r="C6" s="37" t="s">
        <v>1158</v>
      </c>
      <c r="D6" s="37" t="s">
        <v>983</v>
      </c>
    </row>
    <row r="7" spans="1:12">
      <c r="C7" s="17"/>
    </row>
    <row r="8" spans="1:12" ht="17.25">
      <c r="A8" s="45" t="s">
        <v>30</v>
      </c>
      <c r="B8" s="5"/>
      <c r="D8" s="7"/>
      <c r="E8" s="8"/>
      <c r="F8" s="9"/>
      <c r="G8" s="9"/>
    </row>
    <row r="9" spans="1:12">
      <c r="A9" s="3" t="s">
        <v>31</v>
      </c>
      <c r="B9" s="3"/>
    </row>
    <row r="10" spans="1:12">
      <c r="A10" s="3" t="s">
        <v>32</v>
      </c>
      <c r="B10" s="3"/>
    </row>
    <row r="11" spans="1:12">
      <c r="A11" s="3" t="s">
        <v>33</v>
      </c>
      <c r="B11" s="3"/>
    </row>
    <row r="12" spans="1:12" ht="32.25" customHeight="1">
      <c r="A12" s="10">
        <v>1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4" spans="1:12" ht="17.25">
      <c r="A14" s="45" t="s">
        <v>34</v>
      </c>
    </row>
    <row r="15" spans="1:12">
      <c r="A15" s="5"/>
    </row>
    <row r="16" spans="1:12">
      <c r="A16" s="5"/>
      <c r="B16" s="18" t="s">
        <v>35</v>
      </c>
    </row>
    <row r="17" spans="1:2">
      <c r="A17" s="14" t="s">
        <v>35</v>
      </c>
      <c r="B17" s="13">
        <v>5.5449999999999999E-2</v>
      </c>
    </row>
  </sheetData>
  <sheetProtection sheet="1" objects="1" scenarios="1"/>
  <phoneticPr fontId="1" type="noConversion"/>
  <pageMargins left="0.75" right="0.75" top="1" bottom="1" header="0.5" footer="0.5"/>
  <pageSetup paperSize="9" scale="58" orientation="portrait" horizontalDpi="4294967292" verticalDpi="4294967292" r:id="rId1"/>
  <headerFooter>
    <oddHeader>&amp;A&amp;RPage 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314325</xdr:colOff>
                    <xdr:row>11</xdr:row>
                    <xdr:rowOff>47625</xdr:rowOff>
                  </from>
                  <to>
                    <xdr:col>1</xdr:col>
                    <xdr:colOff>1095375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47625</xdr:rowOff>
                  </from>
                  <to>
                    <xdr:col>3</xdr:col>
                    <xdr:colOff>0</xdr:colOff>
                    <xdr:row>11</xdr:row>
                    <xdr:rowOff>381000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C4"/>
    <pageSetUpPr fitToPage="1"/>
  </sheetPr>
  <dimension ref="A1:H11"/>
  <sheetViews>
    <sheetView showGridLines="0" workbookViewId="0"/>
  </sheetViews>
  <sheetFormatPr defaultColWidth="8.85546875" defaultRowHeight="15"/>
  <cols>
    <col min="1" max="1" width="21.7109375" style="2" customWidth="1"/>
    <col min="2" max="2" width="9.85546875" style="2" customWidth="1"/>
    <col min="3" max="3" width="31.140625" style="2" customWidth="1"/>
    <col min="4" max="4" width="8.85546875" style="2" customWidth="1"/>
    <col min="5" max="7" width="20.42578125" style="2" customWidth="1"/>
    <col min="8" max="8" width="21.85546875" style="2" customWidth="1"/>
    <col min="9" max="10" width="20.42578125" style="2" customWidth="1"/>
    <col min="11" max="11" width="21.85546875" style="2" customWidth="1"/>
    <col min="12" max="13" width="9.140625" style="2" customWidth="1"/>
    <col min="14" max="15" width="20.42578125" style="2" customWidth="1"/>
    <col min="16" max="16" width="21.85546875" style="2" customWidth="1"/>
    <col min="17" max="16384" width="8.85546875" style="2"/>
  </cols>
  <sheetData>
    <row r="1" spans="1:8" ht="19.5">
      <c r="A1" s="4" t="str">
        <f>"Calc-MEAV for Method M ("&amp;'Calc-Net capex'!B5&amp;") for "&amp;Inputs!B6&amp;" in "&amp;Inputs!C6&amp;"  Status: "&amp;Inputs!D6&amp;""</f>
        <v>Calc-MEAV for Method M (LR1) for Mid West in April 17  Status: Finals</v>
      </c>
    </row>
    <row r="3" spans="1:8" ht="26.25" customHeight="1">
      <c r="F3" s="2" t="s">
        <v>789</v>
      </c>
    </row>
    <row r="4" spans="1:8" ht="27.75" customHeight="1">
      <c r="F4" s="2" t="s">
        <v>790</v>
      </c>
    </row>
    <row r="5" spans="1:8">
      <c r="G5" s="2" t="s">
        <v>203</v>
      </c>
      <c r="H5" s="2" t="s">
        <v>791</v>
      </c>
    </row>
    <row r="6" spans="1:8">
      <c r="F6" s="2" t="s">
        <v>222</v>
      </c>
      <c r="G6" s="2">
        <f>SUM('Data-MEAV'!I20:I39)</f>
        <v>7640546.6618143665</v>
      </c>
      <c r="H6" s="2">
        <f>G6/$G$11</f>
        <v>0.456286294627607</v>
      </c>
    </row>
    <row r="7" spans="1:8">
      <c r="F7" s="2" t="s">
        <v>525</v>
      </c>
      <c r="G7" s="2">
        <f>SUM('Data-MEAV'!I62:I63)+SUM('Data-MEAV'!I69:I70)+SUM('Data-MEAV'!I75:I78)</f>
        <v>591807.99240345811</v>
      </c>
      <c r="H7" s="2">
        <f>G7/$G$11</f>
        <v>3.5342219338092909E-2</v>
      </c>
    </row>
    <row r="8" spans="1:8">
      <c r="F8" s="2" t="s">
        <v>223</v>
      </c>
      <c r="G8" s="2">
        <f>SUM('Data-MEAV'!I42:I56)+SUM('Data-MEAV'!I59:I61)+SUM('Data-MEAV'!I64:I68)+SUM('Data-MEAV'!I71:I72)+SUM('Data-MEAV'!I158:I163)+SUM('Data-MEAV'!I153:I154)</f>
        <v>2201766.9582331693</v>
      </c>
      <c r="H8" s="2">
        <f>G8/$G$11</f>
        <v>0.13148746175802342</v>
      </c>
    </row>
    <row r="9" spans="1:8">
      <c r="F9" s="2" t="s">
        <v>402</v>
      </c>
      <c r="G9" s="2">
        <f>SUM('Data-MEAV'!I81:I120)+SUM('Data-MEAV'!I149:I150)</f>
        <v>1473541.3356383634</v>
      </c>
      <c r="H9" s="2">
        <f>G9/$G$11</f>
        <v>8.7998509240094391E-2</v>
      </c>
    </row>
    <row r="10" spans="1:8">
      <c r="F10" s="2" t="s">
        <v>481</v>
      </c>
      <c r="G10" s="2">
        <f>SUM('Data-MEAV'!I121:I146)</f>
        <v>4837408.6259979457</v>
      </c>
      <c r="H10" s="2">
        <f>G10/$G$11</f>
        <v>0.28888551503618226</v>
      </c>
    </row>
    <row r="11" spans="1:8">
      <c r="F11" s="2" t="s">
        <v>200</v>
      </c>
      <c r="G11" s="2">
        <f>SUM(G6:G10)</f>
        <v>16745071.574087303</v>
      </c>
      <c r="H11" s="2">
        <f>SUM(H6:H10)</f>
        <v>1</v>
      </c>
    </row>
  </sheetData>
  <sheetProtection sheet="1" objects="1" scenarios="1"/>
  <phoneticPr fontId="1" type="noConversion"/>
  <pageMargins left="0.75" right="0.75" top="1" bottom="1" header="0.5" footer="0.5"/>
  <pageSetup paperSize="9" scale="4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C4"/>
    <pageSetUpPr fitToPage="1"/>
  </sheetPr>
  <dimension ref="A1:F23"/>
  <sheetViews>
    <sheetView showGridLines="0" workbookViewId="0"/>
  </sheetViews>
  <sheetFormatPr defaultColWidth="8.85546875" defaultRowHeight="15"/>
  <cols>
    <col min="1" max="1" width="59.140625" style="2" customWidth="1"/>
    <col min="2" max="2" width="16" style="2" customWidth="1"/>
    <col min="3" max="6" width="19" style="2" customWidth="1"/>
    <col min="7" max="16384" width="8.85546875" style="2"/>
  </cols>
  <sheetData>
    <row r="1" spans="1:6" ht="19.5">
      <c r="A1" s="4" t="str">
        <f>"Calc-Units for Method M ("&amp;'Calc-Net capex'!B5&amp;") for "&amp;Inputs!B6&amp;" in "&amp;Inputs!C6&amp;"  Status: "&amp;Inputs!D6&amp;""</f>
        <v>Calc-Units for Method M (LR1) for Mid West in April 17  Status: Finals</v>
      </c>
    </row>
    <row r="3" spans="1:6">
      <c r="A3" s="2" t="s">
        <v>792</v>
      </c>
    </row>
    <row r="4" spans="1:6">
      <c r="B4" s="2" t="s">
        <v>793</v>
      </c>
    </row>
    <row r="5" spans="1:6">
      <c r="A5" s="2" t="s">
        <v>794</v>
      </c>
      <c r="B5" s="2">
        <f>'RRP 5.1'!G36</f>
        <v>17084</v>
      </c>
    </row>
    <row r="6" spans="1:6">
      <c r="A6" s="2" t="s">
        <v>795</v>
      </c>
      <c r="B6" s="2">
        <f>'RRP 5.1'!G35</f>
        <v>9051</v>
      </c>
    </row>
    <row r="7" spans="1:6">
      <c r="A7" s="2" t="s">
        <v>796</v>
      </c>
      <c r="B7" s="2">
        <f>'RRP 5.1'!G34</f>
        <v>616</v>
      </c>
    </row>
    <row r="8" spans="1:6">
      <c r="A8" s="2" t="s">
        <v>797</v>
      </c>
      <c r="B8" s="2">
        <f>'RRP 5.1'!G40</f>
        <v>1381</v>
      </c>
    </row>
    <row r="10" spans="1:6">
      <c r="A10" s="2" t="s">
        <v>798</v>
      </c>
    </row>
    <row r="11" spans="1:6">
      <c r="B11" s="2" t="s">
        <v>799</v>
      </c>
      <c r="C11" s="2" t="s">
        <v>222</v>
      </c>
      <c r="D11" s="2" t="s">
        <v>223</v>
      </c>
      <c r="E11" s="2" t="s">
        <v>402</v>
      </c>
      <c r="F11" s="2" t="s">
        <v>401</v>
      </c>
    </row>
    <row r="12" spans="1:6">
      <c r="A12" s="2" t="s">
        <v>794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</row>
    <row r="13" spans="1:6">
      <c r="A13" s="2" t="s">
        <v>795</v>
      </c>
      <c r="B13" s="2">
        <v>0</v>
      </c>
      <c r="C13" s="2">
        <v>0</v>
      </c>
      <c r="D13" s="2">
        <f>(1+$B$8/($B$5+$B$6/2+$B$7/4)/2)/(1+$B$8/($B$5+$B$6/2+$B$7/4))</f>
        <v>0.97016569811402287</v>
      </c>
      <c r="E13" s="2">
        <f>(1+$B$8/($B$5+$B$6/2+$B$7/4)/2)/(1+$B$8/($B$5+$B$6/2+$B$7/4))</f>
        <v>0.97016569811402287</v>
      </c>
      <c r="F13" s="2">
        <f>(1+$B$8/($B$5+$B$6/2+$B$7/4)/2)/(1+$B$8/($B$5+$B$6/2+$B$7/4))</f>
        <v>0.97016569811402287</v>
      </c>
    </row>
    <row r="14" spans="1:6">
      <c r="A14" s="2" t="s">
        <v>796</v>
      </c>
      <c r="B14" s="2">
        <v>0</v>
      </c>
      <c r="C14" s="2">
        <v>0</v>
      </c>
      <c r="D14" s="2">
        <v>0</v>
      </c>
      <c r="E14" s="2">
        <f>(1+$B$8/($B$5+$B$6/2+$B$7/4)/4)/(1+$B$8/($B$5+$B$6/2+$B$7/4))</f>
        <v>0.95524854717103425</v>
      </c>
      <c r="F14" s="2">
        <f>(1+$B$8/($B$5+$B$6/2+$B$7/4)/4)/(1+$B$8/($B$5+$B$6/2+$B$7/4))</f>
        <v>0.95524854717103425</v>
      </c>
    </row>
    <row r="21" spans="1:6">
      <c r="B21" s="2" t="s">
        <v>799</v>
      </c>
      <c r="C21" s="2" t="s">
        <v>222</v>
      </c>
      <c r="D21" s="2" t="s">
        <v>223</v>
      </c>
      <c r="E21" s="2" t="s">
        <v>402</v>
      </c>
      <c r="F21" s="2" t="s">
        <v>401</v>
      </c>
    </row>
    <row r="22" spans="1:6">
      <c r="A22" s="2" t="s">
        <v>800</v>
      </c>
      <c r="B22" s="2">
        <f>SUMPRODUCT(B$12:B$14,$B$5:$B$7)</f>
        <v>17084</v>
      </c>
      <c r="C22" s="2">
        <f>SUMPRODUCT(C$12:C$14,$B$5:$B$7)</f>
        <v>17084</v>
      </c>
      <c r="D22" s="2">
        <f>SUMPRODUCT(D$12:D$14,$B$5:$B$7)</f>
        <v>25864.969733630023</v>
      </c>
      <c r="E22" s="2">
        <f>SUMPRODUCT(E$12:E$14,$B$5:$B$7)</f>
        <v>26453.40283868738</v>
      </c>
      <c r="F22" s="2">
        <f>SUMPRODUCT(F$12:F$14,$B$5:$B$7)</f>
        <v>26453.40283868738</v>
      </c>
    </row>
    <row r="23" spans="1:6">
      <c r="A23" s="2" t="s">
        <v>801</v>
      </c>
      <c r="B23" s="2">
        <f>B22*1000000</f>
        <v>17084000000</v>
      </c>
      <c r="C23" s="2">
        <f>C22*1000000</f>
        <v>17084000000</v>
      </c>
      <c r="D23" s="2">
        <f>D22*1000000</f>
        <v>25864969733.630024</v>
      </c>
      <c r="E23" s="2">
        <f>E22*1000000</f>
        <v>26453402838.687378</v>
      </c>
      <c r="F23" s="2">
        <f>F22*1000000</f>
        <v>26453402838.687378</v>
      </c>
    </row>
  </sheetData>
  <sheetProtection sheet="1" objects="1" scenarios="1"/>
  <phoneticPr fontId="1" type="noConversion"/>
  <pageMargins left="0.75" right="0.75" top="1" bottom="1" header="0.5" footer="0.5"/>
  <pageSetup paperSize="9" scale="5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C4"/>
    <pageSetUpPr fitToPage="1"/>
  </sheetPr>
  <dimension ref="A1:P110"/>
  <sheetViews>
    <sheetView showGridLines="0" workbookViewId="0"/>
  </sheetViews>
  <sheetFormatPr defaultColWidth="8.85546875" defaultRowHeight="15"/>
  <cols>
    <col min="1" max="1" width="8.85546875" style="2" customWidth="1"/>
    <col min="2" max="10" width="11.42578125" style="2" customWidth="1"/>
    <col min="11" max="16384" width="8.85546875" style="2"/>
  </cols>
  <sheetData>
    <row r="1" spans="1:16" ht="19.5">
      <c r="A1" s="4" t="str">
        <f>"Calc-Net capex for Method M ("&amp;B5&amp;") for "&amp;Inputs!B6&amp;" in "&amp;Inputs!C6&amp;"  Status: "&amp;Inputs!D6&amp;""</f>
        <v>Calc-Net capex for Method M (LR1) for Mid West in April 17  Status: Finals</v>
      </c>
    </row>
    <row r="3" spans="1:16" ht="26.25" customHeight="1">
      <c r="A3" s="32" t="s">
        <v>802</v>
      </c>
      <c r="B3" s="33"/>
      <c r="C3" s="33"/>
      <c r="D3" s="34"/>
      <c r="F3" s="1807" t="s">
        <v>803</v>
      </c>
      <c r="G3" s="1808"/>
      <c r="H3" s="1809"/>
      <c r="J3" s="1807" t="s">
        <v>521</v>
      </c>
      <c r="K3" s="1808"/>
      <c r="L3" s="1809"/>
      <c r="N3" s="1810" t="s">
        <v>522</v>
      </c>
      <c r="O3" s="1811"/>
      <c r="P3" s="1812"/>
    </row>
    <row r="4" spans="1:16" ht="12.75" customHeight="1">
      <c r="A4" s="23"/>
      <c r="B4" s="21"/>
      <c r="C4" s="21" t="s">
        <v>804</v>
      </c>
      <c r="D4" s="22" t="s">
        <v>805</v>
      </c>
      <c r="F4" s="23"/>
      <c r="G4" s="21"/>
      <c r="H4" s="22"/>
      <c r="J4" s="1813" t="s">
        <v>523</v>
      </c>
      <c r="K4" s="1814"/>
      <c r="L4" s="1815"/>
      <c r="N4" s="1813" t="s">
        <v>524</v>
      </c>
      <c r="O4" s="1814"/>
      <c r="P4" s="1815"/>
    </row>
    <row r="5" spans="1:16">
      <c r="A5" s="24"/>
      <c r="B5" s="25" t="str">
        <f>IF(Inputs!A12,INDEX(C4:D4,Inputs!A12),"No option selected")</f>
        <v>LR1</v>
      </c>
      <c r="C5" s="25"/>
      <c r="D5" s="26"/>
      <c r="F5" s="23"/>
      <c r="G5" s="21" t="s">
        <v>203</v>
      </c>
      <c r="H5" s="22" t="s">
        <v>791</v>
      </c>
      <c r="J5" s="23" t="s">
        <v>402</v>
      </c>
      <c r="K5" s="21">
        <f>'Reductions to net capex'!K5</f>
        <v>0</v>
      </c>
      <c r="L5" s="22">
        <f>K$5*(F21/(F21+F22))</f>
        <v>0</v>
      </c>
      <c r="N5" s="23"/>
      <c r="O5" s="21" t="s">
        <v>203</v>
      </c>
      <c r="P5" s="22"/>
    </row>
    <row r="6" spans="1:16">
      <c r="F6" s="23" t="s">
        <v>222</v>
      </c>
      <c r="G6" s="21">
        <f>C39+F39+I39+C49+F49-O6</f>
        <v>166.8798952627794</v>
      </c>
      <c r="H6" s="22">
        <f>G6/SUM($G$6:$G$10)</f>
        <v>0.1758419357288819</v>
      </c>
      <c r="J6" s="24" t="s">
        <v>401</v>
      </c>
      <c r="K6" s="25"/>
      <c r="L6" s="26">
        <f>K$5*(F22/(F21+F22))</f>
        <v>0</v>
      </c>
      <c r="N6" s="23" t="s">
        <v>222</v>
      </c>
      <c r="O6" s="21">
        <f>'Reductions to net capex'!O6</f>
        <v>0</v>
      </c>
      <c r="P6" s="22"/>
    </row>
    <row r="7" spans="1:16">
      <c r="F7" s="23" t="s">
        <v>525</v>
      </c>
      <c r="G7" s="21">
        <f>C40+F40+I40+C50+F50-O7</f>
        <v>50.467924447354974</v>
      </c>
      <c r="H7" s="22">
        <f>G7/SUM($G$6:$G$10)</f>
        <v>5.3178230445720967E-2</v>
      </c>
      <c r="N7" s="23" t="s">
        <v>525</v>
      </c>
      <c r="O7" s="21">
        <f>'Reductions to net capex'!O7</f>
        <v>0</v>
      </c>
      <c r="P7" s="22"/>
    </row>
    <row r="8" spans="1:16">
      <c r="F8" s="23" t="s">
        <v>223</v>
      </c>
      <c r="G8" s="21">
        <f>C41+F41+I41+C51+F51-O8</f>
        <v>195.57729574351521</v>
      </c>
      <c r="H8" s="22">
        <f>G8/SUM($G$6:$G$10)</f>
        <v>0.20608048808998844</v>
      </c>
      <c r="N8" s="23" t="s">
        <v>223</v>
      </c>
      <c r="O8" s="21">
        <f>'Reductions to net capex'!O8</f>
        <v>0</v>
      </c>
      <c r="P8" s="22"/>
    </row>
    <row r="9" spans="1:16">
      <c r="F9" s="23" t="s">
        <v>402</v>
      </c>
      <c r="G9" s="21">
        <f>C42+F42+I42+C52+F52-L5-O9</f>
        <v>187.02448249234808</v>
      </c>
      <c r="H9" s="22">
        <f>G9/SUM($G$6:$G$10)</f>
        <v>0.19706835852432295</v>
      </c>
      <c r="N9" s="23" t="s">
        <v>402</v>
      </c>
      <c r="O9" s="21">
        <f>'Reductions to net capex'!O9</f>
        <v>0</v>
      </c>
      <c r="P9" s="22"/>
    </row>
    <row r="10" spans="1:16">
      <c r="F10" s="24" t="s">
        <v>481</v>
      </c>
      <c r="G10" s="25">
        <f>C43+F43+I43+C53+F53-L6-O10</f>
        <v>349.08394499724864</v>
      </c>
      <c r="H10" s="26">
        <f>G10/SUM($G$6:$G$10)</f>
        <v>0.36783098721108576</v>
      </c>
      <c r="N10" s="24" t="s">
        <v>481</v>
      </c>
      <c r="O10" s="25">
        <f>'Reductions to net capex'!O10</f>
        <v>0</v>
      </c>
      <c r="P10" s="26"/>
    </row>
    <row r="12" spans="1:16" ht="12" customHeight="1"/>
    <row r="13" spans="1:16">
      <c r="A13" s="1" t="s">
        <v>806</v>
      </c>
    </row>
    <row r="15" spans="1:16" ht="5.25" customHeight="1"/>
    <row r="16" spans="1:16" ht="26.25" customHeight="1">
      <c r="A16" s="30"/>
      <c r="B16" s="1807" t="s">
        <v>807</v>
      </c>
      <c r="C16" s="1809"/>
      <c r="D16" s="30"/>
      <c r="E16" s="1807" t="s">
        <v>808</v>
      </c>
      <c r="F16" s="1809"/>
      <c r="G16" s="30"/>
      <c r="H16" s="1807" t="s">
        <v>809</v>
      </c>
      <c r="I16" s="1809"/>
    </row>
    <row r="17" spans="1:9" ht="45.95" customHeight="1">
      <c r="A17" s="30"/>
      <c r="B17" s="1816" t="s">
        <v>810</v>
      </c>
      <c r="C17" s="1817"/>
      <c r="D17" s="30"/>
      <c r="E17" s="1816" t="s">
        <v>811</v>
      </c>
      <c r="F17" s="1817"/>
      <c r="G17" s="30"/>
      <c r="H17" s="1816" t="s">
        <v>812</v>
      </c>
      <c r="I17" s="1817"/>
    </row>
    <row r="18" spans="1:9" ht="12.75" customHeight="1">
      <c r="B18" s="23"/>
      <c r="C18" s="22"/>
      <c r="E18" s="23"/>
      <c r="F18" s="22"/>
      <c r="H18" s="23"/>
      <c r="I18" s="22"/>
    </row>
    <row r="19" spans="1:9" ht="12" customHeight="1">
      <c r="B19" s="23" t="s">
        <v>222</v>
      </c>
      <c r="C19" s="22">
        <f>IF(Inputs!$A$12=1,C87,IF(Inputs!$A$12=2,C66,#VALUE!))</f>
        <v>29.935989292598578</v>
      </c>
      <c r="E19" s="23" t="s">
        <v>222</v>
      </c>
      <c r="F19" s="22">
        <f>SUM('FBPQ LR4'!D11:M11)</f>
        <v>10.756772462044905</v>
      </c>
      <c r="H19" s="23" t="s">
        <v>222</v>
      </c>
      <c r="I19" s="22">
        <f>SUM('FBPQ LR6'!C28:L28)</f>
        <v>0</v>
      </c>
    </row>
    <row r="20" spans="1:9" ht="12" customHeight="1">
      <c r="B20" s="23" t="s">
        <v>223</v>
      </c>
      <c r="C20" s="22">
        <f>IF(Inputs!$A$12=1,C88,IF(Inputs!$A$12=2,C67,#VALUE!))</f>
        <v>9.6943771821511007</v>
      </c>
      <c r="E20" s="23" t="s">
        <v>223</v>
      </c>
      <c r="F20" s="22">
        <f>SUM('FBPQ LR4'!D12:M12)</f>
        <v>30.575324895711095</v>
      </c>
      <c r="H20" s="23" t="s">
        <v>223</v>
      </c>
      <c r="I20" s="22">
        <f>SUM('FBPQ LR6'!C29:L29)</f>
        <v>0</v>
      </c>
    </row>
    <row r="21" spans="1:9">
      <c r="B21" s="23" t="s">
        <v>402</v>
      </c>
      <c r="C21" s="22">
        <f>IF(Inputs!$A$12=1,C89,IF(Inputs!$A$12=2,C68,#VALUE!))</f>
        <v>0</v>
      </c>
      <c r="E21" s="23" t="s">
        <v>402</v>
      </c>
      <c r="F21" s="22">
        <f>SUM('FBPQ LR4'!D13:M13)</f>
        <v>108.75996228110381</v>
      </c>
      <c r="H21" s="23" t="s">
        <v>402</v>
      </c>
      <c r="I21" s="22">
        <f>SUM('FBPQ LR6'!C30:L30)</f>
        <v>4.2186510156450376</v>
      </c>
    </row>
    <row r="22" spans="1:9">
      <c r="B22" s="24" t="s">
        <v>481</v>
      </c>
      <c r="C22" s="26">
        <f>IF(Inputs!$A$12=1,C90,IF(Inputs!$A$12=2,C69,#VALUE!))</f>
        <v>0</v>
      </c>
      <c r="E22" s="24" t="s">
        <v>481</v>
      </c>
      <c r="F22" s="26">
        <f>SUM('FBPQ LR4'!D14:M14)</f>
        <v>99.474026522812494</v>
      </c>
      <c r="H22" s="24" t="s">
        <v>481</v>
      </c>
      <c r="I22" s="26">
        <f>SUM('FBPQ LR6'!C31:L31)</f>
        <v>15.055225002265182</v>
      </c>
    </row>
    <row r="25" spans="1:9" s="30" customFormat="1" ht="36.950000000000003" customHeight="1">
      <c r="B25" s="1807" t="s">
        <v>813</v>
      </c>
      <c r="C25" s="1809"/>
      <c r="E25" s="1818" t="s">
        <v>814</v>
      </c>
      <c r="F25" s="1819"/>
    </row>
    <row r="26" spans="1:9" s="30" customFormat="1" ht="27.75" customHeight="1">
      <c r="B26" s="1816" t="s">
        <v>815</v>
      </c>
      <c r="C26" s="1817"/>
      <c r="E26" s="1820" t="s">
        <v>816</v>
      </c>
      <c r="F26" s="1821"/>
    </row>
    <row r="27" spans="1:9">
      <c r="B27" s="23"/>
      <c r="C27" s="22"/>
      <c r="E27" s="23"/>
      <c r="F27" s="22"/>
    </row>
    <row r="28" spans="1:9">
      <c r="B28" s="23" t="s">
        <v>222</v>
      </c>
      <c r="C28" s="22">
        <f>SUM('FBPQ NL1'!D10:M16)</f>
        <v>126.18713350813591</v>
      </c>
      <c r="E28" s="23" t="s">
        <v>222</v>
      </c>
      <c r="F28" s="22">
        <f>SUM('NL9 - Legal &amp; Safety'!D33:M33,'NL9 - Legal &amp; Safety'!D42:M42)</f>
        <v>0</v>
      </c>
    </row>
    <row r="29" spans="1:9">
      <c r="B29" s="23" t="s">
        <v>223</v>
      </c>
      <c r="C29" s="22">
        <f>SUM('FBPQ NL1'!D17:M22)</f>
        <v>205.77551811300791</v>
      </c>
      <c r="E29" s="23" t="s">
        <v>223</v>
      </c>
      <c r="F29" s="22">
        <f>SUM('NL9 - Legal &amp; Safety'!D34:M34,'NL9 - Legal &amp; Safety'!D43:M43)</f>
        <v>0</v>
      </c>
    </row>
    <row r="30" spans="1:9">
      <c r="B30" s="23" t="s">
        <v>402</v>
      </c>
      <c r="C30" s="22">
        <f>SUM('FBPQ NL1'!D23:M28)</f>
        <v>74.045869195599238</v>
      </c>
      <c r="E30" s="23" t="s">
        <v>402</v>
      </c>
      <c r="F30" s="22">
        <f>SUM('NL9 - Legal &amp; Safety'!D35:M35,'NL9 - Legal &amp; Safety'!D44:M44)</f>
        <v>0</v>
      </c>
    </row>
    <row r="31" spans="1:9">
      <c r="B31" s="24" t="s">
        <v>481</v>
      </c>
      <c r="C31" s="26">
        <f>SUM('FBPQ NL1'!D29:M34)</f>
        <v>234.55469347217092</v>
      </c>
      <c r="E31" s="24" t="s">
        <v>481</v>
      </c>
      <c r="F31" s="26">
        <f>SUM('NL9 - Legal &amp; Safety'!D36:M36,'NL9 - Legal &amp; Safety'!D45:M45)</f>
        <v>0</v>
      </c>
    </row>
    <row r="33" spans="1:10" s="1" customFormat="1">
      <c r="A33" s="1" t="s">
        <v>817</v>
      </c>
    </row>
    <row r="35" spans="1:10" ht="5.25" customHeight="1"/>
    <row r="36" spans="1:10" s="30" customFormat="1" ht="51" customHeight="1">
      <c r="B36" s="1807" t="s">
        <v>807</v>
      </c>
      <c r="C36" s="1808"/>
      <c r="D36" s="35"/>
      <c r="E36" s="1807" t="s">
        <v>808</v>
      </c>
      <c r="F36" s="1808"/>
      <c r="G36" s="35"/>
      <c r="H36" s="1807" t="s">
        <v>809</v>
      </c>
      <c r="I36" s="1808"/>
      <c r="J36" s="35"/>
    </row>
    <row r="37" spans="1:10" s="30" customFormat="1" ht="51" customHeight="1">
      <c r="B37" s="1816" t="s">
        <v>810</v>
      </c>
      <c r="C37" s="1822"/>
      <c r="D37" s="36"/>
      <c r="E37" s="1816" t="s">
        <v>811</v>
      </c>
      <c r="F37" s="1822"/>
      <c r="G37" s="36"/>
      <c r="H37" s="1816" t="s">
        <v>812</v>
      </c>
      <c r="I37" s="1822"/>
      <c r="J37" s="36"/>
    </row>
    <row r="38" spans="1:10" ht="12.75" customHeight="1">
      <c r="B38" s="23"/>
      <c r="C38" s="21"/>
      <c r="D38" s="22"/>
      <c r="E38" s="23"/>
      <c r="F38" s="21"/>
      <c r="G38" s="22"/>
      <c r="H38" s="23"/>
      <c r="I38" s="21"/>
      <c r="J38" s="22"/>
    </row>
    <row r="39" spans="1:10">
      <c r="B39" s="23" t="s">
        <v>222</v>
      </c>
      <c r="C39" s="21">
        <f>IF(Inputs!$A$12=1,C96,IF(Inputs!$A$12=2,C75,#VALUE!))</f>
        <v>29.935989292598578</v>
      </c>
      <c r="D39" s="22"/>
      <c r="E39" s="23" t="s">
        <v>222</v>
      </c>
      <c r="F39" s="21">
        <f>SUM('FBPQ LR4'!D11:M11)</f>
        <v>10.756772462044905</v>
      </c>
      <c r="G39" s="22"/>
      <c r="H39" s="23" t="s">
        <v>222</v>
      </c>
      <c r="I39" s="21">
        <f>SUM('FBPQ LR6'!C28:L28)</f>
        <v>0</v>
      </c>
      <c r="J39" s="22"/>
    </row>
    <row r="40" spans="1:10">
      <c r="B40" s="23" t="s">
        <v>525</v>
      </c>
      <c r="C40" s="21">
        <f>IF(Inputs!$A$12=1,C97,IF(Inputs!$A$12=2,C76,#VALUE!))</f>
        <v>2.3811685205236506</v>
      </c>
      <c r="D40" s="22" t="s">
        <v>818</v>
      </c>
      <c r="E40" s="23" t="s">
        <v>525</v>
      </c>
      <c r="F40" s="21">
        <f>SUM('FBPQ LR4'!D12:M12)*(C55)</f>
        <v>7.5100235712404491</v>
      </c>
      <c r="G40" s="22" t="s">
        <v>818</v>
      </c>
      <c r="H40" s="23" t="s">
        <v>525</v>
      </c>
      <c r="I40" s="21">
        <f>SUM('FBPQ LR6'!C29:L29)*(C55)</f>
        <v>0</v>
      </c>
      <c r="J40" s="22" t="s">
        <v>818</v>
      </c>
    </row>
    <row r="41" spans="1:10">
      <c r="B41" s="23" t="s">
        <v>223</v>
      </c>
      <c r="C41" s="21">
        <f>IF(Inputs!$A$12=1,C98,IF(Inputs!$A$12=2,C77,#VALUE!))</f>
        <v>7.3132086616274492</v>
      </c>
      <c r="D41" s="22"/>
      <c r="E41" s="23" t="s">
        <v>223</v>
      </c>
      <c r="F41" s="21">
        <f>SUM('FBPQ LR4'!D12:M12)*(1-C55)</f>
        <v>23.065301324470646</v>
      </c>
      <c r="G41" s="22"/>
      <c r="H41" s="23" t="s">
        <v>223</v>
      </c>
      <c r="I41" s="21">
        <f>SUM('FBPQ LR6'!C29:L29)*(1-C55)</f>
        <v>0</v>
      </c>
      <c r="J41" s="22"/>
    </row>
    <row r="42" spans="1:10">
      <c r="B42" s="23" t="s">
        <v>402</v>
      </c>
      <c r="C42" s="21">
        <f>IF(Inputs!$A$12=1,C99,IF(Inputs!$A$12=2,C78,#VALUE!))</f>
        <v>0</v>
      </c>
      <c r="D42" s="22"/>
      <c r="E42" s="23" t="s">
        <v>402</v>
      </c>
      <c r="F42" s="21">
        <f>SUM('FBPQ LR4'!D13:M13)</f>
        <v>108.75996228110381</v>
      </c>
      <c r="G42" s="22"/>
      <c r="H42" s="23" t="s">
        <v>402</v>
      </c>
      <c r="I42" s="21">
        <f>SUM('FBPQ LR6'!C30:L30)</f>
        <v>4.2186510156450376</v>
      </c>
      <c r="J42" s="22"/>
    </row>
    <row r="43" spans="1:10">
      <c r="B43" s="24" t="s">
        <v>481</v>
      </c>
      <c r="C43" s="25">
        <f>IF(Inputs!$A$12=1,C100,IF(Inputs!$A$12=2,C79,#VALUE!))</f>
        <v>0</v>
      </c>
      <c r="D43" s="26"/>
      <c r="E43" s="24" t="s">
        <v>481</v>
      </c>
      <c r="F43" s="25">
        <f>SUM('FBPQ LR4'!D14:M14)</f>
        <v>99.474026522812494</v>
      </c>
      <c r="G43" s="26"/>
      <c r="H43" s="24" t="s">
        <v>481</v>
      </c>
      <c r="I43" s="25">
        <f>SUM('FBPQ LR6'!C31:L31)</f>
        <v>15.055225002265182</v>
      </c>
      <c r="J43" s="26"/>
    </row>
    <row r="46" spans="1:10" s="30" customFormat="1" ht="27.75" customHeight="1">
      <c r="B46" s="1807" t="s">
        <v>813</v>
      </c>
      <c r="C46" s="1808"/>
      <c r="D46" s="35"/>
      <c r="E46" s="1818" t="s">
        <v>814</v>
      </c>
      <c r="F46" s="1819"/>
      <c r="H46" s="1818" t="s">
        <v>814</v>
      </c>
      <c r="I46" s="1823"/>
      <c r="J46" s="35"/>
    </row>
    <row r="47" spans="1:10" s="30" customFormat="1" ht="27.75" customHeight="1">
      <c r="B47" s="1816" t="s">
        <v>815</v>
      </c>
      <c r="C47" s="1822"/>
      <c r="D47" s="36"/>
      <c r="E47" s="1820" t="s">
        <v>816</v>
      </c>
      <c r="F47" s="1821"/>
      <c r="H47" s="1816" t="s">
        <v>819</v>
      </c>
      <c r="I47" s="1822"/>
      <c r="J47" s="36"/>
    </row>
    <row r="48" spans="1:10">
      <c r="B48" s="23"/>
      <c r="C48" s="21"/>
      <c r="D48" s="22"/>
      <c r="E48" s="23"/>
      <c r="F48" s="22"/>
      <c r="H48" s="23"/>
      <c r="I48" s="21"/>
      <c r="J48" s="22"/>
    </row>
    <row r="49" spans="2:10">
      <c r="B49" s="23" t="s">
        <v>222</v>
      </c>
      <c r="C49" s="21">
        <f>SUM('FBPQ NL1'!D10:M16)</f>
        <v>126.18713350813591</v>
      </c>
      <c r="D49" s="22"/>
      <c r="E49" s="23" t="s">
        <v>222</v>
      </c>
      <c r="F49" s="22">
        <f>SUM('NL9 - Legal &amp; Safety'!D33:M33,'NL9 - Legal &amp; Safety'!D42:M42)</f>
        <v>0</v>
      </c>
      <c r="H49" s="23" t="s">
        <v>222</v>
      </c>
      <c r="I49" s="21">
        <f>F49+C49</f>
        <v>126.18713350813591</v>
      </c>
      <c r="J49" s="22">
        <f>I49/SUM($I$49:$I$53)</f>
        <v>0.19699403695576806</v>
      </c>
    </row>
    <row r="50" spans="2:10">
      <c r="B50" s="23" t="s">
        <v>525</v>
      </c>
      <c r="C50" s="21">
        <f>SUM('FBPQ NL1'!D21:M22)</f>
        <v>40.57673235559087</v>
      </c>
      <c r="D50" s="22" t="s">
        <v>820</v>
      </c>
      <c r="E50" s="23" t="s">
        <v>525</v>
      </c>
      <c r="F50" s="22">
        <f>SUM('NL9 - Legal &amp; Safety'!D34:M34,'NL9 - Legal &amp; Safety'!D43:M43)*C55</f>
        <v>0</v>
      </c>
      <c r="H50" s="23" t="s">
        <v>525</v>
      </c>
      <c r="I50" s="21">
        <f>F50+C50</f>
        <v>40.57673235559087</v>
      </c>
      <c r="J50" s="22">
        <f>I50/SUM($I$49:$I$53)</f>
        <v>6.3345398940266792E-2</v>
      </c>
    </row>
    <row r="51" spans="2:10">
      <c r="B51" s="23" t="s">
        <v>223</v>
      </c>
      <c r="C51" s="21">
        <f>SUM('FBPQ NL1'!D17:M20)</f>
        <v>165.19878575741711</v>
      </c>
      <c r="D51" s="22"/>
      <c r="E51" s="23" t="s">
        <v>223</v>
      </c>
      <c r="F51" s="22">
        <f>SUM('NL9 - Legal &amp; Safety'!D34:M34,'NL9 - Legal &amp; Safety'!D43:M43)*(1-C55)</f>
        <v>0</v>
      </c>
      <c r="H51" s="23" t="s">
        <v>223</v>
      </c>
      <c r="I51" s="21">
        <f>F51+C51</f>
        <v>165.19878575741711</v>
      </c>
      <c r="J51" s="22">
        <f>I51/SUM($I$49:$I$53)</f>
        <v>0.2578961483774922</v>
      </c>
    </row>
    <row r="52" spans="2:10">
      <c r="B52" s="23" t="s">
        <v>402</v>
      </c>
      <c r="C52" s="21">
        <f>SUM('FBPQ NL1'!D23:M28)</f>
        <v>74.045869195599238</v>
      </c>
      <c r="D52" s="22"/>
      <c r="E52" s="23" t="s">
        <v>402</v>
      </c>
      <c r="F52" s="22">
        <f>SUM('NL9 - Legal &amp; Safety'!D35:M35,'NL9 - Legal &amp; Safety'!D44:M44)</f>
        <v>0</v>
      </c>
      <c r="H52" s="23" t="s">
        <v>402</v>
      </c>
      <c r="I52" s="21">
        <f>F52+C52</f>
        <v>74.045869195599238</v>
      </c>
      <c r="J52" s="22">
        <f>I52/SUM($I$49:$I$53)</f>
        <v>0.11559494448615376</v>
      </c>
    </row>
    <row r="53" spans="2:10">
      <c r="B53" s="24" t="s">
        <v>481</v>
      </c>
      <c r="C53" s="25">
        <f>SUM('FBPQ NL1'!D29:M34)</f>
        <v>234.55469347217092</v>
      </c>
      <c r="D53" s="26"/>
      <c r="E53" s="24" t="s">
        <v>481</v>
      </c>
      <c r="F53" s="26">
        <f>SUM('NL9 - Legal &amp; Safety'!D36:M36,'NL9 - Legal &amp; Safety'!D45:M45)</f>
        <v>0</v>
      </c>
      <c r="H53" s="24" t="s">
        <v>481</v>
      </c>
      <c r="I53" s="25">
        <f>F53+C53</f>
        <v>234.55469347217092</v>
      </c>
      <c r="J53" s="26">
        <f>I53/SUM($I$49:$I$53)</f>
        <v>0.36616947124031918</v>
      </c>
    </row>
    <row r="55" spans="2:10">
      <c r="B55" s="19" t="s">
        <v>821</v>
      </c>
      <c r="C55" s="20">
        <f>C50/C51</f>
        <v>0.24562367192683227</v>
      </c>
    </row>
    <row r="59" spans="2:10" s="1" customFormat="1">
      <c r="B59" s="1" t="s">
        <v>976</v>
      </c>
    </row>
    <row r="61" spans="2:10">
      <c r="B61" s="2" t="s">
        <v>822</v>
      </c>
    </row>
    <row r="62" spans="2:10">
      <c r="B62" s="2" t="s">
        <v>823</v>
      </c>
    </row>
    <row r="63" spans="2:10">
      <c r="B63" s="2" t="s">
        <v>807</v>
      </c>
    </row>
    <row r="64" spans="2:10">
      <c r="B64" s="3" t="s">
        <v>824</v>
      </c>
    </row>
    <row r="66" spans="2:3">
      <c r="B66" s="2" t="s">
        <v>222</v>
      </c>
      <c r="C66" s="3">
        <f>SUM('FBPQ LR1 - V5 opt3'!D227:M227,'FBPQ LR1 - V5 opt3'!I229:M229)-SUM('FBPQ LR1 - V5 opt3'!D250:M250,'FBPQ LR1 - V5 opt3'!I252:M252)</f>
        <v>0</v>
      </c>
    </row>
    <row r="67" spans="2:3">
      <c r="B67" s="2" t="s">
        <v>223</v>
      </c>
      <c r="C67" s="3">
        <f>(SUM('FBPQ LR1 - V5 opt3'!D231:H231,'FBPQ LR1 - V5 opt3'!I230:M230,'FBPQ LR1 - V5 opt3'!I233:M233)-SUM('FBPQ LR1 - V5 opt3'!D254:H254,'FBPQ LR1 - V5 opt3'!I253:M253,'FBPQ LR1 - V5 opt3'!I256:M256))</f>
        <v>0</v>
      </c>
    </row>
    <row r="68" spans="2:3">
      <c r="B68" s="2" t="s">
        <v>402</v>
      </c>
      <c r="C68" s="3">
        <f>SUM('FBPQ LR1 - V5 opt3'!D235:H235,'FBPQ LR1 - V5 opt3'!I234:M234,'FBPQ LR1 - V5 opt3'!I237:M237)-SUM('FBPQ LR1 - V5 opt3'!D258:H258,'FBPQ LR1 - V5 opt3'!I257:M257,'FBPQ LR1 - V5 opt3'!I260:M260)</f>
        <v>0</v>
      </c>
    </row>
    <row r="69" spans="2:3">
      <c r="B69" s="2" t="s">
        <v>481</v>
      </c>
      <c r="C69" s="3">
        <f>SUM('FBPQ LR1 - V5 opt3'!D239:H239,'FBPQ LR1 - V5 opt3'!I238:M238)-SUM('FBPQ LR1 - V5 opt3'!D262:H262,'FBPQ LR1 - V5 opt3'!I261:M261)</f>
        <v>0</v>
      </c>
    </row>
    <row r="71" spans="2:3">
      <c r="B71" s="2" t="s">
        <v>825</v>
      </c>
    </row>
    <row r="72" spans="2:3">
      <c r="B72" s="2" t="s">
        <v>807</v>
      </c>
    </row>
    <row r="73" spans="2:3">
      <c r="B73" s="3" t="s">
        <v>824</v>
      </c>
    </row>
    <row r="75" spans="2:3">
      <c r="B75" s="2" t="s">
        <v>222</v>
      </c>
      <c r="C75" s="3">
        <f>SUM('FBPQ LR1 - V5 opt3'!D227:M227,'FBPQ LR1 - V5 opt3'!I229:M229)-SUM('FBPQ LR1 - V5 opt3'!D250:M250,'FBPQ LR1 - V5 opt3'!I252:M252)</f>
        <v>0</v>
      </c>
    </row>
    <row r="76" spans="2:3">
      <c r="B76" s="2" t="s">
        <v>525</v>
      </c>
      <c r="C76" s="3">
        <f>(SUM('FBPQ LR1 - V5 opt3'!D231:H231,'FBPQ LR1 - V5 opt3'!I230:M230,'FBPQ LR1 - V5 opt3'!I233:M233)-SUM('FBPQ LR1 - V5 opt3'!D254:H254,'FBPQ LR1 - V5 opt3'!I253:M253,'FBPQ LR1 - V5 opt3'!I256:M256))*(C110)</f>
        <v>0</v>
      </c>
    </row>
    <row r="77" spans="2:3">
      <c r="B77" s="2" t="s">
        <v>223</v>
      </c>
      <c r="C77" s="3">
        <f>(SUM('FBPQ LR1 - V5 opt3'!D231:H231,'FBPQ LR1 - V5 opt3'!I230:M230,'FBPQ LR1 - V5 opt3'!I233:M233)-SUM('FBPQ LR1 - V5 opt3'!D254:H254,'FBPQ LR1 - V5 opt3'!I253:M253,'FBPQ LR1 - V5 opt3'!I256:M256))*(1-C110)</f>
        <v>0</v>
      </c>
    </row>
    <row r="78" spans="2:3">
      <c r="B78" s="2" t="s">
        <v>402</v>
      </c>
      <c r="C78" s="3">
        <f>SUM('FBPQ LR1 - V5 opt3'!D235:H235,'FBPQ LR1 - V5 opt3'!I234:M234,'FBPQ LR1 - V5 opt3'!I237:M237)-SUM('FBPQ LR1 - V5 opt3'!D258:H258,'FBPQ LR1 - V5 opt3'!I257:M257,'FBPQ LR1 - V5 opt3'!I260:M260)</f>
        <v>0</v>
      </c>
    </row>
    <row r="79" spans="2:3">
      <c r="B79" s="2" t="s">
        <v>481</v>
      </c>
      <c r="C79" s="3">
        <f>SUM('FBPQ LR1 - V5 opt3'!D239:H239,'FBPQ LR1 - V5 opt3'!I238:M238)-SUM('FBPQ LR1 - V5 opt3'!D262:H262,'FBPQ LR1 - V5 opt3'!I261:M261)</f>
        <v>0</v>
      </c>
    </row>
    <row r="82" spans="2:3">
      <c r="B82" s="2" t="s">
        <v>826</v>
      </c>
    </row>
    <row r="83" spans="2:3">
      <c r="B83" s="2" t="s">
        <v>823</v>
      </c>
    </row>
    <row r="84" spans="2:3">
      <c r="B84" s="2" t="s">
        <v>807</v>
      </c>
    </row>
    <row r="85" spans="2:3">
      <c r="B85" s="3" t="s">
        <v>824</v>
      </c>
    </row>
    <row r="87" spans="2:3">
      <c r="B87" s="2" t="s">
        <v>222</v>
      </c>
      <c r="C87" s="3">
        <f>SUM('FBPQ LR1'!D82:M82)-SUM('FBPQ LR1'!D110:M110)</f>
        <v>29.935989292598578</v>
      </c>
    </row>
    <row r="88" spans="2:3">
      <c r="B88" s="2" t="s">
        <v>223</v>
      </c>
      <c r="C88" s="3">
        <f>(SUM('FBPQ LR1'!D86:M86)-SUM('FBPQ LR1'!D114:M114))</f>
        <v>9.6943771821511007</v>
      </c>
    </row>
    <row r="89" spans="2:3">
      <c r="B89" s="2" t="s">
        <v>402</v>
      </c>
      <c r="C89" s="3">
        <f>(SUM('FBPQ LR1'!D90:M90)-SUM('FBPQ LR1'!D118:M118))</f>
        <v>0</v>
      </c>
    </row>
    <row r="90" spans="2:3">
      <c r="B90" s="2" t="s">
        <v>481</v>
      </c>
      <c r="C90" s="3">
        <f>(SUM('FBPQ LR1'!D94:M94)-SUM('FBPQ LR1'!D122:M122))</f>
        <v>0</v>
      </c>
    </row>
    <row r="92" spans="2:3">
      <c r="B92" s="2" t="s">
        <v>825</v>
      </c>
    </row>
    <row r="93" spans="2:3">
      <c r="B93" s="2" t="s">
        <v>807</v>
      </c>
    </row>
    <row r="94" spans="2:3">
      <c r="B94" s="3" t="s">
        <v>824</v>
      </c>
    </row>
    <row r="96" spans="2:3">
      <c r="B96" s="2" t="s">
        <v>222</v>
      </c>
      <c r="C96" s="3">
        <f>SUM('FBPQ LR1'!D82:M82)-SUM('FBPQ LR1'!D110:M110)</f>
        <v>29.935989292598578</v>
      </c>
    </row>
    <row r="97" spans="2:3">
      <c r="B97" s="2" t="s">
        <v>525</v>
      </c>
      <c r="C97" s="3">
        <f>(SUM('FBPQ LR1'!D86:M86)-SUM('FBPQ LR1'!D114:M114))*C110</f>
        <v>2.3811685205236506</v>
      </c>
    </row>
    <row r="98" spans="2:3">
      <c r="B98" s="2" t="s">
        <v>223</v>
      </c>
      <c r="C98" s="3">
        <f>(SUM('FBPQ LR1'!D86:M86)-SUM('FBPQ LR1'!D114:M114))*(1-C110)</f>
        <v>7.3132086616274492</v>
      </c>
    </row>
    <row r="99" spans="2:3">
      <c r="B99" s="2" t="s">
        <v>402</v>
      </c>
      <c r="C99" s="3">
        <f>(SUM('FBPQ LR1'!D90:M90)-SUM('FBPQ LR1'!D118:M118))</f>
        <v>0</v>
      </c>
    </row>
    <row r="100" spans="2:3">
      <c r="B100" s="2" t="s">
        <v>481</v>
      </c>
      <c r="C100" s="3">
        <f>(SUM('FBPQ LR1'!D94:M94)-SUM('FBPQ LR1'!D122:M122))</f>
        <v>0</v>
      </c>
    </row>
    <row r="110" spans="2:3">
      <c r="C110" s="2">
        <f>C50/C51</f>
        <v>0.24562367192683227</v>
      </c>
    </row>
  </sheetData>
  <sheetProtection sheet="1" objects="1" scenarios="1"/>
  <mergeCells count="27">
    <mergeCell ref="H47:I47"/>
    <mergeCell ref="B47:C47"/>
    <mergeCell ref="E47:F47"/>
    <mergeCell ref="H36:I36"/>
    <mergeCell ref="B37:C37"/>
    <mergeCell ref="E37:F37"/>
    <mergeCell ref="H37:I37"/>
    <mergeCell ref="B46:C46"/>
    <mergeCell ref="E46:F46"/>
    <mergeCell ref="H46:I46"/>
    <mergeCell ref="B25:C25"/>
    <mergeCell ref="E25:F25"/>
    <mergeCell ref="B26:C26"/>
    <mergeCell ref="E26:F26"/>
    <mergeCell ref="B36:C36"/>
    <mergeCell ref="E36:F36"/>
    <mergeCell ref="B16:C16"/>
    <mergeCell ref="E16:F16"/>
    <mergeCell ref="H16:I16"/>
    <mergeCell ref="B17:C17"/>
    <mergeCell ref="E17:F17"/>
    <mergeCell ref="H17:I17"/>
    <mergeCell ref="F3:H3"/>
    <mergeCell ref="J3:L3"/>
    <mergeCell ref="N3:P3"/>
    <mergeCell ref="J4:L4"/>
    <mergeCell ref="N4:P4"/>
  </mergeCells>
  <phoneticPr fontId="1" type="noConversion"/>
  <pageMargins left="0.75" right="0.75" top="1" bottom="1" header="0.5" footer="0.5"/>
  <pageSetup paperSize="9" scale="4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tabColor rgb="FFFFFFC4"/>
    <pageSetUpPr fitToPage="1"/>
  </sheetPr>
  <dimension ref="A1:BA50"/>
  <sheetViews>
    <sheetView showGridLines="0" workbookViewId="0"/>
  </sheetViews>
  <sheetFormatPr defaultColWidth="14.140625" defaultRowHeight="15"/>
  <cols>
    <col min="1" max="2" width="14.140625" style="2"/>
    <col min="3" max="3" width="54.140625" style="2" bestFit="1" customWidth="1"/>
    <col min="4" max="16384" width="14.140625" style="2"/>
  </cols>
  <sheetData>
    <row r="1" spans="1:53" ht="19.5">
      <c r="A1" s="4" t="str">
        <f>"Calc-Opex for Method M ("&amp;'Calc-Net capex'!B5&amp;") for "&amp;Inputs!B6&amp;" in "&amp;Inputs!C6&amp;"  Status: "&amp;Inputs!D6&amp;""</f>
        <v>Calc-Opex for Method M (LR1) for Mid West in April 17  Status: Finals</v>
      </c>
    </row>
    <row r="3" spans="1:53" ht="58.5" customHeight="1">
      <c r="D3" s="2" t="s">
        <v>827</v>
      </c>
      <c r="K3" s="2" t="s">
        <v>828</v>
      </c>
      <c r="S3" s="2" t="s">
        <v>829</v>
      </c>
      <c r="Z3" s="2" t="s">
        <v>830</v>
      </c>
      <c r="AG3" s="2" t="s">
        <v>831</v>
      </c>
      <c r="AL3" s="2" t="s">
        <v>832</v>
      </c>
    </row>
    <row r="4" spans="1:53" ht="28.5" customHeight="1">
      <c r="E4" s="2" t="s">
        <v>833</v>
      </c>
      <c r="K4" s="2" t="s">
        <v>834</v>
      </c>
      <c r="S4" s="2" t="s">
        <v>835</v>
      </c>
      <c r="Z4" s="2" t="s">
        <v>836</v>
      </c>
      <c r="AG4" s="2" t="s">
        <v>837</v>
      </c>
      <c r="AL4" s="2" t="s">
        <v>838</v>
      </c>
      <c r="AQ4" s="2" t="s">
        <v>839</v>
      </c>
      <c r="AX4" s="2" t="s">
        <v>840</v>
      </c>
    </row>
    <row r="5" spans="1:53" ht="67.5" customHeight="1">
      <c r="D5" s="2" t="s">
        <v>841</v>
      </c>
      <c r="E5" s="2" t="s">
        <v>842</v>
      </c>
      <c r="I5" s="2" t="s">
        <v>843</v>
      </c>
      <c r="K5" s="2" t="s">
        <v>844</v>
      </c>
      <c r="L5" s="2" t="s">
        <v>845</v>
      </c>
      <c r="AL5" s="2" t="s">
        <v>846</v>
      </c>
      <c r="AM5" s="2" t="s">
        <v>847</v>
      </c>
      <c r="AN5" s="2" t="s">
        <v>848</v>
      </c>
      <c r="AQ5" s="2" t="s">
        <v>402</v>
      </c>
      <c r="AR5" s="2" t="s">
        <v>223</v>
      </c>
      <c r="AS5" s="2" t="s">
        <v>38</v>
      </c>
      <c r="AT5" s="2" t="s">
        <v>441</v>
      </c>
      <c r="AU5" s="2" t="s">
        <v>849</v>
      </c>
      <c r="AX5" s="2" t="s">
        <v>402</v>
      </c>
      <c r="AY5" s="2" t="s">
        <v>223</v>
      </c>
      <c r="AZ5" s="2" t="s">
        <v>38</v>
      </c>
      <c r="BA5" s="2" t="s">
        <v>222</v>
      </c>
    </row>
    <row r="6" spans="1:53">
      <c r="E6" s="2" t="s">
        <v>402</v>
      </c>
      <c r="F6" s="2" t="s">
        <v>223</v>
      </c>
      <c r="G6" s="2" t="s">
        <v>38</v>
      </c>
      <c r="H6" s="2" t="s">
        <v>222</v>
      </c>
      <c r="L6" s="2" t="s">
        <v>402</v>
      </c>
      <c r="M6" s="2" t="s">
        <v>223</v>
      </c>
      <c r="N6" s="2" t="s">
        <v>38</v>
      </c>
      <c r="O6" s="2" t="s">
        <v>441</v>
      </c>
      <c r="P6" s="2" t="s">
        <v>849</v>
      </c>
      <c r="S6" s="2" t="s">
        <v>402</v>
      </c>
      <c r="T6" s="2" t="s">
        <v>223</v>
      </c>
      <c r="U6" s="2" t="s">
        <v>38</v>
      </c>
      <c r="V6" s="2" t="s">
        <v>441</v>
      </c>
      <c r="W6" s="2" t="s">
        <v>849</v>
      </c>
      <c r="Z6" s="2" t="s">
        <v>402</v>
      </c>
      <c r="AA6" s="2" t="s">
        <v>223</v>
      </c>
      <c r="AB6" s="2" t="s">
        <v>38</v>
      </c>
      <c r="AC6" s="2" t="s">
        <v>441</v>
      </c>
      <c r="AD6" s="2" t="s">
        <v>849</v>
      </c>
      <c r="AG6" s="2" t="s">
        <v>402</v>
      </c>
      <c r="AH6" s="2" t="s">
        <v>223</v>
      </c>
      <c r="AI6" s="2" t="s">
        <v>38</v>
      </c>
      <c r="AJ6" s="2" t="s">
        <v>441</v>
      </c>
    </row>
    <row r="7" spans="1:53" ht="12.75" customHeight="1">
      <c r="A7" s="2" t="s">
        <v>528</v>
      </c>
      <c r="B7" s="2" t="s">
        <v>850</v>
      </c>
      <c r="C7" s="2" t="s">
        <v>545</v>
      </c>
      <c r="D7" s="2">
        <f>'RRP 1.3'!D$12</f>
        <v>11.260750888044793</v>
      </c>
      <c r="E7" s="2">
        <f>MAX(0,'Calc-Net capex'!C21+'Calc-Net capex'!C22)/10+'RRP 2.4'!L18+'RRP 2.4'!L19</f>
        <v>10.18</v>
      </c>
      <c r="F7" s="2">
        <f>MAX(0,'Calc-Net capex'!C20)/10+'RRP 2.4'!L17</f>
        <v>5.6094377182151094</v>
      </c>
      <c r="H7" s="2">
        <f>MAX(0,'Calc-Net capex'!C19)/10+'RRP 2.4'!L16</f>
        <v>3.8335989292598578</v>
      </c>
      <c r="I7" s="2">
        <v>0</v>
      </c>
      <c r="K7" s="2" t="s">
        <v>851</v>
      </c>
      <c r="L7" s="2">
        <f>IF(ISERROR(VLOOKUP($K7,'Calc-Drivers'!$B$17:$G$27,L$43,FALSE))," ",VLOOKUP($K7,'Calc-Drivers'!$B$17:$G$27,L$43,FALSE))</f>
        <v>0.37688402427627665</v>
      </c>
      <c r="M7" s="2">
        <f>IF(ISERROR(VLOOKUP($K7,'Calc-Drivers'!$B$17:$G$27,M$43,FALSE))," ",VLOOKUP($K7,'Calc-Drivers'!$B$17:$G$27,M$43,FALSE))</f>
        <v>0.13148746175802342</v>
      </c>
      <c r="N7" s="2">
        <f>IF(ISERROR(VLOOKUP($K7,'Calc-Drivers'!$B$17:$G$27,N$43,FALSE))," ",VLOOKUP($K7,'Calc-Drivers'!$B$17:$G$27,N$43,FALSE))</f>
        <v>3.5342219338092909E-2</v>
      </c>
      <c r="O7" s="2">
        <f>IF(ISERROR(VLOOKUP($K7,'Calc-Drivers'!$B$17:$G$27,O$43,FALSE))," ",VLOOKUP($K7,'Calc-Drivers'!$B$17:$G$27,O$43,FALSE))</f>
        <v>0.22311176209790826</v>
      </c>
      <c r="P7" s="2">
        <f>IF(ISERROR(VLOOKUP($K7,'Calc-Drivers'!$B$17:$G$27,P$43,FALSE))," ",VLOOKUP($K7,'Calc-Drivers'!$B$17:$G$27,P$43,FALSE))</f>
        <v>0.23317453252969877</v>
      </c>
      <c r="S7" s="2">
        <f t="shared" ref="S7:W39" si="0">IF(ISERROR($I7*L7)," ",$I7*L7)</f>
        <v>0</v>
      </c>
      <c r="T7" s="2">
        <f t="shared" si="0"/>
        <v>0</v>
      </c>
      <c r="U7" s="2">
        <f t="shared" si="0"/>
        <v>0</v>
      </c>
      <c r="V7" s="2">
        <f t="shared" si="0"/>
        <v>0</v>
      </c>
      <c r="W7" s="2">
        <f t="shared" si="0"/>
        <v>0</v>
      </c>
      <c r="Z7" s="2">
        <f t="shared" ref="Z7:AB39" si="1">IF($K7="Do not allocate"," ",S7+E7)</f>
        <v>10.18</v>
      </c>
      <c r="AA7" s="2">
        <f t="shared" si="1"/>
        <v>5.6094377182151094</v>
      </c>
      <c r="AB7" s="2">
        <f t="shared" si="1"/>
        <v>0</v>
      </c>
      <c r="AC7" s="2">
        <f t="shared" ref="AC7:AD39" si="2">IF($K7="Do not allocate"," ",($H7*O7/($O7+$P7)+V7))</f>
        <v>1.8745270729244274</v>
      </c>
      <c r="AD7" s="2">
        <f t="shared" si="2"/>
        <v>1.9590718563354301</v>
      </c>
      <c r="AG7" s="2">
        <f>IF(ISERROR(Z7*100000000/'Calc-Units'!$E$23)," ",Z7*100000000/'Calc-Units'!$E$23)</f>
        <v>3.8482761790902861E-2</v>
      </c>
      <c r="AH7" s="2">
        <f>IF(ISERROR(AA7*100000000/'Calc-Units'!$D$23)," ",AA7*100000000/'Calc-Units'!$D$23)</f>
        <v>2.1687393319937402E-2</v>
      </c>
      <c r="AI7" s="2">
        <f>IF(ISERROR(AB7*100000000/'Calc-Units'!$C$23)," ",AB7*100000000/'Calc-Units'!$C$23)</f>
        <v>0</v>
      </c>
      <c r="AJ7" s="2">
        <f>IF(ISERROR(AC7*100000000/'Calc-Units'!$C$23)," ",AC7*100000000/'Calc-Units'!$C$23)</f>
        <v>1.0972413210749399E-2</v>
      </c>
      <c r="AL7" s="2">
        <v>1</v>
      </c>
      <c r="AM7" s="2">
        <f t="shared" ref="AM7:AM39" si="3">AL7*D7</f>
        <v>11.260750888044793</v>
      </c>
      <c r="AN7" s="2">
        <f t="shared" ref="AN7:AN39" si="4">D7*(1-AL7)</f>
        <v>0</v>
      </c>
      <c r="AQ7" s="2">
        <f>IF(ISERROR(Z7*(1-$AL7))," ",Z7*(1-$AL7))</f>
        <v>0</v>
      </c>
      <c r="AR7" s="2">
        <f>IF(ISERROR(AA7*(1-$AL7))," ",AA7*(1-$AL7))</f>
        <v>0</v>
      </c>
      <c r="AS7" s="2">
        <f>IF(ISERROR(AB7*(1-$AL7))," ",AB7*(1-$AL7))</f>
        <v>0</v>
      </c>
      <c r="AT7" s="2">
        <f>IF(ISERROR(AC7*(1-$AL7))," ",AC7*(1-$AL7))</f>
        <v>0</v>
      </c>
      <c r="AU7" s="2">
        <f>IF(ISERROR(AD7*(1-$AL7))," ",AD7*(1-$AL7))</f>
        <v>0</v>
      </c>
      <c r="AX7" s="2">
        <f>IF(ISERROR(AQ7*100000000/'Calc-Units'!$E$23)," ",AQ7*100000000/'Calc-Units'!$E$23)</f>
        <v>0</v>
      </c>
      <c r="AY7" s="2">
        <f>IF(ISERROR(AR7*100000000/'Calc-Units'!$D$23)," ",AR7*100000000/'Calc-Units'!$D$23)</f>
        <v>0</v>
      </c>
      <c r="AZ7" s="2">
        <f>IF(ISERROR(AS7*100000000/'Calc-Units'!$C$23)," ",AS7*100000000/'Calc-Units'!$C$23)</f>
        <v>0</v>
      </c>
      <c r="BA7" s="2">
        <f>IF(ISERROR(AT7*100000000/'Calc-Units'!$C$23)," ",AT7*100000000/'Calc-Units'!$C$23)</f>
        <v>0</v>
      </c>
    </row>
    <row r="8" spans="1:53" ht="12.75" customHeight="1">
      <c r="C8" s="2" t="s">
        <v>546</v>
      </c>
      <c r="D8" s="2">
        <f>'RRP 1.3'!E$12</f>
        <v>86.73865287324719</v>
      </c>
      <c r="E8" s="2">
        <f>SUM('RRP 2.4'!G44:G55)+'RRP 2.4'!G71+'RRP 2.4'!H71</f>
        <v>33.944558974318987</v>
      </c>
      <c r="F8" s="2">
        <f>SUM('RRP 2.4'!G38:G40)+'RRP 2.4'!F71</f>
        <v>25.847964559544309</v>
      </c>
      <c r="G8" s="2">
        <f>'RRP 2.4'!G41+'RRP 2.4'!G42+'RRP 2.4'!G43</f>
        <v>6.9283782203391073</v>
      </c>
      <c r="H8" s="2">
        <f>SUM('RRP 2.4'!G31:G37)+'RRP 2.4'!E71</f>
        <v>15.964378159526383</v>
      </c>
      <c r="I8" s="2">
        <f t="shared" ref="I8:I40" si="5">D8-E8-F8-G8-H8</f>
        <v>4.0533729595184056</v>
      </c>
      <c r="K8" s="2" t="s">
        <v>851</v>
      </c>
      <c r="L8" s="2">
        <f>IF(ISERROR(VLOOKUP($K8,'Calc-Drivers'!$B$17:$G$27,L$43,FALSE))," ",VLOOKUP($K8,'Calc-Drivers'!$B$17:$G$27,L$43,FALSE))</f>
        <v>0.37688402427627665</v>
      </c>
      <c r="M8" s="2">
        <f>IF(ISERROR(VLOOKUP($K8,'Calc-Drivers'!$B$17:$G$27,M$43,FALSE))," ",VLOOKUP($K8,'Calc-Drivers'!$B$17:$G$27,M$43,FALSE))</f>
        <v>0.13148746175802342</v>
      </c>
      <c r="N8" s="2">
        <f>IF(ISERROR(VLOOKUP($K8,'Calc-Drivers'!$B$17:$G$27,N$43,FALSE))," ",VLOOKUP($K8,'Calc-Drivers'!$B$17:$G$27,N$43,FALSE))</f>
        <v>3.5342219338092909E-2</v>
      </c>
      <c r="O8" s="2">
        <f>IF(ISERROR(VLOOKUP($K8,'Calc-Drivers'!$B$17:$G$27,O$43,FALSE))," ",VLOOKUP($K8,'Calc-Drivers'!$B$17:$G$27,O$43,FALSE))</f>
        <v>0.22311176209790826</v>
      </c>
      <c r="P8" s="2">
        <f>IF(ISERROR(VLOOKUP($K8,'Calc-Drivers'!$B$17:$G$27,P$43,FALSE))," ",VLOOKUP($K8,'Calc-Drivers'!$B$17:$G$27,P$43,FALSE))</f>
        <v>0.23317453252969877</v>
      </c>
      <c r="S8" s="2">
        <f t="shared" si="0"/>
        <v>1.527651512875938</v>
      </c>
      <c r="T8" s="2">
        <f t="shared" si="0"/>
        <v>0.53296772200568254</v>
      </c>
      <c r="U8" s="2">
        <f t="shared" si="0"/>
        <v>0.14325519619439428</v>
      </c>
      <c r="V8" s="2">
        <f t="shared" si="0"/>
        <v>0.90435518343816479</v>
      </c>
      <c r="W8" s="2">
        <f t="shared" si="0"/>
        <v>0.94514334500422581</v>
      </c>
      <c r="Z8" s="2">
        <f t="shared" si="1"/>
        <v>35.472210487194928</v>
      </c>
      <c r="AA8" s="2">
        <f t="shared" si="1"/>
        <v>26.380932281549992</v>
      </c>
      <c r="AB8" s="2">
        <f t="shared" si="1"/>
        <v>7.0716334165335013</v>
      </c>
      <c r="AC8" s="2">
        <f t="shared" si="2"/>
        <v>8.7105079956243134</v>
      </c>
      <c r="AD8" s="2">
        <f t="shared" si="2"/>
        <v>9.1033686923444588</v>
      </c>
      <c r="AG8" s="2">
        <f>IF(ISERROR(Z8*100000000/'Calc-Units'!$E$23)," ",Z8*100000000/'Calc-Units'!$E$23)</f>
        <v>0.1340931853021109</v>
      </c>
      <c r="AH8" s="2">
        <f>IF(ISERROR(AA8*100000000/'Calc-Units'!$D$23)," ",AA8*100000000/'Calc-Units'!$D$23)</f>
        <v>0.10199483143894464</v>
      </c>
      <c r="AI8" s="2">
        <f>IF(ISERROR(AB8*100000000/'Calc-Units'!$C$23)," ",AB8*100000000/'Calc-Units'!$C$23)</f>
        <v>4.1393311967533958E-2</v>
      </c>
      <c r="AJ8" s="2">
        <f>IF(ISERROR(AC8*100000000/'Calc-Units'!$C$23)," ",AC8*100000000/'Calc-Units'!$C$23)</f>
        <v>5.0986349775370601E-2</v>
      </c>
      <c r="AL8" s="2">
        <v>1</v>
      </c>
      <c r="AM8" s="2">
        <f t="shared" si="3"/>
        <v>86.73865287324719</v>
      </c>
      <c r="AN8" s="2">
        <f t="shared" si="4"/>
        <v>0</v>
      </c>
      <c r="AQ8" s="2">
        <f t="shared" ref="AQ8:AU39" si="6">IF(ISERROR(Z8*(1-$AL8))," ",Z8*(1-$AL8))</f>
        <v>0</v>
      </c>
      <c r="AR8" s="2">
        <f t="shared" si="6"/>
        <v>0</v>
      </c>
      <c r="AS8" s="2">
        <f t="shared" si="6"/>
        <v>0</v>
      </c>
      <c r="AT8" s="2">
        <f t="shared" si="6"/>
        <v>0</v>
      </c>
      <c r="AU8" s="2">
        <f t="shared" si="6"/>
        <v>0</v>
      </c>
      <c r="AX8" s="2">
        <f>IF(ISERROR(AQ8*100000000/'Calc-Units'!$E$23)," ",AQ8*100000000/'Calc-Units'!$E$23)</f>
        <v>0</v>
      </c>
      <c r="AY8" s="2">
        <f>IF(ISERROR(AR8*100000000/'Calc-Units'!$D$23)," ",AR8*100000000/'Calc-Units'!$D$23)</f>
        <v>0</v>
      </c>
      <c r="AZ8" s="2">
        <f>IF(ISERROR(AS8*100000000/'Calc-Units'!$C$23)," ",AS8*100000000/'Calc-Units'!$C$23)</f>
        <v>0</v>
      </c>
      <c r="BA8" s="2">
        <f>IF(ISERROR(AT8*100000000/'Calc-Units'!$C$23)," ",AT8*100000000/'Calc-Units'!$C$23)</f>
        <v>0</v>
      </c>
    </row>
    <row r="9" spans="1:53">
      <c r="C9" s="2" t="s">
        <v>547</v>
      </c>
      <c r="D9" s="2">
        <f>'RRP 1.3'!F$12</f>
        <v>2.2901999883199999</v>
      </c>
      <c r="E9" s="2">
        <v>0</v>
      </c>
      <c r="F9" s="2">
        <v>0</v>
      </c>
      <c r="G9" s="2">
        <v>0</v>
      </c>
      <c r="H9" s="2">
        <v>0</v>
      </c>
      <c r="I9" s="2">
        <f t="shared" si="5"/>
        <v>2.2901999883199999</v>
      </c>
      <c r="K9" s="2" t="s">
        <v>851</v>
      </c>
      <c r="L9" s="2">
        <f>IF(ISERROR(VLOOKUP($K9,'Calc-Drivers'!$B$17:$G$27,L$43,FALSE))," ",VLOOKUP($K9,'Calc-Drivers'!$B$17:$G$27,L$43,FALSE))</f>
        <v>0.37688402427627665</v>
      </c>
      <c r="M9" s="2">
        <f>IF(ISERROR(VLOOKUP($K9,'Calc-Drivers'!$B$17:$G$27,M$43,FALSE))," ",VLOOKUP($K9,'Calc-Drivers'!$B$17:$G$27,M$43,FALSE))</f>
        <v>0.13148746175802342</v>
      </c>
      <c r="N9" s="2">
        <f>IF(ISERROR(VLOOKUP($K9,'Calc-Drivers'!$B$17:$G$27,N$43,FALSE))," ",VLOOKUP($K9,'Calc-Drivers'!$B$17:$G$27,N$43,FALSE))</f>
        <v>3.5342219338092909E-2</v>
      </c>
      <c r="O9" s="2">
        <f>IF(ISERROR(VLOOKUP($K9,'Calc-Drivers'!$B$17:$G$27,O$43,FALSE))," ",VLOOKUP($K9,'Calc-Drivers'!$B$17:$G$27,O$43,FALSE))</f>
        <v>0.22311176209790826</v>
      </c>
      <c r="P9" s="2">
        <f>IF(ISERROR(VLOOKUP($K9,'Calc-Drivers'!$B$17:$G$27,P$43,FALSE))," ",VLOOKUP($K9,'Calc-Drivers'!$B$17:$G$27,P$43,FALSE))</f>
        <v>0.23317453252969877</v>
      </c>
      <c r="S9" s="2">
        <f t="shared" si="0"/>
        <v>0.86313978799552338</v>
      </c>
      <c r="T9" s="2">
        <f t="shared" si="0"/>
        <v>0.30113258338245169</v>
      </c>
      <c r="U9" s="2">
        <f t="shared" si="0"/>
        <v>8.0940750315303261E-2</v>
      </c>
      <c r="V9" s="2">
        <f t="shared" si="0"/>
        <v>0.51097055495068411</v>
      </c>
      <c r="W9" s="2">
        <f t="shared" si="0"/>
        <v>0.53401631167603758</v>
      </c>
      <c r="Z9" s="2">
        <f t="shared" si="1"/>
        <v>0.86313978799552338</v>
      </c>
      <c r="AA9" s="2">
        <f t="shared" si="1"/>
        <v>0.30113258338245169</v>
      </c>
      <c r="AB9" s="2">
        <f t="shared" si="1"/>
        <v>8.0940750315303261E-2</v>
      </c>
      <c r="AC9" s="2">
        <f t="shared" si="2"/>
        <v>0.51097055495068411</v>
      </c>
      <c r="AD9" s="2">
        <f t="shared" si="2"/>
        <v>0.53401631167603758</v>
      </c>
      <c r="AG9" s="2">
        <f>IF(ISERROR(Z9*100000000/'Calc-Units'!$E$23)," ",Z9*100000000/'Calc-Units'!$E$23)</f>
        <v>3.2628686496740792E-3</v>
      </c>
      <c r="AH9" s="2">
        <f>IF(ISERROR(AA9*100000000/'Calc-Units'!$D$23)," ",AA9*100000000/'Calc-Units'!$D$23)</f>
        <v>1.1642487367418588E-3</v>
      </c>
      <c r="AI9" s="2">
        <f>IF(ISERROR(AB9*100000000/'Calc-Units'!$C$23)," ",AB9*100000000/'Calc-Units'!$C$23)</f>
        <v>4.7378102502518884E-4</v>
      </c>
      <c r="AJ9" s="2">
        <f>IF(ISERROR(AC9*100000000/'Calc-Units'!$C$23)," ",AC9*100000000/'Calc-Units'!$C$23)</f>
        <v>2.990930431694475E-3</v>
      </c>
      <c r="AL9" s="2">
        <v>0.23499999999999999</v>
      </c>
      <c r="AM9" s="2">
        <f t="shared" si="3"/>
        <v>0.53819699725519998</v>
      </c>
      <c r="AN9" s="2">
        <f t="shared" si="4"/>
        <v>1.7520029910648001</v>
      </c>
      <c r="AQ9" s="2">
        <f t="shared" si="6"/>
        <v>0.66030193781657542</v>
      </c>
      <c r="AR9" s="2">
        <f t="shared" si="6"/>
        <v>0.23036642628757556</v>
      </c>
      <c r="AS9" s="2">
        <f t="shared" si="6"/>
        <v>6.1919673991206993E-2</v>
      </c>
      <c r="AT9" s="2">
        <f t="shared" si="6"/>
        <v>0.39089247453727333</v>
      </c>
      <c r="AU9" s="2">
        <f t="shared" si="6"/>
        <v>0.40852247843216877</v>
      </c>
      <c r="AX9" s="2">
        <f>IF(ISERROR(AQ9*100000000/'Calc-Units'!$E$23)," ",AQ9*100000000/'Calc-Units'!$E$23)</f>
        <v>2.4960945170006705E-3</v>
      </c>
      <c r="AY9" s="2">
        <f>IF(ISERROR(AR9*100000000/'Calc-Units'!$D$23)," ",AR9*100000000/'Calc-Units'!$D$23)</f>
        <v>8.9065028360752201E-4</v>
      </c>
      <c r="AZ9" s="2">
        <f>IF(ISERROR(AS9*100000000/'Calc-Units'!$C$23)," ",AS9*100000000/'Calc-Units'!$C$23)</f>
        <v>3.6244248414426947E-4</v>
      </c>
      <c r="BA9" s="2">
        <f>IF(ISERROR(AT9*100000000/'Calc-Units'!$C$23)," ",AT9*100000000/'Calc-Units'!$C$23)</f>
        <v>2.2880617802462735E-3</v>
      </c>
    </row>
    <row r="10" spans="1:53">
      <c r="C10" s="2" t="s">
        <v>548</v>
      </c>
      <c r="D10" s="2">
        <f>'RRP 1.3'!G$12</f>
        <v>23.607461477008215</v>
      </c>
      <c r="E10" s="2">
        <f>SUM('RRP 2.3'!I20:I27)</f>
        <v>2.7149327240017325</v>
      </c>
      <c r="F10" s="2">
        <f>SUM('RRP 2.3'!I17:I18)</f>
        <v>5.2791708589435222</v>
      </c>
      <c r="G10" s="2">
        <f>SUM('RRP 2.3'!I19)</f>
        <v>0.58234466945385643</v>
      </c>
      <c r="H10" s="2">
        <f>SUM('RRP 2.3'!I11:I16)</f>
        <v>15.272426893891403</v>
      </c>
      <c r="I10" s="2">
        <f t="shared" si="5"/>
        <v>-0.24141366928230212</v>
      </c>
      <c r="K10" s="2" t="s">
        <v>851</v>
      </c>
      <c r="L10" s="2">
        <f>IF(ISERROR(VLOOKUP($K10,'Calc-Drivers'!$B$17:$G$27,L$43,FALSE))," ",VLOOKUP($K10,'Calc-Drivers'!$B$17:$G$27,L$43,FALSE))</f>
        <v>0.37688402427627665</v>
      </c>
      <c r="M10" s="2">
        <f>IF(ISERROR(VLOOKUP($K10,'Calc-Drivers'!$B$17:$G$27,M$43,FALSE))," ",VLOOKUP($K10,'Calc-Drivers'!$B$17:$G$27,M$43,FALSE))</f>
        <v>0.13148746175802342</v>
      </c>
      <c r="N10" s="2">
        <f>IF(ISERROR(VLOOKUP($K10,'Calc-Drivers'!$B$17:$G$27,N$43,FALSE))," ",VLOOKUP($K10,'Calc-Drivers'!$B$17:$G$27,N$43,FALSE))</f>
        <v>3.5342219338092909E-2</v>
      </c>
      <c r="O10" s="2">
        <f>IF(ISERROR(VLOOKUP($K10,'Calc-Drivers'!$B$17:$G$27,O$43,FALSE))," ",VLOOKUP($K10,'Calc-Drivers'!$B$17:$G$27,O$43,FALSE))</f>
        <v>0.22311176209790826</v>
      </c>
      <c r="P10" s="2">
        <f>IF(ISERROR(VLOOKUP($K10,'Calc-Drivers'!$B$17:$G$27,P$43,FALSE))," ",VLOOKUP($K10,'Calc-Drivers'!$B$17:$G$27,P$43,FALSE))</f>
        <v>0.23317453252969877</v>
      </c>
      <c r="S10" s="2">
        <f t="shared" si="0"/>
        <v>-9.098495519441617E-2</v>
      </c>
      <c r="T10" s="2">
        <f t="shared" si="0"/>
        <v>-3.1742870607620814E-2</v>
      </c>
      <c r="U10" s="2">
        <f t="shared" si="0"/>
        <v>-8.5320948509889447E-3</v>
      </c>
      <c r="V10" s="2">
        <f t="shared" si="0"/>
        <v>-5.3862229148096095E-2</v>
      </c>
      <c r="W10" s="2">
        <f t="shared" si="0"/>
        <v>-5.6291519481180101E-2</v>
      </c>
      <c r="Z10" s="2">
        <f t="shared" si="1"/>
        <v>2.6239477688073163</v>
      </c>
      <c r="AA10" s="2">
        <f t="shared" si="1"/>
        <v>5.2474279883359012</v>
      </c>
      <c r="AB10" s="2">
        <f t="shared" si="1"/>
        <v>0.5738125746028675</v>
      </c>
      <c r="AC10" s="2">
        <f t="shared" si="2"/>
        <v>7.4139449698135849</v>
      </c>
      <c r="AD10" s="2">
        <f t="shared" si="2"/>
        <v>7.7483281754485418</v>
      </c>
      <c r="AG10" s="2">
        <f>IF(ISERROR(Z10*100000000/'Calc-Units'!$E$23)," ",Z10*100000000/'Calc-Units'!$E$23)</f>
        <v>9.9191313299393929E-3</v>
      </c>
      <c r="AH10" s="2">
        <f>IF(ISERROR(AA10*100000000/'Calc-Units'!$D$23)," ",AA10*100000000/'Calc-Units'!$D$23)</f>
        <v>2.0287779349353406E-2</v>
      </c>
      <c r="AI10" s="2">
        <f>IF(ISERROR(AB10*100000000/'Calc-Units'!$C$23)," ",AB10*100000000/'Calc-Units'!$C$23)</f>
        <v>3.3587718017025728E-3</v>
      </c>
      <c r="AJ10" s="2">
        <f>IF(ISERROR(AC10*100000000/'Calc-Units'!$C$23)," ",AC10*100000000/'Calc-Units'!$C$23)</f>
        <v>4.33970087205197E-2</v>
      </c>
      <c r="AL10" s="2">
        <v>0.23499999999999999</v>
      </c>
      <c r="AM10" s="2">
        <f t="shared" si="3"/>
        <v>5.5477534470969303</v>
      </c>
      <c r="AN10" s="2">
        <f t="shared" si="4"/>
        <v>18.059708029911285</v>
      </c>
      <c r="AQ10" s="2">
        <f t="shared" si="6"/>
        <v>2.007320043137597</v>
      </c>
      <c r="AR10" s="2">
        <f t="shared" si="6"/>
        <v>4.0142824110769642</v>
      </c>
      <c r="AS10" s="2">
        <f t="shared" si="6"/>
        <v>0.43896661957119365</v>
      </c>
      <c r="AT10" s="2">
        <f t="shared" si="6"/>
        <v>5.6716679019073926</v>
      </c>
      <c r="AU10" s="2">
        <f t="shared" si="6"/>
        <v>5.9274710542181346</v>
      </c>
      <c r="AX10" s="2">
        <f>IF(ISERROR(AQ10*100000000/'Calc-Units'!$E$23)," ",AQ10*100000000/'Calc-Units'!$E$23)</f>
        <v>7.588135467403636E-3</v>
      </c>
      <c r="AY10" s="2">
        <f>IF(ISERROR(AR10*100000000/'Calc-Units'!$D$23)," ",AR10*100000000/'Calc-Units'!$D$23)</f>
        <v>1.5520151202255356E-2</v>
      </c>
      <c r="AZ10" s="2">
        <f>IF(ISERROR(AS10*100000000/'Calc-Units'!$C$23)," ",AS10*100000000/'Calc-Units'!$C$23)</f>
        <v>2.5694604283024681E-3</v>
      </c>
      <c r="BA10" s="2">
        <f>IF(ISERROR(AT10*100000000/'Calc-Units'!$C$23)," ",AT10*100000000/'Calc-Units'!$C$23)</f>
        <v>3.3198711671197569E-2</v>
      </c>
    </row>
    <row r="11" spans="1:53">
      <c r="C11" s="2" t="s">
        <v>549</v>
      </c>
      <c r="D11" s="2">
        <f>'RRP 1.3'!H$12</f>
        <v>11.683384510026801</v>
      </c>
      <c r="E11" s="2">
        <f>SUM('RRP 2.3'!G20:G27)</f>
        <v>2.7042198642422459</v>
      </c>
      <c r="F11" s="2">
        <f>SUM('RRP 2.3'!G17:G18)</f>
        <v>0.43626357364726914</v>
      </c>
      <c r="G11" s="2">
        <f>SUM('RRP 2.3'!G19)</f>
        <v>5.2840504964611927</v>
      </c>
      <c r="H11" s="2">
        <f>SUM('RRP 2.3'!G11:G16)</f>
        <v>1.5441125756760909</v>
      </c>
      <c r="I11" s="2">
        <f t="shared" si="5"/>
        <v>1.7147380000000032</v>
      </c>
      <c r="K11" s="2" t="s">
        <v>851</v>
      </c>
      <c r="L11" s="2">
        <f>IF(ISERROR(VLOOKUP($K11,'Calc-Drivers'!$B$17:$G$27,L$43,FALSE))," ",VLOOKUP($K11,'Calc-Drivers'!$B$17:$G$27,L$43,FALSE))</f>
        <v>0.37688402427627665</v>
      </c>
      <c r="M11" s="2">
        <f>IF(ISERROR(VLOOKUP($K11,'Calc-Drivers'!$B$17:$G$27,M$43,FALSE))," ",VLOOKUP($K11,'Calc-Drivers'!$B$17:$G$27,M$43,FALSE))</f>
        <v>0.13148746175802342</v>
      </c>
      <c r="N11" s="2">
        <f>IF(ISERROR(VLOOKUP($K11,'Calc-Drivers'!$B$17:$G$27,N$43,FALSE))," ",VLOOKUP($K11,'Calc-Drivers'!$B$17:$G$27,N$43,FALSE))</f>
        <v>3.5342219338092909E-2</v>
      </c>
      <c r="O11" s="2">
        <f>IF(ISERROR(VLOOKUP($K11,'Calc-Drivers'!$B$17:$G$27,O$43,FALSE))," ",VLOOKUP($K11,'Calc-Drivers'!$B$17:$G$27,O$43,FALSE))</f>
        <v>0.22311176209790826</v>
      </c>
      <c r="P11" s="2">
        <f>IF(ISERROR(VLOOKUP($K11,'Calc-Drivers'!$B$17:$G$27,P$43,FALSE))," ",VLOOKUP($K11,'Calc-Drivers'!$B$17:$G$27,P$43,FALSE))</f>
        <v>0.23317453252969877</v>
      </c>
      <c r="S11" s="2">
        <f t="shared" si="0"/>
        <v>0.64625735801945527</v>
      </c>
      <c r="T11" s="2">
        <f t="shared" si="0"/>
        <v>0.22546654720002998</v>
      </c>
      <c r="U11" s="2">
        <f t="shared" si="0"/>
        <v>6.0602646503362868E-2</v>
      </c>
      <c r="V11" s="2">
        <f t="shared" si="0"/>
        <v>0.3825782167162437</v>
      </c>
      <c r="W11" s="2">
        <f t="shared" si="0"/>
        <v>0.39983323156091138</v>
      </c>
      <c r="Z11" s="2">
        <f t="shared" si="1"/>
        <v>3.3504772222617012</v>
      </c>
      <c r="AA11" s="2">
        <f t="shared" si="1"/>
        <v>0.6617301208472991</v>
      </c>
      <c r="AB11" s="2">
        <f t="shared" si="1"/>
        <v>5.3446531429645558</v>
      </c>
      <c r="AC11" s="2">
        <f t="shared" si="2"/>
        <v>1.1376078586164022</v>
      </c>
      <c r="AD11" s="2">
        <f t="shared" si="2"/>
        <v>1.1889161653368439</v>
      </c>
      <c r="AG11" s="2">
        <f>IF(ISERROR(Z11*100000000/'Calc-Units'!$E$23)," ",Z11*100000000/'Calc-Units'!$E$23)</f>
        <v>1.2665581221035654E-2</v>
      </c>
      <c r="AH11" s="2">
        <f>IF(ISERROR(AA11*100000000/'Calc-Units'!$D$23)," ",AA11*100000000/'Calc-Units'!$D$23)</f>
        <v>2.5584028423853425E-3</v>
      </c>
      <c r="AI11" s="2">
        <f>IF(ISERROR(AB11*100000000/'Calc-Units'!$C$23)," ",AB11*100000000/'Calc-Units'!$C$23)</f>
        <v>3.128455363477263E-2</v>
      </c>
      <c r="AJ11" s="2">
        <f>IF(ISERROR(AC11*100000000/'Calc-Units'!$C$23)," ",AC11*100000000/'Calc-Units'!$C$23)</f>
        <v>6.6589080930484802E-3</v>
      </c>
      <c r="AL11" s="2">
        <v>0.23499999999999999</v>
      </c>
      <c r="AM11" s="2">
        <f t="shared" si="3"/>
        <v>2.7455953598562983</v>
      </c>
      <c r="AN11" s="2">
        <f t="shared" si="4"/>
        <v>8.937789150170504</v>
      </c>
      <c r="AQ11" s="2">
        <f t="shared" si="6"/>
        <v>2.5631150750302014</v>
      </c>
      <c r="AR11" s="2">
        <f t="shared" si="6"/>
        <v>0.50622354244818379</v>
      </c>
      <c r="AS11" s="2">
        <f t="shared" si="6"/>
        <v>4.088659654367885</v>
      </c>
      <c r="AT11" s="2">
        <f t="shared" si="6"/>
        <v>0.87027001184154773</v>
      </c>
      <c r="AU11" s="2">
        <f t="shared" si="6"/>
        <v>0.9095208664826856</v>
      </c>
      <c r="AX11" s="2">
        <f>IF(ISERROR(AQ11*100000000/'Calc-Units'!$E$23)," ",AQ11*100000000/'Calc-Units'!$E$23)</f>
        <v>9.6891696340922744E-3</v>
      </c>
      <c r="AY11" s="2">
        <f>IF(ISERROR(AR11*100000000/'Calc-Units'!$D$23)," ",AR11*100000000/'Calc-Units'!$D$23)</f>
        <v>1.9571781744247871E-3</v>
      </c>
      <c r="AZ11" s="2">
        <f>IF(ISERROR(AS11*100000000/'Calc-Units'!$C$23)," ",AS11*100000000/'Calc-Units'!$C$23)</f>
        <v>2.3932683530601059E-2</v>
      </c>
      <c r="BA11" s="2">
        <f>IF(ISERROR(AT11*100000000/'Calc-Units'!$C$23)," ",AT11*100000000/'Calc-Units'!$C$23)</f>
        <v>5.094064691182087E-3</v>
      </c>
    </row>
    <row r="12" spans="1:53" ht="16.5" customHeight="1">
      <c r="C12" s="2" t="s">
        <v>550</v>
      </c>
      <c r="D12" s="2">
        <f>'RRP 1.3'!I$12</f>
        <v>4.9082775940000003</v>
      </c>
      <c r="E12" s="2">
        <f>'RRP 2.3'!G46+'RRP 2.3'!G47</f>
        <v>0.54126135383944951</v>
      </c>
      <c r="F12" s="2">
        <f>'RRP 2.3'!G45</f>
        <v>5.2820475418532782</v>
      </c>
      <c r="G12" s="2">
        <v>0</v>
      </c>
      <c r="H12" s="2">
        <f>'RRP 2.3'!G44</f>
        <v>3.1008321843072717</v>
      </c>
      <c r="I12" s="2">
        <f t="shared" si="5"/>
        <v>-4.0158634859999989</v>
      </c>
      <c r="K12" s="2" t="s">
        <v>851</v>
      </c>
      <c r="L12" s="2">
        <f>IF(ISERROR(VLOOKUP($K12,'Calc-Drivers'!$B$17:$G$27,L$43,FALSE))," ",VLOOKUP($K12,'Calc-Drivers'!$B$17:$G$27,L$43,FALSE))</f>
        <v>0.37688402427627665</v>
      </c>
      <c r="M12" s="2">
        <f>IF(ISERROR(VLOOKUP($K12,'Calc-Drivers'!$B$17:$G$27,M$43,FALSE))," ",VLOOKUP($K12,'Calc-Drivers'!$B$17:$G$27,M$43,FALSE))</f>
        <v>0.13148746175802342</v>
      </c>
      <c r="N12" s="2">
        <f>IF(ISERROR(VLOOKUP($K12,'Calc-Drivers'!$B$17:$G$27,N$43,FALSE))," ",VLOOKUP($K12,'Calc-Drivers'!$B$17:$G$27,N$43,FALSE))</f>
        <v>3.5342219338092909E-2</v>
      </c>
      <c r="O12" s="2">
        <f>IF(ISERROR(VLOOKUP($K12,'Calc-Drivers'!$B$17:$G$27,O$43,FALSE))," ",VLOOKUP($K12,'Calc-Drivers'!$B$17:$G$27,O$43,FALSE))</f>
        <v>0.22311176209790826</v>
      </c>
      <c r="P12" s="2">
        <f>IF(ISERROR(VLOOKUP($K12,'Calc-Drivers'!$B$17:$G$27,P$43,FALSE))," ",VLOOKUP($K12,'Calc-Drivers'!$B$17:$G$27,P$43,FALSE))</f>
        <v>0.23317453252969877</v>
      </c>
      <c r="S12" s="2">
        <f t="shared" si="0"/>
        <v>-1.5135147915478366</v>
      </c>
      <c r="T12" s="2">
        <f t="shared" si="0"/>
        <v>-0.52803569654086746</v>
      </c>
      <c r="U12" s="2">
        <f t="shared" si="0"/>
        <v>-0.14192952815405036</v>
      </c>
      <c r="V12" s="2">
        <f t="shared" si="0"/>
        <v>-0.89598637870610831</v>
      </c>
      <c r="W12" s="2">
        <f t="shared" si="0"/>
        <v>-0.93639709105113622</v>
      </c>
      <c r="Z12" s="2">
        <f t="shared" si="1"/>
        <v>-0.97225343770838712</v>
      </c>
      <c r="AA12" s="2">
        <f t="shared" si="1"/>
        <v>4.7540118453124105</v>
      </c>
      <c r="AB12" s="2">
        <f t="shared" si="1"/>
        <v>-0.14192952815405036</v>
      </c>
      <c r="AC12" s="2">
        <f t="shared" si="2"/>
        <v>0.62023740613347844</v>
      </c>
      <c r="AD12" s="2">
        <f t="shared" si="2"/>
        <v>0.6482113084165485</v>
      </c>
      <c r="AG12" s="2">
        <f>IF(ISERROR(Z12*100000000/'Calc-Units'!$E$23)," ",Z12*100000000/'Calc-Units'!$E$23)</f>
        <v>-3.6753435602866675E-3</v>
      </c>
      <c r="AH12" s="2">
        <f>IF(ISERROR(AA12*100000000/'Calc-Units'!$D$23)," ",AA12*100000000/'Calc-Units'!$D$23)</f>
        <v>1.8380117565462189E-2</v>
      </c>
      <c r="AI12" s="2">
        <f>IF(ISERROR(AB12*100000000/'Calc-Units'!$C$23)," ",AB12*100000000/'Calc-Units'!$C$23)</f>
        <v>-8.3077457360132491E-4</v>
      </c>
      <c r="AJ12" s="2">
        <f>IF(ISERROR(AC12*100000000/'Calc-Units'!$C$23)," ",AC12*100000000/'Calc-Units'!$C$23)</f>
        <v>3.6305163084375935E-3</v>
      </c>
      <c r="AL12" s="2">
        <v>0.23499999999999999</v>
      </c>
      <c r="AM12" s="2">
        <f t="shared" si="3"/>
        <v>1.1534452345899999</v>
      </c>
      <c r="AN12" s="2">
        <f t="shared" si="4"/>
        <v>3.7548323594100004</v>
      </c>
      <c r="AQ12" s="2">
        <f t="shared" si="6"/>
        <v>-0.74377387984691612</v>
      </c>
      <c r="AR12" s="2">
        <f t="shared" si="6"/>
        <v>3.6368190616639939</v>
      </c>
      <c r="AS12" s="2">
        <f t="shared" si="6"/>
        <v>-0.10857608903784852</v>
      </c>
      <c r="AT12" s="2">
        <f t="shared" si="6"/>
        <v>0.474481615692111</v>
      </c>
      <c r="AU12" s="2">
        <f t="shared" si="6"/>
        <v>0.4958816509386596</v>
      </c>
      <c r="AX12" s="2">
        <f>IF(ISERROR(AQ12*100000000/'Calc-Units'!$E$23)," ",AQ12*100000000/'Calc-Units'!$E$23)</f>
        <v>-2.8116378236193004E-3</v>
      </c>
      <c r="AY12" s="2">
        <f>IF(ISERROR(AR12*100000000/'Calc-Units'!$D$23)," ",AR12*100000000/'Calc-Units'!$D$23)</f>
        <v>1.4060789937578574E-2</v>
      </c>
      <c r="AZ12" s="2">
        <f>IF(ISERROR(AS12*100000000/'Calc-Units'!$C$23)," ",AS12*100000000/'Calc-Units'!$C$23)</f>
        <v>-6.3554254880501359E-4</v>
      </c>
      <c r="BA12" s="2">
        <f>IF(ISERROR(AT12*100000000/'Calc-Units'!$C$23)," ",AT12*100000000/'Calc-Units'!$C$23)</f>
        <v>2.777344975954759E-3</v>
      </c>
    </row>
    <row r="13" spans="1:53" ht="12.75" customHeight="1">
      <c r="B13" s="2" t="s">
        <v>852</v>
      </c>
      <c r="C13" s="2" t="s">
        <v>551</v>
      </c>
      <c r="D13" s="2">
        <f>'RRP 1.3'!J$12</f>
        <v>0.77486938446319986</v>
      </c>
      <c r="E13" s="2">
        <v>0</v>
      </c>
      <c r="F13" s="2">
        <v>0</v>
      </c>
      <c r="G13" s="2">
        <v>0</v>
      </c>
      <c r="H13" s="2">
        <v>0</v>
      </c>
      <c r="I13" s="2">
        <f t="shared" si="5"/>
        <v>0.77486938446319986</v>
      </c>
      <c r="K13" s="2" t="s">
        <v>851</v>
      </c>
      <c r="L13" s="2">
        <f>IF(ISERROR(VLOOKUP($K13,'Calc-Drivers'!$B$17:$G$27,L$43,FALSE))," ",VLOOKUP($K13,'Calc-Drivers'!$B$17:$G$27,L$43,FALSE))</f>
        <v>0.37688402427627665</v>
      </c>
      <c r="M13" s="2">
        <f>IF(ISERROR(VLOOKUP($K13,'Calc-Drivers'!$B$17:$G$27,M$43,FALSE))," ",VLOOKUP($K13,'Calc-Drivers'!$B$17:$G$27,M$43,FALSE))</f>
        <v>0.13148746175802342</v>
      </c>
      <c r="N13" s="2">
        <f>IF(ISERROR(VLOOKUP($K13,'Calc-Drivers'!$B$17:$G$27,N$43,FALSE))," ",VLOOKUP($K13,'Calc-Drivers'!$B$17:$G$27,N$43,FALSE))</f>
        <v>3.5342219338092909E-2</v>
      </c>
      <c r="O13" s="2">
        <f>IF(ISERROR(VLOOKUP($K13,'Calc-Drivers'!$B$17:$G$27,O$43,FALSE))," ",VLOOKUP($K13,'Calc-Drivers'!$B$17:$G$27,O$43,FALSE))</f>
        <v>0.22311176209790826</v>
      </c>
      <c r="P13" s="2">
        <f>IF(ISERROR(VLOOKUP($K13,'Calc-Drivers'!$B$17:$G$27,P$43,FALSE))," ",VLOOKUP($K13,'Calc-Drivers'!$B$17:$G$27,P$43,FALSE))</f>
        <v>0.23317453252969877</v>
      </c>
      <c r="S13" s="2">
        <f t="shared" si="0"/>
        <v>0.29203589190497214</v>
      </c>
      <c r="T13" s="2">
        <f t="shared" si="0"/>
        <v>0.10188560855706814</v>
      </c>
      <c r="U13" s="2">
        <f t="shared" si="0"/>
        <v>2.7385603744071452E-2</v>
      </c>
      <c r="V13" s="2">
        <f t="shared" si="0"/>
        <v>0.17288247376330607</v>
      </c>
      <c r="W13" s="2">
        <f t="shared" si="0"/>
        <v>0.18067980649378207</v>
      </c>
      <c r="Z13" s="2">
        <f t="shared" si="1"/>
        <v>0.29203589190497214</v>
      </c>
      <c r="AA13" s="2">
        <f t="shared" si="1"/>
        <v>0.10188560855706814</v>
      </c>
      <c r="AB13" s="2">
        <f t="shared" si="1"/>
        <v>2.7385603744071452E-2</v>
      </c>
      <c r="AC13" s="2">
        <f t="shared" si="2"/>
        <v>0.17288247376330607</v>
      </c>
      <c r="AD13" s="2">
        <f t="shared" si="2"/>
        <v>0.18067980649378207</v>
      </c>
      <c r="AG13" s="2">
        <f>IF(ISERROR(Z13*100000000/'Calc-Units'!$E$23)," ",Z13*100000000/'Calc-Units'!$E$23)</f>
        <v>1.1039634246142339E-3</v>
      </c>
      <c r="AH13" s="2">
        <f>IF(ISERROR(AA13*100000000/'Calc-Units'!$D$23)," ",AA13*100000000/'Calc-Units'!$D$23)</f>
        <v>3.9391350388705439E-4</v>
      </c>
      <c r="AI13" s="2">
        <f>IF(ISERROR(AB13*100000000/'Calc-Units'!$C$23)," ",AB13*100000000/'Calc-Units'!$C$23)</f>
        <v>1.6029971753729486E-4</v>
      </c>
      <c r="AJ13" s="2">
        <f>IF(ISERROR(AC13*100000000/'Calc-Units'!$C$23)," ",AC13*100000000/'Calc-Units'!$C$23)</f>
        <v>1.0119554774251115E-3</v>
      </c>
      <c r="AL13" s="2">
        <v>0.52569999999999995</v>
      </c>
      <c r="AM13" s="2">
        <f t="shared" si="3"/>
        <v>0.4073488354123041</v>
      </c>
      <c r="AN13" s="2">
        <f t="shared" si="4"/>
        <v>0.36752054905089576</v>
      </c>
      <c r="AQ13" s="2">
        <f t="shared" si="6"/>
        <v>0.13851262353052832</v>
      </c>
      <c r="AR13" s="2">
        <f t="shared" si="6"/>
        <v>4.8324344138617428E-2</v>
      </c>
      <c r="AS13" s="2">
        <f t="shared" si="6"/>
        <v>1.2988991855813091E-2</v>
      </c>
      <c r="AT13" s="2">
        <f t="shared" si="6"/>
        <v>8.199815730593607E-2</v>
      </c>
      <c r="AU13" s="2">
        <f t="shared" si="6"/>
        <v>8.569643222000084E-2</v>
      </c>
      <c r="AX13" s="2">
        <f>IF(ISERROR(AQ13*100000000/'Calc-Units'!$E$23)," ",AQ13*100000000/'Calc-Units'!$E$23)</f>
        <v>5.2360985229453125E-4</v>
      </c>
      <c r="AY13" s="2">
        <f>IF(ISERROR(AR13*100000000/'Calc-Units'!$D$23)," ",AR13*100000000/'Calc-Units'!$D$23)</f>
        <v>1.8683317489362992E-4</v>
      </c>
      <c r="AZ13" s="2">
        <f>IF(ISERROR(AS13*100000000/'Calc-Units'!$C$23)," ",AS13*100000000/'Calc-Units'!$C$23)</f>
        <v>7.6030156027938944E-5</v>
      </c>
      <c r="BA13" s="2">
        <f>IF(ISERROR(AT13*100000000/'Calc-Units'!$C$23)," ",AT13*100000000/'Calc-Units'!$C$23)</f>
        <v>4.7997048294273043E-4</v>
      </c>
    </row>
    <row r="14" spans="1:53">
      <c r="C14" s="2" t="s">
        <v>552</v>
      </c>
      <c r="D14" s="2">
        <f>'RRP 1.3'!K$12</f>
        <v>5.6235967952637829</v>
      </c>
      <c r="E14" s="2">
        <v>0</v>
      </c>
      <c r="F14" s="2">
        <v>0</v>
      </c>
      <c r="G14" s="2">
        <v>0</v>
      </c>
      <c r="H14" s="2">
        <v>0</v>
      </c>
      <c r="I14" s="2">
        <f t="shared" si="5"/>
        <v>5.6235967952637829</v>
      </c>
      <c r="K14" s="2" t="s">
        <v>851</v>
      </c>
      <c r="L14" s="2">
        <f>IF(ISERROR(VLOOKUP($K14,'Calc-Drivers'!$B$17:$G$27,L$43,FALSE))," ",VLOOKUP($K14,'Calc-Drivers'!$B$17:$G$27,L$43,FALSE))</f>
        <v>0.37688402427627665</v>
      </c>
      <c r="M14" s="2">
        <f>IF(ISERROR(VLOOKUP($K14,'Calc-Drivers'!$B$17:$G$27,M$43,FALSE))," ",VLOOKUP($K14,'Calc-Drivers'!$B$17:$G$27,M$43,FALSE))</f>
        <v>0.13148746175802342</v>
      </c>
      <c r="N14" s="2">
        <f>IF(ISERROR(VLOOKUP($K14,'Calc-Drivers'!$B$17:$G$27,N$43,FALSE))," ",VLOOKUP($K14,'Calc-Drivers'!$B$17:$G$27,N$43,FALSE))</f>
        <v>3.5342219338092909E-2</v>
      </c>
      <c r="O14" s="2">
        <f>IF(ISERROR(VLOOKUP($K14,'Calc-Drivers'!$B$17:$G$27,O$43,FALSE))," ",VLOOKUP($K14,'Calc-Drivers'!$B$17:$G$27,O$43,FALSE))</f>
        <v>0.22311176209790826</v>
      </c>
      <c r="P14" s="2">
        <f>IF(ISERROR(VLOOKUP($K14,'Calc-Drivers'!$B$17:$G$27,P$43,FALSE))," ",VLOOKUP($K14,'Calc-Drivers'!$B$17:$G$27,P$43,FALSE))</f>
        <v>0.23317453252969877</v>
      </c>
      <c r="S14" s="2">
        <f t="shared" si="0"/>
        <v>2.1194437911061872</v>
      </c>
      <c r="T14" s="2">
        <f t="shared" si="0"/>
        <v>0.73943246855978972</v>
      </c>
      <c r="U14" s="2">
        <f t="shared" si="0"/>
        <v>0.19875039140720899</v>
      </c>
      <c r="V14" s="2">
        <f t="shared" si="0"/>
        <v>1.2546905903194525</v>
      </c>
      <c r="W14" s="2">
        <f t="shared" si="0"/>
        <v>1.3112795538711448</v>
      </c>
      <c r="Z14" s="2">
        <f t="shared" si="1"/>
        <v>2.1194437911061872</v>
      </c>
      <c r="AA14" s="2">
        <f t="shared" si="1"/>
        <v>0.73943246855978972</v>
      </c>
      <c r="AB14" s="2">
        <f t="shared" si="1"/>
        <v>0.19875039140720899</v>
      </c>
      <c r="AC14" s="2">
        <f t="shared" si="2"/>
        <v>1.2546905903194525</v>
      </c>
      <c r="AD14" s="2">
        <f t="shared" si="2"/>
        <v>1.3112795538711448</v>
      </c>
      <c r="AG14" s="2">
        <f>IF(ISERROR(Z14*100000000/'Calc-Units'!$E$23)," ",Z14*100000000/'Calc-Units'!$E$23)</f>
        <v>8.011989247774803E-3</v>
      </c>
      <c r="AH14" s="2">
        <f>IF(ISERROR(AA14*100000000/'Calc-Units'!$D$23)," ",AA14*100000000/'Calc-Units'!$D$23)</f>
        <v>2.8588182247063234E-3</v>
      </c>
      <c r="AI14" s="2">
        <f>IF(ISERROR(AB14*100000000/'Calc-Units'!$C$23)," ",AB14*100000000/'Calc-Units'!$C$23)</f>
        <v>1.1633715254460841E-3</v>
      </c>
      <c r="AJ14" s="2">
        <f>IF(ISERROR(AC14*100000000/'Calc-Units'!$C$23)," ",AC14*100000000/'Calc-Units'!$C$23)</f>
        <v>7.3442436801653748E-3</v>
      </c>
      <c r="AL14" s="2">
        <v>0.52569999999999995</v>
      </c>
      <c r="AM14" s="2">
        <f t="shared" si="3"/>
        <v>2.9563248352701703</v>
      </c>
      <c r="AN14" s="2">
        <f t="shared" si="4"/>
        <v>2.6672719599936126</v>
      </c>
      <c r="AQ14" s="2">
        <f t="shared" si="6"/>
        <v>1.0052521901216647</v>
      </c>
      <c r="AR14" s="2">
        <f t="shared" si="6"/>
        <v>0.35071281983790831</v>
      </c>
      <c r="AS14" s="2">
        <f t="shared" si="6"/>
        <v>9.4267310644439231E-2</v>
      </c>
      <c r="AT14" s="2">
        <f t="shared" si="6"/>
        <v>0.59509974698851642</v>
      </c>
      <c r="AU14" s="2">
        <f t="shared" si="6"/>
        <v>0.62193989240108405</v>
      </c>
      <c r="AX14" s="2">
        <f>IF(ISERROR(AQ14*100000000/'Calc-Units'!$E$23)," ",AQ14*100000000/'Calc-Units'!$E$23)</f>
        <v>3.8000865002195895E-3</v>
      </c>
      <c r="AY14" s="2">
        <f>IF(ISERROR(AR14*100000000/'Calc-Units'!$D$23)," ",AR14*100000000/'Calc-Units'!$D$23)</f>
        <v>1.3559374839782093E-3</v>
      </c>
      <c r="AZ14" s="2">
        <f>IF(ISERROR(AS14*100000000/'Calc-Units'!$C$23)," ",AS14*100000000/'Calc-Units'!$C$23)</f>
        <v>5.5178711451907769E-4</v>
      </c>
      <c r="BA14" s="2">
        <f>IF(ISERROR(AT14*100000000/'Calc-Units'!$C$23)," ",AT14*100000000/'Calc-Units'!$C$23)</f>
        <v>3.4833747775024375E-3</v>
      </c>
    </row>
    <row r="15" spans="1:53">
      <c r="C15" s="2" t="s">
        <v>553</v>
      </c>
      <c r="D15" s="2">
        <f>'RRP 1.3'!L$12</f>
        <v>4.1962810579107463</v>
      </c>
      <c r="E15" s="2">
        <v>0</v>
      </c>
      <c r="F15" s="2">
        <v>0</v>
      </c>
      <c r="G15" s="2">
        <v>0</v>
      </c>
      <c r="H15" s="2">
        <v>0</v>
      </c>
      <c r="I15" s="2">
        <f t="shared" si="5"/>
        <v>4.1962810579107463</v>
      </c>
      <c r="K15" s="2" t="s">
        <v>851</v>
      </c>
      <c r="L15" s="2">
        <f>IF(ISERROR(VLOOKUP($K15,'Calc-Drivers'!$B$17:$G$27,L$43,FALSE))," ",VLOOKUP($K15,'Calc-Drivers'!$B$17:$G$27,L$43,FALSE))</f>
        <v>0.37688402427627665</v>
      </c>
      <c r="M15" s="2">
        <f>IF(ISERROR(VLOOKUP($K15,'Calc-Drivers'!$B$17:$G$27,M$43,FALSE))," ",VLOOKUP($K15,'Calc-Drivers'!$B$17:$G$27,M$43,FALSE))</f>
        <v>0.13148746175802342</v>
      </c>
      <c r="N15" s="2">
        <f>IF(ISERROR(VLOOKUP($K15,'Calc-Drivers'!$B$17:$G$27,N$43,FALSE))," ",VLOOKUP($K15,'Calc-Drivers'!$B$17:$G$27,N$43,FALSE))</f>
        <v>3.5342219338092909E-2</v>
      </c>
      <c r="O15" s="2">
        <f>IF(ISERROR(VLOOKUP($K15,'Calc-Drivers'!$B$17:$G$27,O$43,FALSE))," ",VLOOKUP($K15,'Calc-Drivers'!$B$17:$G$27,O$43,FALSE))</f>
        <v>0.22311176209790826</v>
      </c>
      <c r="P15" s="2">
        <f>IF(ISERROR(VLOOKUP($K15,'Calc-Drivers'!$B$17:$G$27,P$43,FALSE))," ",VLOOKUP($K15,'Calc-Drivers'!$B$17:$G$27,P$43,FALSE))</f>
        <v>0.23317453252969877</v>
      </c>
      <c r="S15" s="2">
        <f t="shared" si="0"/>
        <v>1.5815112920997136</v>
      </c>
      <c r="T15" s="2">
        <f t="shared" si="0"/>
        <v>0.55175834512795729</v>
      </c>
      <c r="U15" s="2">
        <f t="shared" si="0"/>
        <v>0.14830588555296614</v>
      </c>
      <c r="V15" s="2">
        <f t="shared" si="0"/>
        <v>0.93623966108854118</v>
      </c>
      <c r="W15" s="2">
        <f t="shared" si="0"/>
        <v>0.97846587404156815</v>
      </c>
      <c r="Z15" s="2">
        <f t="shared" si="1"/>
        <v>1.5815112920997136</v>
      </c>
      <c r="AA15" s="2">
        <f t="shared" si="1"/>
        <v>0.55175834512795729</v>
      </c>
      <c r="AB15" s="2">
        <f t="shared" si="1"/>
        <v>0.14830588555296614</v>
      </c>
      <c r="AC15" s="2">
        <f t="shared" si="2"/>
        <v>0.93623966108854118</v>
      </c>
      <c r="AD15" s="2">
        <f t="shared" si="2"/>
        <v>0.97846587404156815</v>
      </c>
      <c r="AG15" s="2">
        <f>IF(ISERROR(Z15*100000000/'Calc-Units'!$E$23)," ",Z15*100000000/'Calc-Units'!$E$23)</f>
        <v>5.9784795995575912E-3</v>
      </c>
      <c r="AH15" s="2">
        <f>IF(ISERROR(AA15*100000000/'Calc-Units'!$D$23)," ",AA15*100000000/'Calc-Units'!$D$23)</f>
        <v>2.1332263320244784E-3</v>
      </c>
      <c r="AI15" s="2">
        <f>IF(ISERROR(AB15*100000000/'Calc-Units'!$C$23)," ",AB15*100000000/'Calc-Units'!$C$23)</f>
        <v>8.680981359925436E-4</v>
      </c>
      <c r="AJ15" s="2">
        <f>IF(ISERROR(AC15*100000000/'Calc-Units'!$C$23)," ",AC15*100000000/'Calc-Units'!$C$23)</f>
        <v>5.4802134224335121E-3</v>
      </c>
      <c r="AL15" s="2">
        <v>0.52569999999999995</v>
      </c>
      <c r="AM15" s="2">
        <f t="shared" si="3"/>
        <v>2.205984952143679</v>
      </c>
      <c r="AN15" s="2">
        <f t="shared" si="4"/>
        <v>1.9902961057670672</v>
      </c>
      <c r="AQ15" s="2">
        <f t="shared" si="6"/>
        <v>0.75011080584289425</v>
      </c>
      <c r="AR15" s="2">
        <f t="shared" si="6"/>
        <v>0.26169898309419015</v>
      </c>
      <c r="AS15" s="2">
        <f t="shared" si="6"/>
        <v>7.0341481517771851E-2</v>
      </c>
      <c r="AT15" s="2">
        <f t="shared" si="6"/>
        <v>0.44405847125429515</v>
      </c>
      <c r="AU15" s="2">
        <f t="shared" si="6"/>
        <v>0.46408636405791581</v>
      </c>
      <c r="AX15" s="2">
        <f>IF(ISERROR(AQ15*100000000/'Calc-Units'!$E$23)," ",AQ15*100000000/'Calc-Units'!$E$23)</f>
        <v>2.8355928740701661E-3</v>
      </c>
      <c r="AY15" s="2">
        <f>IF(ISERROR(AR15*100000000/'Calc-Units'!$D$23)," ",AR15*100000000/'Calc-Units'!$D$23)</f>
        <v>1.01178924927921E-3</v>
      </c>
      <c r="AZ15" s="2">
        <f>IF(ISERROR(AS15*100000000/'Calc-Units'!$C$23)," ",AS15*100000000/'Calc-Units'!$C$23)</f>
        <v>4.1173894590126349E-4</v>
      </c>
      <c r="BA15" s="2">
        <f>IF(ISERROR(AT15*100000000/'Calc-Units'!$C$23)," ",AT15*100000000/'Calc-Units'!$C$23)</f>
        <v>2.5992652262602153E-3</v>
      </c>
    </row>
    <row r="16" spans="1:53">
      <c r="C16" s="2" t="s">
        <v>554</v>
      </c>
      <c r="D16" s="2">
        <f>'RRP 1.3'!M$12</f>
        <v>23.39222530593641</v>
      </c>
      <c r="E16" s="2">
        <v>0</v>
      </c>
      <c r="F16" s="2">
        <v>0</v>
      </c>
      <c r="G16" s="2">
        <v>0</v>
      </c>
      <c r="H16" s="2">
        <v>0</v>
      </c>
      <c r="I16" s="2">
        <f t="shared" si="5"/>
        <v>23.39222530593641</v>
      </c>
      <c r="K16" s="2" t="s">
        <v>851</v>
      </c>
      <c r="L16" s="2">
        <f>IF(ISERROR(VLOOKUP($K16,'Calc-Drivers'!$B$17:$G$27,L$43,FALSE))," ",VLOOKUP($K16,'Calc-Drivers'!$B$17:$G$27,L$43,FALSE))</f>
        <v>0.37688402427627665</v>
      </c>
      <c r="M16" s="2">
        <f>IF(ISERROR(VLOOKUP($K16,'Calc-Drivers'!$B$17:$G$27,M$43,FALSE))," ",VLOOKUP($K16,'Calc-Drivers'!$B$17:$G$27,M$43,FALSE))</f>
        <v>0.13148746175802342</v>
      </c>
      <c r="N16" s="2">
        <f>IF(ISERROR(VLOOKUP($K16,'Calc-Drivers'!$B$17:$G$27,N$43,FALSE))," ",VLOOKUP($K16,'Calc-Drivers'!$B$17:$G$27,N$43,FALSE))</f>
        <v>3.5342219338092909E-2</v>
      </c>
      <c r="O16" s="2">
        <f>IF(ISERROR(VLOOKUP($K16,'Calc-Drivers'!$B$17:$G$27,O$43,FALSE))," ",VLOOKUP($K16,'Calc-Drivers'!$B$17:$G$27,O$43,FALSE))</f>
        <v>0.22311176209790826</v>
      </c>
      <c r="P16" s="2">
        <f>IF(ISERROR(VLOOKUP($K16,'Calc-Drivers'!$B$17:$G$27,P$43,FALSE))," ",VLOOKUP($K16,'Calc-Drivers'!$B$17:$G$27,P$43,FALSE))</f>
        <v>0.23317453252969877</v>
      </c>
      <c r="S16" s="2">
        <f t="shared" si="0"/>
        <v>8.8161560100786716</v>
      </c>
      <c r="T16" s="2">
        <f t="shared" si="0"/>
        <v>3.0757843303493817</v>
      </c>
      <c r="U16" s="2">
        <f t="shared" si="0"/>
        <v>0.82673315756849208</v>
      </c>
      <c r="V16" s="2">
        <f t="shared" si="0"/>
        <v>5.2190806073987535</v>
      </c>
      <c r="W16" s="2">
        <f t="shared" si="0"/>
        <v>5.4544712005411125</v>
      </c>
      <c r="Z16" s="2">
        <f t="shared" si="1"/>
        <v>8.8161560100786716</v>
      </c>
      <c r="AA16" s="2">
        <f t="shared" si="1"/>
        <v>3.0757843303493817</v>
      </c>
      <c r="AB16" s="2">
        <f t="shared" si="1"/>
        <v>0.82673315756849208</v>
      </c>
      <c r="AC16" s="2">
        <f t="shared" si="2"/>
        <v>5.2190806073987535</v>
      </c>
      <c r="AD16" s="2">
        <f t="shared" si="2"/>
        <v>5.4544712005411125</v>
      </c>
      <c r="AG16" s="2">
        <f>IF(ISERROR(Z16*100000000/'Calc-Units'!$E$23)," ",Z16*100000000/'Calc-Units'!$E$23)</f>
        <v>3.332711509305443E-2</v>
      </c>
      <c r="AH16" s="2">
        <f>IF(ISERROR(AA16*100000000/'Calc-Units'!$D$23)," ",AA16*100000000/'Calc-Units'!$D$23)</f>
        <v>1.1891698934989281E-2</v>
      </c>
      <c r="AI16" s="2">
        <f>IF(ISERROR(AB16*100000000/'Calc-Units'!$C$23)," ",AB16*100000000/'Calc-Units'!$C$23)</f>
        <v>4.8392247574835642E-3</v>
      </c>
      <c r="AJ16" s="2">
        <f>IF(ISERROR(AC16*100000000/'Calc-Units'!$C$23)," ",AC16*100000000/'Calc-Units'!$C$23)</f>
        <v>3.0549523574097126E-2</v>
      </c>
      <c r="AL16" s="2">
        <v>0.52569999999999995</v>
      </c>
      <c r="AM16" s="2">
        <f t="shared" si="3"/>
        <v>12.297292843330769</v>
      </c>
      <c r="AN16" s="2">
        <f t="shared" si="4"/>
        <v>11.094932462605641</v>
      </c>
      <c r="AQ16" s="2">
        <f t="shared" si="6"/>
        <v>4.1815027955803146</v>
      </c>
      <c r="AR16" s="2">
        <f t="shared" si="6"/>
        <v>1.4588445078847119</v>
      </c>
      <c r="AS16" s="2">
        <f t="shared" si="6"/>
        <v>0.39211953663473587</v>
      </c>
      <c r="AT16" s="2">
        <f t="shared" si="6"/>
        <v>2.4754099320892289</v>
      </c>
      <c r="AU16" s="2">
        <f t="shared" si="6"/>
        <v>2.58705569041665</v>
      </c>
      <c r="AX16" s="2">
        <f>IF(ISERROR(AQ16*100000000/'Calc-Units'!$E$23)," ",AQ16*100000000/'Calc-Units'!$E$23)</f>
        <v>1.5807050688635721E-2</v>
      </c>
      <c r="AY16" s="2">
        <f>IF(ISERROR(AR16*100000000/'Calc-Units'!$D$23)," ",AR16*100000000/'Calc-Units'!$D$23)</f>
        <v>5.6402328048654176E-3</v>
      </c>
      <c r="AZ16" s="2">
        <f>IF(ISERROR(AS16*100000000/'Calc-Units'!$C$23)," ",AS16*100000000/'Calc-Units'!$C$23)</f>
        <v>2.2952443024744549E-3</v>
      </c>
      <c r="BA16" s="2">
        <f>IF(ISERROR(AT16*100000000/'Calc-Units'!$C$23)," ",AT16*100000000/'Calc-Units'!$C$23)</f>
        <v>1.448963903119427E-2</v>
      </c>
    </row>
    <row r="17" spans="1:53">
      <c r="C17" s="2" t="s">
        <v>555</v>
      </c>
      <c r="D17" s="2">
        <f>'RRP 1.3'!N$12</f>
        <v>3.9932671215815496</v>
      </c>
      <c r="E17" s="2">
        <v>0</v>
      </c>
      <c r="F17" s="2">
        <v>0</v>
      </c>
      <c r="G17" s="2">
        <v>0</v>
      </c>
      <c r="H17" s="2">
        <v>0</v>
      </c>
      <c r="I17" s="2">
        <f t="shared" si="5"/>
        <v>3.9932671215815496</v>
      </c>
      <c r="K17" s="2" t="s">
        <v>851</v>
      </c>
      <c r="L17" s="2">
        <f>IF(ISERROR(VLOOKUP($K17,'Calc-Drivers'!$B$17:$G$27,L$43,FALSE))," ",VLOOKUP($K17,'Calc-Drivers'!$B$17:$G$27,L$43,FALSE))</f>
        <v>0.37688402427627665</v>
      </c>
      <c r="M17" s="2">
        <f>IF(ISERROR(VLOOKUP($K17,'Calc-Drivers'!$B$17:$G$27,M$43,FALSE))," ",VLOOKUP($K17,'Calc-Drivers'!$B$17:$G$27,M$43,FALSE))</f>
        <v>0.13148746175802342</v>
      </c>
      <c r="N17" s="2">
        <f>IF(ISERROR(VLOOKUP($K17,'Calc-Drivers'!$B$17:$G$27,N$43,FALSE))," ",VLOOKUP($K17,'Calc-Drivers'!$B$17:$G$27,N$43,FALSE))</f>
        <v>3.5342219338092909E-2</v>
      </c>
      <c r="O17" s="2">
        <f>IF(ISERROR(VLOOKUP($K17,'Calc-Drivers'!$B$17:$G$27,O$43,FALSE))," ",VLOOKUP($K17,'Calc-Drivers'!$B$17:$G$27,O$43,FALSE))</f>
        <v>0.22311176209790826</v>
      </c>
      <c r="P17" s="2">
        <f>IF(ISERROR(VLOOKUP($K17,'Calc-Drivers'!$B$17:$G$27,P$43,FALSE))," ",VLOOKUP($K17,'Calc-Drivers'!$B$17:$G$27,P$43,FALSE))</f>
        <v>0.23317453252969877</v>
      </c>
      <c r="S17" s="2">
        <f t="shared" si="0"/>
        <v>1.5049985827917982</v>
      </c>
      <c r="T17" s="2">
        <f t="shared" si="0"/>
        <v>0.52506455793852624</v>
      </c>
      <c r="U17" s="2">
        <f t="shared" si="0"/>
        <v>0.14113092248653006</v>
      </c>
      <c r="V17" s="2">
        <f t="shared" si="0"/>
        <v>0.89094486402370154</v>
      </c>
      <c r="W17" s="2">
        <f t="shared" si="0"/>
        <v>0.93112819434099359</v>
      </c>
      <c r="Z17" s="2">
        <f t="shared" si="1"/>
        <v>1.5049985827917982</v>
      </c>
      <c r="AA17" s="2">
        <f t="shared" si="1"/>
        <v>0.52506455793852624</v>
      </c>
      <c r="AB17" s="2">
        <f t="shared" si="1"/>
        <v>0.14113092248653006</v>
      </c>
      <c r="AC17" s="2">
        <f t="shared" si="2"/>
        <v>0.89094486402370154</v>
      </c>
      <c r="AD17" s="2">
        <f t="shared" si="2"/>
        <v>0.93112819434099359</v>
      </c>
      <c r="AG17" s="2">
        <f>IF(ISERROR(Z17*100000000/'Calc-Units'!$E$23)," ",Z17*100000000/'Calc-Units'!$E$23)</f>
        <v>5.6892438071928456E-3</v>
      </c>
      <c r="AH17" s="2">
        <f>IF(ISERROR(AA17*100000000/'Calc-Units'!$D$23)," ",AA17*100000000/'Calc-Units'!$D$23)</f>
        <v>2.030021930610765E-3</v>
      </c>
      <c r="AI17" s="2">
        <f>IF(ISERROR(AB17*100000000/'Calc-Units'!$C$23)," ",AB17*100000000/'Calc-Units'!$C$23)</f>
        <v>8.260999911410095E-4</v>
      </c>
      <c r="AJ17" s="2">
        <f>IF(ISERROR(AC17*100000000/'Calc-Units'!$C$23)," ",AC17*100000000/'Calc-Units'!$C$23)</f>
        <v>5.2150834934658252E-3</v>
      </c>
      <c r="AL17" s="2">
        <v>0.52569999999999995</v>
      </c>
      <c r="AM17" s="2">
        <f t="shared" si="3"/>
        <v>2.0992605258154202</v>
      </c>
      <c r="AN17" s="2">
        <f t="shared" si="4"/>
        <v>1.8940065957661292</v>
      </c>
      <c r="AQ17" s="2">
        <f t="shared" si="6"/>
        <v>0.71382082781814993</v>
      </c>
      <c r="AR17" s="2">
        <f t="shared" si="6"/>
        <v>0.24903811983024302</v>
      </c>
      <c r="AS17" s="2">
        <f t="shared" si="6"/>
        <v>6.6938396535361211E-2</v>
      </c>
      <c r="AT17" s="2">
        <f t="shared" si="6"/>
        <v>0.42257514900644166</v>
      </c>
      <c r="AU17" s="2">
        <f t="shared" si="6"/>
        <v>0.44163410257593333</v>
      </c>
      <c r="AX17" s="2">
        <f>IF(ISERROR(AQ17*100000000/'Calc-Units'!$E$23)," ",AQ17*100000000/'Calc-Units'!$E$23)</f>
        <v>2.698408337751567E-3</v>
      </c>
      <c r="AY17" s="2">
        <f>IF(ISERROR(AR17*100000000/'Calc-Units'!$D$23)," ",AR17*100000000/'Calc-Units'!$D$23)</f>
        <v>9.6283940168868595E-4</v>
      </c>
      <c r="AZ17" s="2">
        <f>IF(ISERROR(AS17*100000000/'Calc-Units'!$C$23)," ",AS17*100000000/'Calc-Units'!$C$23)</f>
        <v>3.9181922579818084E-4</v>
      </c>
      <c r="BA17" s="2">
        <f>IF(ISERROR(AT17*100000000/'Calc-Units'!$C$23)," ",AT17*100000000/'Calc-Units'!$C$23)</f>
        <v>2.473514100950841E-3</v>
      </c>
    </row>
    <row r="18" spans="1:53">
      <c r="C18" s="2" t="s">
        <v>556</v>
      </c>
      <c r="D18" s="2">
        <f>'RRP 1.3'!O$12</f>
        <v>1.8430952204672004</v>
      </c>
      <c r="E18" s="2">
        <v>0</v>
      </c>
      <c r="F18" s="2">
        <v>0</v>
      </c>
      <c r="G18" s="2">
        <v>0</v>
      </c>
      <c r="H18" s="2">
        <v>0</v>
      </c>
      <c r="I18" s="2">
        <f t="shared" si="5"/>
        <v>1.8430952204672004</v>
      </c>
      <c r="K18" s="2" t="s">
        <v>851</v>
      </c>
      <c r="L18" s="2">
        <f>IF(ISERROR(VLOOKUP($K18,'Calc-Drivers'!$B$17:$G$27,L$43,FALSE))," ",VLOOKUP($K18,'Calc-Drivers'!$B$17:$G$27,L$43,FALSE))</f>
        <v>0.37688402427627665</v>
      </c>
      <c r="M18" s="2">
        <f>IF(ISERROR(VLOOKUP($K18,'Calc-Drivers'!$B$17:$G$27,M$43,FALSE))," ",VLOOKUP($K18,'Calc-Drivers'!$B$17:$G$27,M$43,FALSE))</f>
        <v>0.13148746175802342</v>
      </c>
      <c r="N18" s="2">
        <f>IF(ISERROR(VLOOKUP($K18,'Calc-Drivers'!$B$17:$G$27,N$43,FALSE))," ",VLOOKUP($K18,'Calc-Drivers'!$B$17:$G$27,N$43,FALSE))</f>
        <v>3.5342219338092909E-2</v>
      </c>
      <c r="O18" s="2">
        <f>IF(ISERROR(VLOOKUP($K18,'Calc-Drivers'!$B$17:$G$27,O$43,FALSE))," ",VLOOKUP($K18,'Calc-Drivers'!$B$17:$G$27,O$43,FALSE))</f>
        <v>0.22311176209790826</v>
      </c>
      <c r="P18" s="2">
        <f>IF(ISERROR(VLOOKUP($K18,'Calc-Drivers'!$B$17:$G$27,P$43,FALSE))," ",VLOOKUP($K18,'Calc-Drivers'!$B$17:$G$27,P$43,FALSE))</f>
        <v>0.23317453252969877</v>
      </c>
      <c r="S18" s="2">
        <f t="shared" si="0"/>
        <v>0.69463314381404984</v>
      </c>
      <c r="T18" s="2">
        <f t="shared" si="0"/>
        <v>0.24234391231757677</v>
      </c>
      <c r="U18" s="2">
        <f t="shared" si="0"/>
        <v>6.5139075542742508E-2</v>
      </c>
      <c r="V18" s="2">
        <f t="shared" si="0"/>
        <v>0.4112162223526698</v>
      </c>
      <c r="W18" s="2">
        <f t="shared" si="0"/>
        <v>0.42976286644016154</v>
      </c>
      <c r="Z18" s="2">
        <f t="shared" si="1"/>
        <v>0.69463314381404984</v>
      </c>
      <c r="AA18" s="2">
        <f t="shared" si="1"/>
        <v>0.24234391231757677</v>
      </c>
      <c r="AB18" s="2">
        <f t="shared" si="1"/>
        <v>6.5139075542742508E-2</v>
      </c>
      <c r="AC18" s="2">
        <f t="shared" si="2"/>
        <v>0.4112162223526698</v>
      </c>
      <c r="AD18" s="2">
        <f t="shared" si="2"/>
        <v>0.42976286644016154</v>
      </c>
      <c r="AG18" s="2">
        <f>IF(ISERROR(Z18*100000000/'Calc-Units'!$E$23)," ",Z18*100000000/'Calc-Units'!$E$23)</f>
        <v>2.6258744406151328E-3</v>
      </c>
      <c r="AH18" s="2">
        <f>IF(ISERROR(AA18*100000000/'Calc-Units'!$D$23)," ",AA18*100000000/'Calc-Units'!$D$23)</f>
        <v>9.3695803557224957E-4</v>
      </c>
      <c r="AI18" s="2">
        <f>IF(ISERROR(AB18*100000000/'Calc-Units'!$C$23)," ",AB18*100000000/'Calc-Units'!$C$23)</f>
        <v>3.8128702612235136E-4</v>
      </c>
      <c r="AJ18" s="2">
        <f>IF(ISERROR(AC18*100000000/'Calc-Units'!$C$23)," ",AC18*100000000/'Calc-Units'!$C$23)</f>
        <v>2.4070254176578659E-3</v>
      </c>
      <c r="AL18" s="2">
        <v>0.52569999999999995</v>
      </c>
      <c r="AM18" s="2">
        <f t="shared" si="3"/>
        <v>0.96891515739960721</v>
      </c>
      <c r="AN18" s="2">
        <f t="shared" si="4"/>
        <v>0.87418006306759322</v>
      </c>
      <c r="AQ18" s="2">
        <f t="shared" si="6"/>
        <v>0.32946450011100387</v>
      </c>
      <c r="AR18" s="2">
        <f t="shared" si="6"/>
        <v>0.11494371761222667</v>
      </c>
      <c r="AS18" s="2">
        <f t="shared" si="6"/>
        <v>3.0895463529922774E-2</v>
      </c>
      <c r="AT18" s="2">
        <f t="shared" si="6"/>
        <v>0.19503985426187131</v>
      </c>
      <c r="AU18" s="2">
        <f t="shared" si="6"/>
        <v>0.20383652755256865</v>
      </c>
      <c r="AX18" s="2">
        <f>IF(ISERROR(AQ18*100000000/'Calc-Units'!$E$23)," ",AQ18*100000000/'Calc-Units'!$E$23)</f>
        <v>1.2454522471837576E-3</v>
      </c>
      <c r="AY18" s="2">
        <f>IF(ISERROR(AR18*100000000/'Calc-Units'!$D$23)," ",AR18*100000000/'Calc-Units'!$D$23)</f>
        <v>4.4439919627191799E-4</v>
      </c>
      <c r="AZ18" s="2">
        <f>IF(ISERROR(AS18*100000000/'Calc-Units'!$C$23)," ",AS18*100000000/'Calc-Units'!$C$23)</f>
        <v>1.8084443648983128E-4</v>
      </c>
      <c r="BA18" s="2">
        <f>IF(ISERROR(AT18*100000000/'Calc-Units'!$C$23)," ",AT18*100000000/'Calc-Units'!$C$23)</f>
        <v>1.1416521555951259E-3</v>
      </c>
    </row>
    <row r="19" spans="1:53">
      <c r="C19" s="2" t="s">
        <v>557</v>
      </c>
      <c r="D19" s="2">
        <f>'RRP 1.3'!P$12</f>
        <v>1.4394826722359997</v>
      </c>
      <c r="E19" s="2">
        <v>0</v>
      </c>
      <c r="F19" s="2">
        <v>0</v>
      </c>
      <c r="G19" s="2">
        <v>0</v>
      </c>
      <c r="H19" s="2">
        <v>0</v>
      </c>
      <c r="I19" s="2">
        <f t="shared" si="5"/>
        <v>1.4394826722359997</v>
      </c>
      <c r="K19" s="2" t="s">
        <v>851</v>
      </c>
      <c r="L19" s="2">
        <f>IF(ISERROR(VLOOKUP($K19,'Calc-Drivers'!$B$17:$G$27,L$43,FALSE))," ",VLOOKUP($K19,'Calc-Drivers'!$B$17:$G$27,L$43,FALSE))</f>
        <v>0.37688402427627665</v>
      </c>
      <c r="M19" s="2">
        <f>IF(ISERROR(VLOOKUP($K19,'Calc-Drivers'!$B$17:$G$27,M$43,FALSE))," ",VLOOKUP($K19,'Calc-Drivers'!$B$17:$G$27,M$43,FALSE))</f>
        <v>0.13148746175802342</v>
      </c>
      <c r="N19" s="2">
        <f>IF(ISERROR(VLOOKUP($K19,'Calc-Drivers'!$B$17:$G$27,N$43,FALSE))," ",VLOOKUP($K19,'Calc-Drivers'!$B$17:$G$27,N$43,FALSE))</f>
        <v>3.5342219338092909E-2</v>
      </c>
      <c r="O19" s="2">
        <f>IF(ISERROR(VLOOKUP($K19,'Calc-Drivers'!$B$17:$G$27,O$43,FALSE))," ",VLOOKUP($K19,'Calc-Drivers'!$B$17:$G$27,O$43,FALSE))</f>
        <v>0.22311176209790826</v>
      </c>
      <c r="P19" s="2">
        <f>IF(ISERROR(VLOOKUP($K19,'Calc-Drivers'!$B$17:$G$27,P$43,FALSE))," ",VLOOKUP($K19,'Calc-Drivers'!$B$17:$G$27,P$43,FALSE))</f>
        <v>0.23317453252969877</v>
      </c>
      <c r="S19" s="2">
        <f t="shared" si="0"/>
        <v>0.54251802238827207</v>
      </c>
      <c r="T19" s="2">
        <f t="shared" si="0"/>
        <v>0.18927392281696837</v>
      </c>
      <c r="U19" s="2">
        <f t="shared" si="0"/>
        <v>5.0874512335548808E-2</v>
      </c>
      <c r="V19" s="2">
        <f t="shared" si="0"/>
        <v>0.32116551551197958</v>
      </c>
      <c r="W19" s="2">
        <f t="shared" si="0"/>
        <v>0.33565069918323082</v>
      </c>
      <c r="Z19" s="2">
        <f t="shared" si="1"/>
        <v>0.54251802238827207</v>
      </c>
      <c r="AA19" s="2">
        <f t="shared" si="1"/>
        <v>0.18927392281696837</v>
      </c>
      <c r="AB19" s="2">
        <f t="shared" si="1"/>
        <v>5.0874512335548808E-2</v>
      </c>
      <c r="AC19" s="2">
        <f t="shared" si="2"/>
        <v>0.32116551551197958</v>
      </c>
      <c r="AD19" s="2">
        <f t="shared" si="2"/>
        <v>0.33565069918323082</v>
      </c>
      <c r="AG19" s="2">
        <f>IF(ISERROR(Z19*100000000/'Calc-Units'!$E$23)," ",Z19*100000000/'Calc-Units'!$E$23)</f>
        <v>2.0508439904557544E-3</v>
      </c>
      <c r="AH19" s="2">
        <f>IF(ISERROR(AA19*100000000/'Calc-Units'!$D$23)," ",AA19*100000000/'Calc-Units'!$D$23)</f>
        <v>7.3177708988722133E-4</v>
      </c>
      <c r="AI19" s="2">
        <f>IF(ISERROR(AB19*100000000/'Calc-Units'!$C$23)," ",AB19*100000000/'Calc-Units'!$C$23)</f>
        <v>2.9779040233873105E-4</v>
      </c>
      <c r="AJ19" s="2">
        <f>IF(ISERROR(AC19*100000000/'Calc-Units'!$C$23)," ",AC19*100000000/'Calc-Units'!$C$23)</f>
        <v>1.8799198988057807E-3</v>
      </c>
      <c r="AL19" s="2">
        <v>0.52569999999999995</v>
      </c>
      <c r="AM19" s="2">
        <f t="shared" si="3"/>
        <v>0.75673604079446499</v>
      </c>
      <c r="AN19" s="2">
        <f t="shared" si="4"/>
        <v>0.68274663144153469</v>
      </c>
      <c r="AQ19" s="2">
        <f t="shared" si="6"/>
        <v>0.25731629801875749</v>
      </c>
      <c r="AR19" s="2">
        <f t="shared" si="6"/>
        <v>8.9772621592088112E-2</v>
      </c>
      <c r="AS19" s="2">
        <f t="shared" si="6"/>
        <v>2.4129781200750801E-2</v>
      </c>
      <c r="AT19" s="2">
        <f t="shared" si="6"/>
        <v>0.15232880400733192</v>
      </c>
      <c r="AU19" s="2">
        <f t="shared" si="6"/>
        <v>0.15919912662260641</v>
      </c>
      <c r="AX19" s="2">
        <f>IF(ISERROR(AQ19*100000000/'Calc-Units'!$E$23)," ",AQ19*100000000/'Calc-Units'!$E$23)</f>
        <v>9.7271530467316449E-4</v>
      </c>
      <c r="AY19" s="2">
        <f>IF(ISERROR(AR19*100000000/'Calc-Units'!$D$23)," ",AR19*100000000/'Calc-Units'!$D$23)</f>
        <v>3.4708187373350916E-4</v>
      </c>
      <c r="AZ19" s="2">
        <f>IF(ISERROR(AS19*100000000/'Calc-Units'!$C$23)," ",AS19*100000000/'Calc-Units'!$C$23)</f>
        <v>1.4124198782926013E-4</v>
      </c>
      <c r="BA19" s="2">
        <f>IF(ISERROR(AT19*100000000/'Calc-Units'!$C$23)," ",AT19*100000000/'Calc-Units'!$C$23)</f>
        <v>8.9164600800358191E-4</v>
      </c>
    </row>
    <row r="20" spans="1:53">
      <c r="C20" s="2" t="s">
        <v>558</v>
      </c>
      <c r="D20" s="2">
        <f>'RRP 1.3'!Q$12</f>
        <v>1.3630810727301883</v>
      </c>
      <c r="E20" s="2">
        <v>0</v>
      </c>
      <c r="F20" s="2">
        <v>0</v>
      </c>
      <c r="G20" s="2">
        <v>0</v>
      </c>
      <c r="H20" s="2">
        <v>0</v>
      </c>
      <c r="I20" s="2">
        <f t="shared" si="5"/>
        <v>1.3630810727301883</v>
      </c>
      <c r="K20" s="2" t="s">
        <v>851</v>
      </c>
      <c r="L20" s="2">
        <f>IF(ISERROR(VLOOKUP($K20,'Calc-Drivers'!$B$17:$G$27,L$43,FALSE))," ",VLOOKUP($K20,'Calc-Drivers'!$B$17:$G$27,L$43,FALSE))</f>
        <v>0.37688402427627665</v>
      </c>
      <c r="M20" s="2">
        <f>IF(ISERROR(VLOOKUP($K20,'Calc-Drivers'!$B$17:$G$27,M$43,FALSE))," ",VLOOKUP($K20,'Calc-Drivers'!$B$17:$G$27,M$43,FALSE))</f>
        <v>0.13148746175802342</v>
      </c>
      <c r="N20" s="2">
        <f>IF(ISERROR(VLOOKUP($K20,'Calc-Drivers'!$B$17:$G$27,N$43,FALSE))," ",VLOOKUP($K20,'Calc-Drivers'!$B$17:$G$27,N$43,FALSE))</f>
        <v>3.5342219338092909E-2</v>
      </c>
      <c r="O20" s="2">
        <f>IF(ISERROR(VLOOKUP($K20,'Calc-Drivers'!$B$17:$G$27,O$43,FALSE))," ",VLOOKUP($K20,'Calc-Drivers'!$B$17:$G$27,O$43,FALSE))</f>
        <v>0.22311176209790826</v>
      </c>
      <c r="P20" s="2">
        <f>IF(ISERROR(VLOOKUP($K20,'Calc-Drivers'!$B$17:$G$27,P$43,FALSE))," ",VLOOKUP($K20,'Calc-Drivers'!$B$17:$G$27,P$43,FALSE))</f>
        <v>0.23317453252969877</v>
      </c>
      <c r="S20" s="2">
        <f t="shared" si="0"/>
        <v>0.51372348010537749</v>
      </c>
      <c r="T20" s="2">
        <f t="shared" si="0"/>
        <v>0.17922807042369618</v>
      </c>
      <c r="U20" s="2">
        <f t="shared" si="0"/>
        <v>4.8174310248033286E-2</v>
      </c>
      <c r="V20" s="2">
        <f t="shared" si="0"/>
        <v>0.30411942001913933</v>
      </c>
      <c r="W20" s="2">
        <f t="shared" si="0"/>
        <v>0.31783579193394201</v>
      </c>
      <c r="Z20" s="2">
        <f t="shared" si="1"/>
        <v>0.51372348010537749</v>
      </c>
      <c r="AA20" s="2">
        <f t="shared" si="1"/>
        <v>0.17922807042369618</v>
      </c>
      <c r="AB20" s="2">
        <f t="shared" si="1"/>
        <v>4.8174310248033286E-2</v>
      </c>
      <c r="AC20" s="2">
        <f t="shared" si="2"/>
        <v>0.30411942001913933</v>
      </c>
      <c r="AD20" s="2">
        <f t="shared" si="2"/>
        <v>0.31783579193394201</v>
      </c>
      <c r="AG20" s="2">
        <f>IF(ISERROR(Z20*100000000/'Calc-Units'!$E$23)," ",Z20*100000000/'Calc-Units'!$E$23)</f>
        <v>1.9419939402051934E-3</v>
      </c>
      <c r="AH20" s="2">
        <f>IF(ISERROR(AA20*100000000/'Calc-Units'!$D$23)," ",AA20*100000000/'Calc-Units'!$D$23)</f>
        <v>6.9293748366796323E-4</v>
      </c>
      <c r="AI20" s="2">
        <f>IF(ISERROR(AB20*100000000/'Calc-Units'!$C$23)," ",AB20*100000000/'Calc-Units'!$C$23)</f>
        <v>2.8198495813646268E-4</v>
      </c>
      <c r="AJ20" s="2">
        <f>IF(ISERROR(AC20*100000000/'Calc-Units'!$C$23)," ",AC20*100000000/'Calc-Units'!$C$23)</f>
        <v>1.7801417701892959E-3</v>
      </c>
      <c r="AL20" s="2">
        <v>0.52569999999999995</v>
      </c>
      <c r="AM20" s="2">
        <f t="shared" si="3"/>
        <v>0.71657171993425994</v>
      </c>
      <c r="AN20" s="2">
        <f t="shared" si="4"/>
        <v>0.64650935279592836</v>
      </c>
      <c r="AQ20" s="2">
        <f t="shared" si="6"/>
        <v>0.24365904661398058</v>
      </c>
      <c r="AR20" s="2">
        <f t="shared" si="6"/>
        <v>8.5007873801959108E-2</v>
      </c>
      <c r="AS20" s="2">
        <f t="shared" si="6"/>
        <v>2.2849075350642189E-2</v>
      </c>
      <c r="AT20" s="2">
        <f t="shared" si="6"/>
        <v>0.1442438409150778</v>
      </c>
      <c r="AU20" s="2">
        <f t="shared" si="6"/>
        <v>0.15074951611426871</v>
      </c>
      <c r="AX20" s="2">
        <f>IF(ISERROR(AQ20*100000000/'Calc-Units'!$E$23)," ",AQ20*100000000/'Calc-Units'!$E$23)</f>
        <v>9.2108772583932334E-4</v>
      </c>
      <c r="AY20" s="2">
        <f>IF(ISERROR(AR20*100000000/'Calc-Units'!$D$23)," ",AR20*100000000/'Calc-Units'!$D$23)</f>
        <v>3.2866024850371499E-4</v>
      </c>
      <c r="AZ20" s="2">
        <f>IF(ISERROR(AS20*100000000/'Calc-Units'!$C$23)," ",AS20*100000000/'Calc-Units'!$C$23)</f>
        <v>1.3374546564412428E-4</v>
      </c>
      <c r="BA20" s="2">
        <f>IF(ISERROR(AT20*100000000/'Calc-Units'!$C$23)," ",AT20*100000000/'Calc-Units'!$C$23)</f>
        <v>8.443212416007832E-4</v>
      </c>
    </row>
    <row r="21" spans="1:53">
      <c r="C21" s="2" t="s">
        <v>559</v>
      </c>
      <c r="D21" s="2">
        <f>'RRP 1.3'!R$12</f>
        <v>5.4399459945200013</v>
      </c>
      <c r="E21" s="2">
        <v>0</v>
      </c>
      <c r="F21" s="2">
        <v>0</v>
      </c>
      <c r="G21" s="2">
        <v>0</v>
      </c>
      <c r="H21" s="2">
        <v>0</v>
      </c>
      <c r="I21" s="2">
        <f t="shared" si="5"/>
        <v>5.4399459945200013</v>
      </c>
      <c r="K21" s="2" t="s">
        <v>851</v>
      </c>
      <c r="L21" s="2">
        <f>IF(ISERROR(VLOOKUP($K21,'Calc-Drivers'!$B$17:$G$27,L$43,FALSE))," ",VLOOKUP($K21,'Calc-Drivers'!$B$17:$G$27,L$43,FALSE))</f>
        <v>0.37688402427627665</v>
      </c>
      <c r="M21" s="2">
        <f>IF(ISERROR(VLOOKUP($K21,'Calc-Drivers'!$B$17:$G$27,M$43,FALSE))," ",VLOOKUP($K21,'Calc-Drivers'!$B$17:$G$27,M$43,FALSE))</f>
        <v>0.13148746175802342</v>
      </c>
      <c r="N21" s="2">
        <f>IF(ISERROR(VLOOKUP($K21,'Calc-Drivers'!$B$17:$G$27,N$43,FALSE))," ",VLOOKUP($K21,'Calc-Drivers'!$B$17:$G$27,N$43,FALSE))</f>
        <v>3.5342219338092909E-2</v>
      </c>
      <c r="O21" s="2">
        <f>IF(ISERROR(VLOOKUP($K21,'Calc-Drivers'!$B$17:$G$27,O$43,FALSE))," ",VLOOKUP($K21,'Calc-Drivers'!$B$17:$G$27,O$43,FALSE))</f>
        <v>0.22311176209790826</v>
      </c>
      <c r="P21" s="2">
        <f>IF(ISERROR(VLOOKUP($K21,'Calc-Drivers'!$B$17:$G$27,P$43,FALSE))," ",VLOOKUP($K21,'Calc-Drivers'!$B$17:$G$27,P$43,FALSE))</f>
        <v>0.23317453252969877</v>
      </c>
      <c r="S21" s="2">
        <f t="shared" si="0"/>
        <v>2.0502287382603099</v>
      </c>
      <c r="T21" s="2">
        <f t="shared" si="0"/>
        <v>0.71528469092016134</v>
      </c>
      <c r="U21" s="2">
        <f t="shared" si="0"/>
        <v>0.19225976452570584</v>
      </c>
      <c r="V21" s="2">
        <f t="shared" si="0"/>
        <v>1.2137159365548154</v>
      </c>
      <c r="W21" s="2">
        <f t="shared" si="0"/>
        <v>1.2684568642590086</v>
      </c>
      <c r="Z21" s="2">
        <f t="shared" si="1"/>
        <v>2.0502287382603099</v>
      </c>
      <c r="AA21" s="2">
        <f t="shared" si="1"/>
        <v>0.71528469092016134</v>
      </c>
      <c r="AB21" s="2">
        <f t="shared" si="1"/>
        <v>0.19225976452570584</v>
      </c>
      <c r="AC21" s="2">
        <f t="shared" si="2"/>
        <v>1.2137159365548154</v>
      </c>
      <c r="AD21" s="2">
        <f t="shared" si="2"/>
        <v>1.2684568642590086</v>
      </c>
      <c r="AG21" s="2">
        <f>IF(ISERROR(Z21*100000000/'Calc-Units'!$E$23)," ",Z21*100000000/'Calc-Units'!$E$23)</f>
        <v>7.7503402899150144E-3</v>
      </c>
      <c r="AH21" s="2">
        <f>IF(ISERROR(AA21*100000000/'Calc-Units'!$D$23)," ",AA21*100000000/'Calc-Units'!$D$23)</f>
        <v>2.765457289478817E-3</v>
      </c>
      <c r="AI21" s="2">
        <f>IF(ISERROR(AB21*100000000/'Calc-Units'!$C$23)," ",AB21*100000000/'Calc-Units'!$C$23)</f>
        <v>1.1253790946248294E-3</v>
      </c>
      <c r="AJ21" s="2">
        <f>IF(ISERROR(AC21*100000000/'Calc-Units'!$C$23)," ",AC21*100000000/'Calc-Units'!$C$23)</f>
        <v>7.1044014080707991E-3</v>
      </c>
      <c r="AL21" s="2">
        <v>0.52569999999999995</v>
      </c>
      <c r="AM21" s="2">
        <f t="shared" si="3"/>
        <v>2.8597796093191645</v>
      </c>
      <c r="AN21" s="2">
        <f t="shared" si="4"/>
        <v>2.5801663852008367</v>
      </c>
      <c r="AQ21" s="2">
        <f t="shared" si="6"/>
        <v>0.97242349055686517</v>
      </c>
      <c r="AR21" s="2">
        <f t="shared" si="6"/>
        <v>0.33925952890343258</v>
      </c>
      <c r="AS21" s="2">
        <f t="shared" si="6"/>
        <v>9.1188806314542292E-2</v>
      </c>
      <c r="AT21" s="2">
        <f t="shared" si="6"/>
        <v>0.57566546870794899</v>
      </c>
      <c r="AU21" s="2">
        <f t="shared" si="6"/>
        <v>0.60162909071804782</v>
      </c>
      <c r="AX21" s="2">
        <f>IF(ISERROR(AQ21*100000000/'Calc-Units'!$E$23)," ",AQ21*100000000/'Calc-Units'!$E$23)</f>
        <v>3.6759863995066921E-3</v>
      </c>
      <c r="AY21" s="2">
        <f>IF(ISERROR(AR21*100000000/'Calc-Units'!$D$23)," ",AR21*100000000/'Calc-Units'!$D$23)</f>
        <v>1.3116563923998032E-3</v>
      </c>
      <c r="AZ21" s="2">
        <f>IF(ISERROR(AS21*100000000/'Calc-Units'!$C$23)," ",AS21*100000000/'Calc-Units'!$C$23)</f>
        <v>5.3376730458055662E-4</v>
      </c>
      <c r="BA21" s="2">
        <f>IF(ISERROR(AT21*100000000/'Calc-Units'!$C$23)," ",AT21*100000000/'Calc-Units'!$C$23)</f>
        <v>3.3696175878479805E-3</v>
      </c>
    </row>
    <row r="22" spans="1:53">
      <c r="C22" s="2" t="s">
        <v>560</v>
      </c>
      <c r="D22" s="2">
        <f>'RRP 1.3'!S$12</f>
        <v>11.413705956353251</v>
      </c>
      <c r="E22" s="2">
        <v>0</v>
      </c>
      <c r="F22" s="2">
        <v>0</v>
      </c>
      <c r="G22" s="2">
        <v>0</v>
      </c>
      <c r="H22" s="2">
        <v>0</v>
      </c>
      <c r="I22" s="2">
        <f t="shared" si="5"/>
        <v>11.413705956353251</v>
      </c>
      <c r="K22" s="2" t="s">
        <v>853</v>
      </c>
      <c r="L22" s="2" t="str">
        <f>IF(ISERROR(VLOOKUP($K22,'Calc-Drivers'!$B$17:$G$27,L$43,FALSE))," ",VLOOKUP($K22,'Calc-Drivers'!$B$17:$G$27,L$43,FALSE))</f>
        <v xml:space="preserve"> </v>
      </c>
      <c r="M22" s="2" t="str">
        <f>IF(ISERROR(VLOOKUP($K22,'Calc-Drivers'!$B$17:$G$27,M$43,FALSE))," ",VLOOKUP($K22,'Calc-Drivers'!$B$17:$G$27,M$43,FALSE))</f>
        <v xml:space="preserve"> </v>
      </c>
      <c r="N22" s="2" t="str">
        <f>IF(ISERROR(VLOOKUP($K22,'Calc-Drivers'!$B$17:$G$27,N$43,FALSE))," ",VLOOKUP($K22,'Calc-Drivers'!$B$17:$G$27,N$43,FALSE))</f>
        <v xml:space="preserve"> </v>
      </c>
      <c r="O22" s="2" t="str">
        <f>IF(ISERROR(VLOOKUP($K22,'Calc-Drivers'!$B$17:$G$27,O$43,FALSE))," ",VLOOKUP($K22,'Calc-Drivers'!$B$17:$G$27,O$43,FALSE))</f>
        <v xml:space="preserve"> </v>
      </c>
      <c r="P22" s="2" t="str">
        <f>IF(ISERROR(VLOOKUP($K22,'Calc-Drivers'!$B$17:$G$27,P$43,FALSE))," ",VLOOKUP($K22,'Calc-Drivers'!$B$17:$G$27,P$43,FALSE))</f>
        <v xml:space="preserve"> </v>
      </c>
      <c r="S22" s="2" t="str">
        <f t="shared" si="0"/>
        <v xml:space="preserve"> </v>
      </c>
      <c r="T22" s="2" t="str">
        <f t="shared" si="0"/>
        <v xml:space="preserve"> </v>
      </c>
      <c r="U22" s="2" t="str">
        <f t="shared" si="0"/>
        <v xml:space="preserve"> </v>
      </c>
      <c r="V22" s="2" t="str">
        <f t="shared" si="0"/>
        <v xml:space="preserve"> </v>
      </c>
      <c r="W22" s="2" t="str">
        <f t="shared" si="0"/>
        <v xml:space="preserve"> </v>
      </c>
      <c r="Z22" s="2" t="str">
        <f t="shared" si="1"/>
        <v xml:space="preserve"> </v>
      </c>
      <c r="AA22" s="2" t="str">
        <f t="shared" si="1"/>
        <v xml:space="preserve"> </v>
      </c>
      <c r="AB22" s="2" t="str">
        <f t="shared" si="1"/>
        <v xml:space="preserve"> </v>
      </c>
      <c r="AC22" s="2" t="str">
        <f t="shared" si="2"/>
        <v xml:space="preserve"> </v>
      </c>
      <c r="AD22" s="2" t="str">
        <f t="shared" si="2"/>
        <v xml:space="preserve"> </v>
      </c>
      <c r="AG22" s="2" t="str">
        <f>IF(ISERROR(Z22*100000000/'Calc-Units'!$E$23)," ",Z22*100000000/'Calc-Units'!$E$23)</f>
        <v xml:space="preserve"> </v>
      </c>
      <c r="AH22" s="2" t="str">
        <f>IF(ISERROR(AA22*100000000/'Calc-Units'!$D$23)," ",AA22*100000000/'Calc-Units'!$D$23)</f>
        <v xml:space="preserve"> </v>
      </c>
      <c r="AI22" s="2" t="str">
        <f>IF(ISERROR(AB22*100000000/'Calc-Units'!$C$23)," ",AB22*100000000/'Calc-Units'!$C$23)</f>
        <v xml:space="preserve"> </v>
      </c>
      <c r="AJ22" s="2" t="str">
        <f>IF(ISERROR(AC22*100000000/'Calc-Units'!$C$23)," ",AC22*100000000/'Calc-Units'!$C$23)</f>
        <v xml:space="preserve"> </v>
      </c>
      <c r="AL22" s="2">
        <v>0.52569999999999995</v>
      </c>
      <c r="AM22" s="2">
        <f t="shared" si="3"/>
        <v>6.0001852212549034</v>
      </c>
      <c r="AN22" s="2">
        <f t="shared" si="4"/>
        <v>5.4135207350983476</v>
      </c>
      <c r="AQ22" s="2" t="str">
        <f t="shared" si="6"/>
        <v xml:space="preserve"> </v>
      </c>
      <c r="AR22" s="2" t="str">
        <f t="shared" si="6"/>
        <v xml:space="preserve"> </v>
      </c>
      <c r="AS22" s="2" t="str">
        <f t="shared" si="6"/>
        <v xml:space="preserve"> </v>
      </c>
      <c r="AT22" s="2" t="str">
        <f t="shared" si="6"/>
        <v xml:space="preserve"> </v>
      </c>
      <c r="AU22" s="2" t="str">
        <f t="shared" si="6"/>
        <v xml:space="preserve"> </v>
      </c>
      <c r="AX22" s="2" t="str">
        <f>IF(ISERROR(AQ22*100000000/'Calc-Units'!$E$23)," ",AQ22*100000000/'Calc-Units'!$E$23)</f>
        <v xml:space="preserve"> </v>
      </c>
      <c r="AY22" s="2" t="str">
        <f>IF(ISERROR(AR22*100000000/'Calc-Units'!$D$23)," ",AR22*100000000/'Calc-Units'!$D$23)</f>
        <v xml:space="preserve"> </v>
      </c>
      <c r="AZ22" s="2" t="str">
        <f>IF(ISERROR(AS22*100000000/'Calc-Units'!$C$23)," ",AS22*100000000/'Calc-Units'!$C$23)</f>
        <v xml:space="preserve"> </v>
      </c>
      <c r="BA22" s="2" t="str">
        <f>IF(ISERROR(AT22*100000000/'Calc-Units'!$C$23)," ",AT22*100000000/'Calc-Units'!$C$23)</f>
        <v xml:space="preserve"> </v>
      </c>
    </row>
    <row r="23" spans="1:53">
      <c r="C23" s="2" t="s">
        <v>561</v>
      </c>
      <c r="D23" s="2">
        <f>'RRP 1.3'!T$12</f>
        <v>5.5343552999991585</v>
      </c>
      <c r="E23" s="2">
        <v>0</v>
      </c>
      <c r="F23" s="2">
        <v>0</v>
      </c>
      <c r="G23" s="2">
        <v>0</v>
      </c>
      <c r="H23" s="2">
        <v>0</v>
      </c>
      <c r="I23" s="2">
        <f t="shared" si="5"/>
        <v>5.5343552999991585</v>
      </c>
      <c r="K23" s="2" t="s">
        <v>853</v>
      </c>
      <c r="L23" s="2" t="str">
        <f>IF(ISERROR(VLOOKUP($K23,'Calc-Drivers'!$B$17:$G$27,L$43,FALSE))," ",VLOOKUP($K23,'Calc-Drivers'!$B$17:$G$27,L$43,FALSE))</f>
        <v xml:space="preserve"> </v>
      </c>
      <c r="M23" s="2" t="str">
        <f>IF(ISERROR(VLOOKUP($K23,'Calc-Drivers'!$B$17:$G$27,M$43,FALSE))," ",VLOOKUP($K23,'Calc-Drivers'!$B$17:$G$27,M$43,FALSE))</f>
        <v xml:space="preserve"> </v>
      </c>
      <c r="N23" s="2" t="str">
        <f>IF(ISERROR(VLOOKUP($K23,'Calc-Drivers'!$B$17:$G$27,N$43,FALSE))," ",VLOOKUP($K23,'Calc-Drivers'!$B$17:$G$27,N$43,FALSE))</f>
        <v xml:space="preserve"> </v>
      </c>
      <c r="O23" s="2" t="str">
        <f>IF(ISERROR(VLOOKUP($K23,'Calc-Drivers'!$B$17:$G$27,O$43,FALSE))," ",VLOOKUP($K23,'Calc-Drivers'!$B$17:$G$27,O$43,FALSE))</f>
        <v xml:space="preserve"> </v>
      </c>
      <c r="P23" s="2" t="str">
        <f>IF(ISERROR(VLOOKUP($K23,'Calc-Drivers'!$B$17:$G$27,P$43,FALSE))," ",VLOOKUP($K23,'Calc-Drivers'!$B$17:$G$27,P$43,FALSE))</f>
        <v xml:space="preserve"> </v>
      </c>
      <c r="S23" s="2" t="str">
        <f t="shared" si="0"/>
        <v xml:space="preserve"> </v>
      </c>
      <c r="T23" s="2" t="str">
        <f t="shared" si="0"/>
        <v xml:space="preserve"> </v>
      </c>
      <c r="U23" s="2" t="str">
        <f t="shared" si="0"/>
        <v xml:space="preserve"> </v>
      </c>
      <c r="V23" s="2" t="str">
        <f t="shared" si="0"/>
        <v xml:space="preserve"> </v>
      </c>
      <c r="W23" s="2" t="str">
        <f t="shared" si="0"/>
        <v xml:space="preserve"> </v>
      </c>
      <c r="Z23" s="2" t="str">
        <f t="shared" si="1"/>
        <v xml:space="preserve"> </v>
      </c>
      <c r="AA23" s="2" t="str">
        <f t="shared" si="1"/>
        <v xml:space="preserve"> </v>
      </c>
      <c r="AB23" s="2" t="str">
        <f t="shared" si="1"/>
        <v xml:space="preserve"> </v>
      </c>
      <c r="AC23" s="2" t="str">
        <f t="shared" si="2"/>
        <v xml:space="preserve"> </v>
      </c>
      <c r="AD23" s="2" t="str">
        <f t="shared" si="2"/>
        <v xml:space="preserve"> </v>
      </c>
      <c r="AG23" s="2" t="str">
        <f>IF(ISERROR(Z23*100000000/'Calc-Units'!$E$23)," ",Z23*100000000/'Calc-Units'!$E$23)</f>
        <v xml:space="preserve"> </v>
      </c>
      <c r="AH23" s="2" t="str">
        <f>IF(ISERROR(AA23*100000000/'Calc-Units'!$D$23)," ",AA23*100000000/'Calc-Units'!$D$23)</f>
        <v xml:space="preserve"> </v>
      </c>
      <c r="AI23" s="2" t="str">
        <f>IF(ISERROR(AB23*100000000/'Calc-Units'!$C$23)," ",AB23*100000000/'Calc-Units'!$C$23)</f>
        <v xml:space="preserve"> </v>
      </c>
      <c r="AJ23" s="2" t="str">
        <f>IF(ISERROR(AC23*100000000/'Calc-Units'!$C$23)," ",AC23*100000000/'Calc-Units'!$C$23)</f>
        <v xml:space="preserve"> </v>
      </c>
      <c r="AL23" s="2">
        <v>0.52569999999999995</v>
      </c>
      <c r="AM23" s="2">
        <f t="shared" si="3"/>
        <v>2.9094105812095572</v>
      </c>
      <c r="AN23" s="2">
        <f t="shared" si="4"/>
        <v>2.6249447187896013</v>
      </c>
      <c r="AQ23" s="2" t="str">
        <f t="shared" si="6"/>
        <v xml:space="preserve"> </v>
      </c>
      <c r="AR23" s="2" t="str">
        <f t="shared" si="6"/>
        <v xml:space="preserve"> </v>
      </c>
      <c r="AS23" s="2" t="str">
        <f t="shared" si="6"/>
        <v xml:space="preserve"> </v>
      </c>
      <c r="AT23" s="2" t="str">
        <f t="shared" si="6"/>
        <v xml:space="preserve"> </v>
      </c>
      <c r="AU23" s="2" t="str">
        <f t="shared" si="6"/>
        <v xml:space="preserve"> </v>
      </c>
      <c r="AX23" s="2" t="str">
        <f>IF(ISERROR(AQ23*100000000/'Calc-Units'!$E$23)," ",AQ23*100000000/'Calc-Units'!$E$23)</f>
        <v xml:space="preserve"> </v>
      </c>
      <c r="AY23" s="2" t="str">
        <f>IF(ISERROR(AR23*100000000/'Calc-Units'!$D$23)," ",AR23*100000000/'Calc-Units'!$D$23)</f>
        <v xml:space="preserve"> </v>
      </c>
      <c r="AZ23" s="2" t="str">
        <f>IF(ISERROR(AS23*100000000/'Calc-Units'!$C$23)," ",AS23*100000000/'Calc-Units'!$C$23)</f>
        <v xml:space="preserve"> </v>
      </c>
      <c r="BA23" s="2" t="str">
        <f>IF(ISERROR(AT23*100000000/'Calc-Units'!$C$23)," ",AT23*100000000/'Calc-Units'!$C$23)</f>
        <v xml:space="preserve"> </v>
      </c>
    </row>
    <row r="24" spans="1:53">
      <c r="C24" s="2" t="s">
        <v>562</v>
      </c>
      <c r="D24" s="2">
        <f>'RRP 1.3'!U$12</f>
        <v>1.3726373768207174</v>
      </c>
      <c r="E24" s="2">
        <v>0</v>
      </c>
      <c r="F24" s="2">
        <v>0</v>
      </c>
      <c r="G24" s="2">
        <v>0</v>
      </c>
      <c r="H24" s="2">
        <v>0</v>
      </c>
      <c r="I24" s="2">
        <f t="shared" si="5"/>
        <v>1.3726373768207174</v>
      </c>
      <c r="K24" s="2" t="s">
        <v>851</v>
      </c>
      <c r="L24" s="2">
        <f>IF(ISERROR(VLOOKUP($K24,'Calc-Drivers'!$B$17:$G$27,L$43,FALSE))," ",VLOOKUP($K24,'Calc-Drivers'!$B$17:$G$27,L$43,FALSE))</f>
        <v>0.37688402427627665</v>
      </c>
      <c r="M24" s="2">
        <f>IF(ISERROR(VLOOKUP($K24,'Calc-Drivers'!$B$17:$G$27,M$43,FALSE))," ",VLOOKUP($K24,'Calc-Drivers'!$B$17:$G$27,M$43,FALSE))</f>
        <v>0.13148746175802342</v>
      </c>
      <c r="N24" s="2">
        <f>IF(ISERROR(VLOOKUP($K24,'Calc-Drivers'!$B$17:$G$27,N$43,FALSE))," ",VLOOKUP($K24,'Calc-Drivers'!$B$17:$G$27,N$43,FALSE))</f>
        <v>3.5342219338092909E-2</v>
      </c>
      <c r="O24" s="2">
        <f>IF(ISERROR(VLOOKUP($K24,'Calc-Drivers'!$B$17:$G$27,O$43,FALSE))," ",VLOOKUP($K24,'Calc-Drivers'!$B$17:$G$27,O$43,FALSE))</f>
        <v>0.22311176209790826</v>
      </c>
      <c r="P24" s="2">
        <f>IF(ISERROR(VLOOKUP($K24,'Calc-Drivers'!$B$17:$G$27,P$43,FALSE))," ",VLOOKUP($K24,'Calc-Drivers'!$B$17:$G$27,P$43,FALSE))</f>
        <v>0.23317453252969877</v>
      </c>
      <c r="S24" s="2">
        <f t="shared" si="0"/>
        <v>0.51732509844822394</v>
      </c>
      <c r="T24" s="2">
        <f t="shared" si="0"/>
        <v>0.18048460459234766</v>
      </c>
      <c r="U24" s="2">
        <f t="shared" si="0"/>
        <v>4.8512051243262279E-2</v>
      </c>
      <c r="V24" s="2">
        <f t="shared" si="0"/>
        <v>0.30625154386392073</v>
      </c>
      <c r="W24" s="2">
        <f t="shared" si="0"/>
        <v>0.32006407867296277</v>
      </c>
      <c r="Z24" s="2">
        <f t="shared" si="1"/>
        <v>0.51732509844822394</v>
      </c>
      <c r="AA24" s="2">
        <f t="shared" si="1"/>
        <v>0.18048460459234766</v>
      </c>
      <c r="AB24" s="2">
        <f t="shared" si="1"/>
        <v>4.8512051243262279E-2</v>
      </c>
      <c r="AC24" s="2">
        <f t="shared" si="2"/>
        <v>0.30625154386392073</v>
      </c>
      <c r="AD24" s="2">
        <f t="shared" si="2"/>
        <v>0.32006407867296277</v>
      </c>
      <c r="AG24" s="2">
        <f>IF(ISERROR(Z24*100000000/'Calc-Units'!$E$23)," ",Z24*100000000/'Calc-Units'!$E$23)</f>
        <v>1.9556088931275417E-3</v>
      </c>
      <c r="AH24" s="2">
        <f>IF(ISERROR(AA24*100000000/'Calc-Units'!$D$23)," ",AA24*100000000/'Calc-Units'!$D$23)</f>
        <v>6.9779553755935334E-4</v>
      </c>
      <c r="AI24" s="2">
        <f>IF(ISERROR(AB24*100000000/'Calc-Units'!$C$23)," ",AB24*100000000/'Calc-Units'!$C$23)</f>
        <v>2.8396190144733247E-4</v>
      </c>
      <c r="AJ24" s="2">
        <f>IF(ISERROR(AC24*100000000/'Calc-Units'!$C$23)," ",AC24*100000000/'Calc-Units'!$C$23)</f>
        <v>1.7926220081006831E-3</v>
      </c>
      <c r="AL24" s="2">
        <v>0.52569999999999995</v>
      </c>
      <c r="AM24" s="2">
        <f t="shared" si="3"/>
        <v>0.7215954689946511</v>
      </c>
      <c r="AN24" s="2">
        <f t="shared" si="4"/>
        <v>0.6510419078260663</v>
      </c>
      <c r="AQ24" s="2">
        <f t="shared" si="6"/>
        <v>0.24536729419399264</v>
      </c>
      <c r="AR24" s="2">
        <f t="shared" si="6"/>
        <v>8.56038479581505E-2</v>
      </c>
      <c r="AS24" s="2">
        <f t="shared" si="6"/>
        <v>2.3009265904679301E-2</v>
      </c>
      <c r="AT24" s="2">
        <f t="shared" si="6"/>
        <v>0.14525510725465762</v>
      </c>
      <c r="AU24" s="2">
        <f t="shared" si="6"/>
        <v>0.15180639251458625</v>
      </c>
      <c r="AX24" s="2">
        <f>IF(ISERROR(AQ24*100000000/'Calc-Units'!$E$23)," ",AQ24*100000000/'Calc-Units'!$E$23)</f>
        <v>9.2754529801039316E-4</v>
      </c>
      <c r="AY24" s="2">
        <f>IF(ISERROR(AR24*100000000/'Calc-Units'!$D$23)," ",AR24*100000000/'Calc-Units'!$D$23)</f>
        <v>3.3096442346440129E-4</v>
      </c>
      <c r="AZ24" s="2">
        <f>IF(ISERROR(AS24*100000000/'Calc-Units'!$C$23)," ",AS24*100000000/'Calc-Units'!$C$23)</f>
        <v>1.3468312985646981E-4</v>
      </c>
      <c r="BA24" s="2">
        <f>IF(ISERROR(AT24*100000000/'Calc-Units'!$C$23)," ",AT24*100000000/'Calc-Units'!$C$23)</f>
        <v>8.502406184421542E-4</v>
      </c>
    </row>
    <row r="25" spans="1:53">
      <c r="C25" s="2" t="s">
        <v>563</v>
      </c>
      <c r="D25" s="2">
        <f>'RRP 1.3'!V$12</f>
        <v>1.9614634264481019</v>
      </c>
      <c r="E25" s="2">
        <v>0</v>
      </c>
      <c r="F25" s="2">
        <v>0</v>
      </c>
      <c r="G25" s="2">
        <v>0</v>
      </c>
      <c r="H25" s="2">
        <v>0</v>
      </c>
      <c r="I25" s="2">
        <f t="shared" si="5"/>
        <v>1.9614634264481019</v>
      </c>
      <c r="K25" s="2" t="s">
        <v>851</v>
      </c>
      <c r="L25" s="2">
        <f>IF(ISERROR(VLOOKUP($K25,'Calc-Drivers'!$B$17:$G$27,L$43,FALSE))," ",VLOOKUP($K25,'Calc-Drivers'!$B$17:$G$27,L$43,FALSE))</f>
        <v>0.37688402427627665</v>
      </c>
      <c r="M25" s="2">
        <f>IF(ISERROR(VLOOKUP($K25,'Calc-Drivers'!$B$17:$G$27,M$43,FALSE))," ",VLOOKUP($K25,'Calc-Drivers'!$B$17:$G$27,M$43,FALSE))</f>
        <v>0.13148746175802342</v>
      </c>
      <c r="N25" s="2">
        <f>IF(ISERROR(VLOOKUP($K25,'Calc-Drivers'!$B$17:$G$27,N$43,FALSE))," ",VLOOKUP($K25,'Calc-Drivers'!$B$17:$G$27,N$43,FALSE))</f>
        <v>3.5342219338092909E-2</v>
      </c>
      <c r="O25" s="2">
        <f>IF(ISERROR(VLOOKUP($K25,'Calc-Drivers'!$B$17:$G$27,O$43,FALSE))," ",VLOOKUP($K25,'Calc-Drivers'!$B$17:$G$27,O$43,FALSE))</f>
        <v>0.22311176209790826</v>
      </c>
      <c r="P25" s="2">
        <f>IF(ISERROR(VLOOKUP($K25,'Calc-Drivers'!$B$17:$G$27,P$43,FALSE))," ",VLOOKUP($K25,'Calc-Drivers'!$B$17:$G$27,P$43,FALSE))</f>
        <v>0.23317453252969877</v>
      </c>
      <c r="S25" s="2">
        <f t="shared" si="0"/>
        <v>0.73924422963049519</v>
      </c>
      <c r="T25" s="2">
        <f t="shared" si="0"/>
        <v>0.25790784727485638</v>
      </c>
      <c r="U25" s="2">
        <f t="shared" si="0"/>
        <v>6.9322470641176082E-2</v>
      </c>
      <c r="V25" s="2">
        <f t="shared" si="0"/>
        <v>0.4376255613654369</v>
      </c>
      <c r="W25" s="2">
        <f t="shared" si="0"/>
        <v>0.45736331753613735</v>
      </c>
      <c r="Z25" s="2">
        <f t="shared" si="1"/>
        <v>0.73924422963049519</v>
      </c>
      <c r="AA25" s="2">
        <f t="shared" si="1"/>
        <v>0.25790784727485638</v>
      </c>
      <c r="AB25" s="2">
        <f t="shared" si="1"/>
        <v>6.9322470641176082E-2</v>
      </c>
      <c r="AC25" s="2">
        <f t="shared" si="2"/>
        <v>0.4376255613654369</v>
      </c>
      <c r="AD25" s="2">
        <f t="shared" si="2"/>
        <v>0.45736331753613735</v>
      </c>
      <c r="AG25" s="2">
        <f>IF(ISERROR(Z25*100000000/'Calc-Units'!$E$23)," ",Z25*100000000/'Calc-Units'!$E$23)</f>
        <v>2.794514694908629E-3</v>
      </c>
      <c r="AH25" s="2">
        <f>IF(ISERROR(AA25*100000000/'Calc-Units'!$D$23)," ",AA25*100000000/'Calc-Units'!$D$23)</f>
        <v>9.9713183479786067E-4</v>
      </c>
      <c r="AI25" s="2">
        <f>IF(ISERROR(AB25*100000000/'Calc-Units'!$C$23)," ",AB25*100000000/'Calc-Units'!$C$23)</f>
        <v>4.0577423695373498E-4</v>
      </c>
      <c r="AJ25" s="2">
        <f>IF(ISERROR(AC25*100000000/'Calc-Units'!$C$23)," ",AC25*100000000/'Calc-Units'!$C$23)</f>
        <v>2.5616106378215692E-3</v>
      </c>
      <c r="AL25" s="2">
        <v>0.52569999999999995</v>
      </c>
      <c r="AM25" s="2">
        <f t="shared" si="3"/>
        <v>1.031141323283767</v>
      </c>
      <c r="AN25" s="2">
        <f t="shared" si="4"/>
        <v>0.93032210316433483</v>
      </c>
      <c r="AQ25" s="2">
        <f t="shared" si="6"/>
        <v>0.35062353811374392</v>
      </c>
      <c r="AR25" s="2">
        <f t="shared" si="6"/>
        <v>0.1223256919624644</v>
      </c>
      <c r="AS25" s="2">
        <f t="shared" si="6"/>
        <v>3.2879647825109819E-2</v>
      </c>
      <c r="AT25" s="2">
        <f t="shared" si="6"/>
        <v>0.20756580375562675</v>
      </c>
      <c r="AU25" s="2">
        <f t="shared" si="6"/>
        <v>0.21692742150738997</v>
      </c>
      <c r="AX25" s="2">
        <f>IF(ISERROR(AQ25*100000000/'Calc-Units'!$E$23)," ",AQ25*100000000/'Calc-Units'!$E$23)</f>
        <v>1.3254383197951628E-3</v>
      </c>
      <c r="AY25" s="2">
        <f>IF(ISERROR(AR25*100000000/'Calc-Units'!$D$23)," ",AR25*100000000/'Calc-Units'!$D$23)</f>
        <v>4.7293962924462534E-4</v>
      </c>
      <c r="AZ25" s="2">
        <f>IF(ISERROR(AS25*100000000/'Calc-Units'!$C$23)," ",AS25*100000000/'Calc-Units'!$C$23)</f>
        <v>1.9245872058715652E-4</v>
      </c>
      <c r="BA25" s="2">
        <f>IF(ISERROR(AT25*100000000/'Calc-Units'!$C$23)," ",AT25*100000000/'Calc-Units'!$C$23)</f>
        <v>1.2149719255187706E-3</v>
      </c>
    </row>
    <row r="26" spans="1:53">
      <c r="C26" s="2" t="s">
        <v>564</v>
      </c>
      <c r="D26" s="2">
        <f>'RRP 1.3'!W$12</f>
        <v>7.7816755968572568</v>
      </c>
      <c r="E26" s="2">
        <v>0</v>
      </c>
      <c r="F26" s="2">
        <v>0</v>
      </c>
      <c r="G26" s="2">
        <v>0</v>
      </c>
      <c r="H26" s="2">
        <v>0</v>
      </c>
      <c r="I26" s="2">
        <f t="shared" si="5"/>
        <v>7.7816755968572568</v>
      </c>
      <c r="K26" s="2" t="s">
        <v>851</v>
      </c>
      <c r="L26" s="2">
        <f>IF(ISERROR(VLOOKUP($K26,'Calc-Drivers'!$B$17:$G$27,L$43,FALSE))," ",VLOOKUP($K26,'Calc-Drivers'!$B$17:$G$27,L$43,FALSE))</f>
        <v>0.37688402427627665</v>
      </c>
      <c r="M26" s="2">
        <f>IF(ISERROR(VLOOKUP($K26,'Calc-Drivers'!$B$17:$G$27,M$43,FALSE))," ",VLOOKUP($K26,'Calc-Drivers'!$B$17:$G$27,M$43,FALSE))</f>
        <v>0.13148746175802342</v>
      </c>
      <c r="N26" s="2">
        <f>IF(ISERROR(VLOOKUP($K26,'Calc-Drivers'!$B$17:$G$27,N$43,FALSE))," ",VLOOKUP($K26,'Calc-Drivers'!$B$17:$G$27,N$43,FALSE))</f>
        <v>3.5342219338092909E-2</v>
      </c>
      <c r="O26" s="2">
        <f>IF(ISERROR(VLOOKUP($K26,'Calc-Drivers'!$B$17:$G$27,O$43,FALSE))," ",VLOOKUP($K26,'Calc-Drivers'!$B$17:$G$27,O$43,FALSE))</f>
        <v>0.22311176209790826</v>
      </c>
      <c r="P26" s="2">
        <f>IF(ISERROR(VLOOKUP($K26,'Calc-Drivers'!$B$17:$G$27,P$43,FALSE))," ",VLOOKUP($K26,'Calc-Drivers'!$B$17:$G$27,P$43,FALSE))</f>
        <v>0.23317453252969877</v>
      </c>
      <c r="S26" s="2">
        <f t="shared" si="0"/>
        <v>2.9327892145560601</v>
      </c>
      <c r="T26" s="2">
        <f t="shared" si="0"/>
        <v>1.0231927724551126</v>
      </c>
      <c r="U26" s="2">
        <f t="shared" si="0"/>
        <v>0.27502168576201425</v>
      </c>
      <c r="V26" s="2">
        <f t="shared" si="0"/>
        <v>1.7361833544891145</v>
      </c>
      <c r="W26" s="2">
        <f t="shared" si="0"/>
        <v>1.8144885695949555</v>
      </c>
      <c r="Z26" s="2">
        <f t="shared" si="1"/>
        <v>2.9327892145560601</v>
      </c>
      <c r="AA26" s="2">
        <f t="shared" si="1"/>
        <v>1.0231927724551126</v>
      </c>
      <c r="AB26" s="2">
        <f t="shared" si="1"/>
        <v>0.27502168576201425</v>
      </c>
      <c r="AC26" s="2">
        <f t="shared" si="2"/>
        <v>1.7361833544891145</v>
      </c>
      <c r="AD26" s="2">
        <f t="shared" si="2"/>
        <v>1.8144885695949555</v>
      </c>
      <c r="AG26" s="2">
        <f>IF(ISERROR(Z26*100000000/'Calc-Units'!$E$23)," ",Z26*100000000/'Calc-Units'!$E$23)</f>
        <v>1.108662364702259E-2</v>
      </c>
      <c r="AH26" s="2">
        <f>IF(ISERROR(AA26*100000000/'Calc-Units'!$D$23)," ",AA26*100000000/'Calc-Units'!$D$23)</f>
        <v>3.9559016808929101E-3</v>
      </c>
      <c r="AI26" s="2">
        <f>IF(ISERROR(AB26*100000000/'Calc-Units'!$C$23)," ",AB26*100000000/'Calc-Units'!$C$23)</f>
        <v>1.6098202163545672E-3</v>
      </c>
      <c r="AJ26" s="2">
        <f>IF(ISERROR(AC26*100000000/'Calc-Units'!$C$23)," ",AC26*100000000/'Calc-Units'!$C$23)</f>
        <v>1.0162627923724623E-2</v>
      </c>
      <c r="AL26" s="2">
        <v>0.52569999999999995</v>
      </c>
      <c r="AM26" s="2">
        <f t="shared" si="3"/>
        <v>4.0908268612678595</v>
      </c>
      <c r="AN26" s="2">
        <f t="shared" si="4"/>
        <v>3.6908487355893973</v>
      </c>
      <c r="AQ26" s="2">
        <f t="shared" si="6"/>
        <v>1.3910219244639395</v>
      </c>
      <c r="AR26" s="2">
        <f t="shared" si="6"/>
        <v>0.48530033197545996</v>
      </c>
      <c r="AS26" s="2">
        <f t="shared" si="6"/>
        <v>0.13044278555692337</v>
      </c>
      <c r="AT26" s="2">
        <f t="shared" si="6"/>
        <v>0.82347176503418718</v>
      </c>
      <c r="AU26" s="2">
        <f t="shared" si="6"/>
        <v>0.86061192855888746</v>
      </c>
      <c r="AX26" s="2">
        <f>IF(ISERROR(AQ26*100000000/'Calc-Units'!$E$23)," ",AQ26*100000000/'Calc-Units'!$E$23)</f>
        <v>5.2583855957828154E-3</v>
      </c>
      <c r="AY26" s="2">
        <f>IF(ISERROR(AR26*100000000/'Calc-Units'!$D$23)," ",AR26*100000000/'Calc-Units'!$D$23)</f>
        <v>1.8762841672475075E-3</v>
      </c>
      <c r="AZ26" s="2">
        <f>IF(ISERROR(AS26*100000000/'Calc-Units'!$C$23)," ",AS26*100000000/'Calc-Units'!$C$23)</f>
        <v>7.6353772861697123E-4</v>
      </c>
      <c r="BA26" s="2">
        <f>IF(ISERROR(AT26*100000000/'Calc-Units'!$C$23)," ",AT26*100000000/'Calc-Units'!$C$23)</f>
        <v>4.8201344242225896E-3</v>
      </c>
    </row>
    <row r="27" spans="1:53">
      <c r="C27" s="2" t="s">
        <v>565</v>
      </c>
      <c r="D27" s="2">
        <f>'RRP 1.3'!X$12</f>
        <v>1.536754324034403</v>
      </c>
      <c r="E27" s="2">
        <v>0</v>
      </c>
      <c r="F27" s="2">
        <v>0</v>
      </c>
      <c r="G27" s="2">
        <v>0</v>
      </c>
      <c r="H27" s="2">
        <v>0</v>
      </c>
      <c r="I27" s="2">
        <f t="shared" si="5"/>
        <v>1.536754324034403</v>
      </c>
      <c r="K27" s="2" t="s">
        <v>851</v>
      </c>
      <c r="L27" s="2">
        <f>IF(ISERROR(VLOOKUP($K27,'Calc-Drivers'!$B$17:$G$27,L$43,FALSE))," ",VLOOKUP($K27,'Calc-Drivers'!$B$17:$G$27,L$43,FALSE))</f>
        <v>0.37688402427627665</v>
      </c>
      <c r="M27" s="2">
        <f>IF(ISERROR(VLOOKUP($K27,'Calc-Drivers'!$B$17:$G$27,M$43,FALSE))," ",VLOOKUP($K27,'Calc-Drivers'!$B$17:$G$27,M$43,FALSE))</f>
        <v>0.13148746175802342</v>
      </c>
      <c r="N27" s="2">
        <f>IF(ISERROR(VLOOKUP($K27,'Calc-Drivers'!$B$17:$G$27,N$43,FALSE))," ",VLOOKUP($K27,'Calc-Drivers'!$B$17:$G$27,N$43,FALSE))</f>
        <v>3.5342219338092909E-2</v>
      </c>
      <c r="O27" s="2">
        <f>IF(ISERROR(VLOOKUP($K27,'Calc-Drivers'!$B$17:$G$27,O$43,FALSE))," ",VLOOKUP($K27,'Calc-Drivers'!$B$17:$G$27,O$43,FALSE))</f>
        <v>0.22311176209790826</v>
      </c>
      <c r="P27" s="2">
        <f>IF(ISERROR(VLOOKUP($K27,'Calc-Drivers'!$B$17:$G$27,P$43,FALSE))," ",VLOOKUP($K27,'Calc-Drivers'!$B$17:$G$27,P$43,FALSE))</f>
        <v>0.23317453252969877</v>
      </c>
      <c r="S27" s="2">
        <f t="shared" si="0"/>
        <v>0.5791781539660551</v>
      </c>
      <c r="T27" s="2">
        <f t="shared" si="0"/>
        <v>0.20206392541295071</v>
      </c>
      <c r="U27" s="2">
        <f t="shared" si="0"/>
        <v>5.4312308388786576E-2</v>
      </c>
      <c r="V27" s="2">
        <f t="shared" si="0"/>
        <v>0.34286796514689555</v>
      </c>
      <c r="W27" s="2">
        <f t="shared" si="0"/>
        <v>0.35833197111971515</v>
      </c>
      <c r="Z27" s="2">
        <f t="shared" si="1"/>
        <v>0.5791781539660551</v>
      </c>
      <c r="AA27" s="2">
        <f t="shared" si="1"/>
        <v>0.20206392541295071</v>
      </c>
      <c r="AB27" s="2">
        <f t="shared" si="1"/>
        <v>5.4312308388786576E-2</v>
      </c>
      <c r="AC27" s="2">
        <f t="shared" si="2"/>
        <v>0.34286796514689555</v>
      </c>
      <c r="AD27" s="2">
        <f t="shared" si="2"/>
        <v>0.35833197111971515</v>
      </c>
      <c r="AG27" s="2">
        <f>IF(ISERROR(Z27*100000000/'Calc-Units'!$E$23)," ",Z27*100000000/'Calc-Units'!$E$23)</f>
        <v>2.1894277930815872E-3</v>
      </c>
      <c r="AH27" s="2">
        <f>IF(ISERROR(AA27*100000000/'Calc-Units'!$D$23)," ",AA27*100000000/'Calc-Units'!$D$23)</f>
        <v>7.8122622022721384E-4</v>
      </c>
      <c r="AI27" s="2">
        <f>IF(ISERROR(AB27*100000000/'Calc-Units'!$C$23)," ",AB27*100000000/'Calc-Units'!$C$23)</f>
        <v>3.1791330126894508E-4</v>
      </c>
      <c r="AJ27" s="2">
        <f>IF(ISERROR(AC27*100000000/'Calc-Units'!$C$23)," ",AC27*100000000/'Calc-Units'!$C$23)</f>
        <v>2.0069536709605221E-3</v>
      </c>
      <c r="AL27" s="2">
        <v>0.52569999999999995</v>
      </c>
      <c r="AM27" s="2">
        <f t="shared" si="3"/>
        <v>0.8078717481448856</v>
      </c>
      <c r="AN27" s="2">
        <f t="shared" si="4"/>
        <v>0.72888257588951744</v>
      </c>
      <c r="AQ27" s="2">
        <f t="shared" si="6"/>
        <v>0.27470419842609994</v>
      </c>
      <c r="AR27" s="2">
        <f t="shared" si="6"/>
        <v>9.5838919823362526E-2</v>
      </c>
      <c r="AS27" s="2">
        <f t="shared" si="6"/>
        <v>2.5760327868801475E-2</v>
      </c>
      <c r="AT27" s="2">
        <f t="shared" si="6"/>
        <v>0.16262227586917258</v>
      </c>
      <c r="AU27" s="2">
        <f t="shared" si="6"/>
        <v>0.16995685390208093</v>
      </c>
      <c r="AX27" s="2">
        <f>IF(ISERROR(AQ27*100000000/'Calc-Units'!$E$23)," ",AQ27*100000000/'Calc-Units'!$E$23)</f>
        <v>1.038445602258597E-3</v>
      </c>
      <c r="AY27" s="2">
        <f>IF(ISERROR(AR27*100000000/'Calc-Units'!$D$23)," ",AR27*100000000/'Calc-Units'!$D$23)</f>
        <v>3.7053559625376757E-4</v>
      </c>
      <c r="AZ27" s="2">
        <f>IF(ISERROR(AS27*100000000/'Calc-Units'!$C$23)," ",AS27*100000000/'Calc-Units'!$C$23)</f>
        <v>1.5078627879186067E-4</v>
      </c>
      <c r="BA27" s="2">
        <f>IF(ISERROR(AT27*100000000/'Calc-Units'!$C$23)," ",AT27*100000000/'Calc-Units'!$C$23)</f>
        <v>9.5189812613657554E-4</v>
      </c>
    </row>
    <row r="28" spans="1:53" ht="12.75" customHeight="1">
      <c r="A28" s="2" t="s">
        <v>854</v>
      </c>
      <c r="C28" s="2" t="s">
        <v>529</v>
      </c>
      <c r="D28" s="2">
        <f>'RRP 1.3'!Y$12</f>
        <v>2.24185108</v>
      </c>
      <c r="E28" s="2">
        <v>0</v>
      </c>
      <c r="F28" s="2">
        <v>0</v>
      </c>
      <c r="G28" s="2">
        <v>0</v>
      </c>
      <c r="H28" s="2">
        <v>0</v>
      </c>
      <c r="I28" s="2">
        <f t="shared" si="5"/>
        <v>2.24185108</v>
      </c>
      <c r="K28" s="2" t="s">
        <v>853</v>
      </c>
      <c r="L28" s="2" t="str">
        <f>IF(ISERROR(VLOOKUP($K28,'Calc-Drivers'!$B$17:$G$27,L$43,FALSE))," ",VLOOKUP($K28,'Calc-Drivers'!$B$17:$G$27,L$43,FALSE))</f>
        <v xml:space="preserve"> </v>
      </c>
      <c r="M28" s="2" t="str">
        <f>IF(ISERROR(VLOOKUP($K28,'Calc-Drivers'!$B$17:$G$27,M$43,FALSE))," ",VLOOKUP($K28,'Calc-Drivers'!$B$17:$G$27,M$43,FALSE))</f>
        <v xml:space="preserve"> </v>
      </c>
      <c r="N28" s="2" t="str">
        <f>IF(ISERROR(VLOOKUP($K28,'Calc-Drivers'!$B$17:$G$27,N$43,FALSE))," ",VLOOKUP($K28,'Calc-Drivers'!$B$17:$G$27,N$43,FALSE))</f>
        <v xml:space="preserve"> </v>
      </c>
      <c r="O28" s="2" t="str">
        <f>IF(ISERROR(VLOOKUP($K28,'Calc-Drivers'!$B$17:$G$27,O$43,FALSE))," ",VLOOKUP($K28,'Calc-Drivers'!$B$17:$G$27,O$43,FALSE))</f>
        <v xml:space="preserve"> </v>
      </c>
      <c r="P28" s="2" t="str">
        <f>IF(ISERROR(VLOOKUP($K28,'Calc-Drivers'!$B$17:$G$27,P$43,FALSE))," ",VLOOKUP($K28,'Calc-Drivers'!$B$17:$G$27,P$43,FALSE))</f>
        <v xml:space="preserve"> </v>
      </c>
      <c r="S28" s="2" t="str">
        <f t="shared" si="0"/>
        <v xml:space="preserve"> </v>
      </c>
      <c r="T28" s="2" t="str">
        <f t="shared" si="0"/>
        <v xml:space="preserve"> </v>
      </c>
      <c r="U28" s="2" t="str">
        <f t="shared" si="0"/>
        <v xml:space="preserve"> </v>
      </c>
      <c r="V28" s="2" t="str">
        <f t="shared" si="0"/>
        <v xml:space="preserve"> </v>
      </c>
      <c r="W28" s="2" t="str">
        <f t="shared" si="0"/>
        <v xml:space="preserve"> </v>
      </c>
      <c r="Z28" s="2" t="str">
        <f t="shared" si="1"/>
        <v xml:space="preserve"> </v>
      </c>
      <c r="AA28" s="2" t="str">
        <f t="shared" si="1"/>
        <v xml:space="preserve"> </v>
      </c>
      <c r="AB28" s="2" t="str">
        <f t="shared" si="1"/>
        <v xml:space="preserve"> </v>
      </c>
      <c r="AC28" s="2" t="str">
        <f t="shared" si="2"/>
        <v xml:space="preserve"> </v>
      </c>
      <c r="AD28" s="2" t="str">
        <f t="shared" si="2"/>
        <v xml:space="preserve"> </v>
      </c>
      <c r="AG28" s="2" t="str">
        <f>IF(ISERROR(Z28*100000000/'Calc-Units'!$E$23)," ",Z28*100000000/'Calc-Units'!$E$23)</f>
        <v xml:space="preserve"> </v>
      </c>
      <c r="AH28" s="2" t="str">
        <f>IF(ISERROR(AA28*100000000/'Calc-Units'!$D$23)," ",AA28*100000000/'Calc-Units'!$D$23)</f>
        <v xml:space="preserve"> </v>
      </c>
      <c r="AI28" s="2" t="str">
        <f>IF(ISERROR(AB28*100000000/'Calc-Units'!$C$23)," ",AB28*100000000/'Calc-Units'!$C$23)</f>
        <v xml:space="preserve"> </v>
      </c>
      <c r="AJ28" s="2" t="str">
        <f>IF(ISERROR(AC28*100000000/'Calc-Units'!$C$23)," ",AC28*100000000/'Calc-Units'!$C$23)</f>
        <v xml:space="preserve"> </v>
      </c>
      <c r="AL28" s="2">
        <v>0</v>
      </c>
      <c r="AM28" s="2">
        <f t="shared" si="3"/>
        <v>0</v>
      </c>
      <c r="AN28" s="2">
        <f t="shared" si="4"/>
        <v>2.24185108</v>
      </c>
      <c r="AQ28" s="2" t="str">
        <f t="shared" si="6"/>
        <v xml:space="preserve"> </v>
      </c>
      <c r="AR28" s="2" t="str">
        <f t="shared" si="6"/>
        <v xml:space="preserve"> </v>
      </c>
      <c r="AS28" s="2" t="str">
        <f t="shared" si="6"/>
        <v xml:space="preserve"> </v>
      </c>
      <c r="AT28" s="2" t="str">
        <f t="shared" si="6"/>
        <v xml:space="preserve"> </v>
      </c>
      <c r="AU28" s="2" t="str">
        <f t="shared" si="6"/>
        <v xml:space="preserve"> </v>
      </c>
      <c r="AX28" s="2" t="str">
        <f>IF(ISERROR(AQ28*100000000/'Calc-Units'!$E$23)," ",AQ28*100000000/'Calc-Units'!$E$23)</f>
        <v xml:space="preserve"> </v>
      </c>
      <c r="AY28" s="2" t="str">
        <f>IF(ISERROR(AR28*100000000/'Calc-Units'!$D$23)," ",AR28*100000000/'Calc-Units'!$D$23)</f>
        <v xml:space="preserve"> </v>
      </c>
      <c r="AZ28" s="2" t="str">
        <f>IF(ISERROR(AS28*100000000/'Calc-Units'!$C$23)," ",AS28*100000000/'Calc-Units'!$C$23)</f>
        <v xml:space="preserve"> </v>
      </c>
      <c r="BA28" s="2" t="str">
        <f>IF(ISERROR(AT28*100000000/'Calc-Units'!$C$23)," ",AT28*100000000/'Calc-Units'!$C$23)</f>
        <v xml:space="preserve"> </v>
      </c>
    </row>
    <row r="29" spans="1:53">
      <c r="C29" s="2" t="s">
        <v>530</v>
      </c>
      <c r="D29" s="2">
        <f>'RRP 1.3'!Z$12</f>
        <v>7.62</v>
      </c>
      <c r="E29" s="2">
        <v>0</v>
      </c>
      <c r="F29" s="2">
        <v>0</v>
      </c>
      <c r="G29" s="2">
        <v>0</v>
      </c>
      <c r="H29" s="2">
        <v>0</v>
      </c>
      <c r="I29" s="2">
        <f t="shared" si="5"/>
        <v>7.62</v>
      </c>
      <c r="K29" s="2" t="s">
        <v>853</v>
      </c>
      <c r="L29" s="2" t="str">
        <f>IF(ISERROR(VLOOKUP($K29,'Calc-Drivers'!$B$17:$G$27,L$43,FALSE))," ",VLOOKUP($K29,'Calc-Drivers'!$B$17:$G$27,L$43,FALSE))</f>
        <v xml:space="preserve"> </v>
      </c>
      <c r="M29" s="2" t="str">
        <f>IF(ISERROR(VLOOKUP($K29,'Calc-Drivers'!$B$17:$G$27,M$43,FALSE))," ",VLOOKUP($K29,'Calc-Drivers'!$B$17:$G$27,M$43,FALSE))</f>
        <v xml:space="preserve"> </v>
      </c>
      <c r="N29" s="2" t="str">
        <f>IF(ISERROR(VLOOKUP($K29,'Calc-Drivers'!$B$17:$G$27,N$43,FALSE))," ",VLOOKUP($K29,'Calc-Drivers'!$B$17:$G$27,N$43,FALSE))</f>
        <v xml:space="preserve"> </v>
      </c>
      <c r="O29" s="2" t="str">
        <f>IF(ISERROR(VLOOKUP($K29,'Calc-Drivers'!$B$17:$G$27,O$43,FALSE))," ",VLOOKUP($K29,'Calc-Drivers'!$B$17:$G$27,O$43,FALSE))</f>
        <v xml:space="preserve"> </v>
      </c>
      <c r="P29" s="2" t="str">
        <f>IF(ISERROR(VLOOKUP($K29,'Calc-Drivers'!$B$17:$G$27,P$43,FALSE))," ",VLOOKUP($K29,'Calc-Drivers'!$B$17:$G$27,P$43,FALSE))</f>
        <v xml:space="preserve"> </v>
      </c>
      <c r="S29" s="2" t="str">
        <f t="shared" si="0"/>
        <v xml:space="preserve"> </v>
      </c>
      <c r="T29" s="2" t="str">
        <f t="shared" si="0"/>
        <v xml:space="preserve"> </v>
      </c>
      <c r="U29" s="2" t="str">
        <f t="shared" si="0"/>
        <v xml:space="preserve"> </v>
      </c>
      <c r="V29" s="2" t="str">
        <f t="shared" si="0"/>
        <v xml:space="preserve"> </v>
      </c>
      <c r="W29" s="2" t="str">
        <f t="shared" si="0"/>
        <v xml:space="preserve"> </v>
      </c>
      <c r="Z29" s="2" t="str">
        <f t="shared" si="1"/>
        <v xml:space="preserve"> </v>
      </c>
      <c r="AA29" s="2" t="str">
        <f t="shared" si="1"/>
        <v xml:space="preserve"> </v>
      </c>
      <c r="AB29" s="2" t="str">
        <f t="shared" si="1"/>
        <v xml:space="preserve"> </v>
      </c>
      <c r="AC29" s="2" t="str">
        <f t="shared" si="2"/>
        <v xml:space="preserve"> </v>
      </c>
      <c r="AD29" s="2" t="str">
        <f t="shared" si="2"/>
        <v xml:space="preserve"> </v>
      </c>
      <c r="AG29" s="2" t="str">
        <f>IF(ISERROR(Z29*100000000/'Calc-Units'!$E$23)," ",Z29*100000000/'Calc-Units'!$E$23)</f>
        <v xml:space="preserve"> </v>
      </c>
      <c r="AH29" s="2" t="str">
        <f>IF(ISERROR(AA29*100000000/'Calc-Units'!$D$23)," ",AA29*100000000/'Calc-Units'!$D$23)</f>
        <v xml:space="preserve"> </v>
      </c>
      <c r="AI29" s="2" t="str">
        <f>IF(ISERROR(AB29*100000000/'Calc-Units'!$C$23)," ",AB29*100000000/'Calc-Units'!$C$23)</f>
        <v xml:space="preserve"> </v>
      </c>
      <c r="AJ29" s="2" t="str">
        <f>IF(ISERROR(AC29*100000000/'Calc-Units'!$C$23)," ",AC29*100000000/'Calc-Units'!$C$23)</f>
        <v xml:space="preserve"> </v>
      </c>
      <c r="AL29" s="2">
        <v>0.57699999999999996</v>
      </c>
      <c r="AM29" s="2">
        <f t="shared" si="3"/>
        <v>4.3967399999999994</v>
      </c>
      <c r="AN29" s="2">
        <f t="shared" si="4"/>
        <v>3.2232600000000002</v>
      </c>
      <c r="AQ29" s="2" t="str">
        <f t="shared" si="6"/>
        <v xml:space="preserve"> </v>
      </c>
      <c r="AR29" s="2" t="str">
        <f t="shared" si="6"/>
        <v xml:space="preserve"> </v>
      </c>
      <c r="AS29" s="2" t="str">
        <f t="shared" si="6"/>
        <v xml:space="preserve"> </v>
      </c>
      <c r="AT29" s="2" t="str">
        <f t="shared" si="6"/>
        <v xml:space="preserve"> </v>
      </c>
      <c r="AU29" s="2" t="str">
        <f t="shared" si="6"/>
        <v xml:space="preserve"> </v>
      </c>
      <c r="AX29" s="2" t="str">
        <f>IF(ISERROR(AQ29*100000000/'Calc-Units'!$E$23)," ",AQ29*100000000/'Calc-Units'!$E$23)</f>
        <v xml:space="preserve"> </v>
      </c>
      <c r="AY29" s="2" t="str">
        <f>IF(ISERROR(AR29*100000000/'Calc-Units'!$D$23)," ",AR29*100000000/'Calc-Units'!$D$23)</f>
        <v xml:space="preserve"> </v>
      </c>
      <c r="AZ29" s="2" t="str">
        <f>IF(ISERROR(AS29*100000000/'Calc-Units'!$C$23)," ",AS29*100000000/'Calc-Units'!$C$23)</f>
        <v xml:space="preserve"> </v>
      </c>
      <c r="BA29" s="2" t="str">
        <f>IF(ISERROR(AT29*100000000/'Calc-Units'!$C$23)," ",AT29*100000000/'Calc-Units'!$C$23)</f>
        <v xml:space="preserve"> </v>
      </c>
    </row>
    <row r="30" spans="1:53">
      <c r="C30" s="2" t="s">
        <v>531</v>
      </c>
      <c r="D30" s="2">
        <f>'RRP 1.3'!AA$12</f>
        <v>0.81564207</v>
      </c>
      <c r="E30" s="2">
        <v>0</v>
      </c>
      <c r="F30" s="2">
        <v>0</v>
      </c>
      <c r="G30" s="2">
        <v>0</v>
      </c>
      <c r="H30" s="2">
        <v>0</v>
      </c>
      <c r="I30" s="2">
        <f t="shared" si="5"/>
        <v>0.81564207</v>
      </c>
      <c r="K30" s="2" t="s">
        <v>853</v>
      </c>
      <c r="L30" s="2" t="str">
        <f>IF(ISERROR(VLOOKUP($K30,'Calc-Drivers'!$B$17:$G$27,L$43,FALSE))," ",VLOOKUP($K30,'Calc-Drivers'!$B$17:$G$27,L$43,FALSE))</f>
        <v xml:space="preserve"> </v>
      </c>
      <c r="M30" s="2" t="str">
        <f>IF(ISERROR(VLOOKUP($K30,'Calc-Drivers'!$B$17:$G$27,M$43,FALSE))," ",VLOOKUP($K30,'Calc-Drivers'!$B$17:$G$27,M$43,FALSE))</f>
        <v xml:space="preserve"> </v>
      </c>
      <c r="N30" s="2" t="str">
        <f>IF(ISERROR(VLOOKUP($K30,'Calc-Drivers'!$B$17:$G$27,N$43,FALSE))," ",VLOOKUP($K30,'Calc-Drivers'!$B$17:$G$27,N$43,FALSE))</f>
        <v xml:space="preserve"> </v>
      </c>
      <c r="O30" s="2" t="str">
        <f>IF(ISERROR(VLOOKUP($K30,'Calc-Drivers'!$B$17:$G$27,O$43,FALSE))," ",VLOOKUP($K30,'Calc-Drivers'!$B$17:$G$27,O$43,FALSE))</f>
        <v xml:space="preserve"> </v>
      </c>
      <c r="P30" s="2" t="str">
        <f>IF(ISERROR(VLOOKUP($K30,'Calc-Drivers'!$B$17:$G$27,P$43,FALSE))," ",VLOOKUP($K30,'Calc-Drivers'!$B$17:$G$27,P$43,FALSE))</f>
        <v xml:space="preserve"> </v>
      </c>
      <c r="S30" s="2" t="str">
        <f t="shared" si="0"/>
        <v xml:space="preserve"> </v>
      </c>
      <c r="T30" s="2" t="str">
        <f t="shared" si="0"/>
        <v xml:space="preserve"> </v>
      </c>
      <c r="U30" s="2" t="str">
        <f t="shared" si="0"/>
        <v xml:space="preserve"> </v>
      </c>
      <c r="V30" s="2" t="str">
        <f t="shared" si="0"/>
        <v xml:space="preserve"> </v>
      </c>
      <c r="W30" s="2" t="str">
        <f t="shared" si="0"/>
        <v xml:space="preserve"> </v>
      </c>
      <c r="Z30" s="2" t="str">
        <f t="shared" si="1"/>
        <v xml:space="preserve"> </v>
      </c>
      <c r="AA30" s="2" t="str">
        <f t="shared" si="1"/>
        <v xml:space="preserve"> </v>
      </c>
      <c r="AB30" s="2" t="str">
        <f t="shared" si="1"/>
        <v xml:space="preserve"> </v>
      </c>
      <c r="AC30" s="2" t="str">
        <f t="shared" si="2"/>
        <v xml:space="preserve"> </v>
      </c>
      <c r="AD30" s="2" t="str">
        <f t="shared" si="2"/>
        <v xml:space="preserve"> </v>
      </c>
      <c r="AG30" s="2" t="str">
        <f>IF(ISERROR(Z30*100000000/'Calc-Units'!$E$23)," ",Z30*100000000/'Calc-Units'!$E$23)</f>
        <v xml:space="preserve"> </v>
      </c>
      <c r="AH30" s="2" t="str">
        <f>IF(ISERROR(AA30*100000000/'Calc-Units'!$D$23)," ",AA30*100000000/'Calc-Units'!$D$23)</f>
        <v xml:space="preserve"> </v>
      </c>
      <c r="AI30" s="2" t="str">
        <f>IF(ISERROR(AB30*100000000/'Calc-Units'!$C$23)," ",AB30*100000000/'Calc-Units'!$C$23)</f>
        <v xml:space="preserve"> </v>
      </c>
      <c r="AJ30" s="2" t="str">
        <f>IF(ISERROR(AC30*100000000/'Calc-Units'!$C$23)," ",AC30*100000000/'Calc-Units'!$C$23)</f>
        <v xml:space="preserve"> </v>
      </c>
      <c r="AL30" s="2">
        <v>0</v>
      </c>
      <c r="AM30" s="2">
        <f t="shared" si="3"/>
        <v>0</v>
      </c>
      <c r="AN30" s="2">
        <f t="shared" si="4"/>
        <v>0.81564207</v>
      </c>
      <c r="AQ30" s="2" t="str">
        <f t="shared" si="6"/>
        <v xml:space="preserve"> </v>
      </c>
      <c r="AR30" s="2" t="str">
        <f t="shared" si="6"/>
        <v xml:space="preserve"> </v>
      </c>
      <c r="AS30" s="2" t="str">
        <f t="shared" si="6"/>
        <v xml:space="preserve"> </v>
      </c>
      <c r="AT30" s="2" t="str">
        <f t="shared" si="6"/>
        <v xml:space="preserve"> </v>
      </c>
      <c r="AU30" s="2" t="str">
        <f t="shared" si="6"/>
        <v xml:space="preserve"> </v>
      </c>
      <c r="AX30" s="2" t="str">
        <f>IF(ISERROR(AQ30*100000000/'Calc-Units'!$E$23)," ",AQ30*100000000/'Calc-Units'!$E$23)</f>
        <v xml:space="preserve"> </v>
      </c>
      <c r="AY30" s="2" t="str">
        <f>IF(ISERROR(AR30*100000000/'Calc-Units'!$D$23)," ",AR30*100000000/'Calc-Units'!$D$23)</f>
        <v xml:space="preserve"> </v>
      </c>
      <c r="AZ30" s="2" t="str">
        <f>IF(ISERROR(AS30*100000000/'Calc-Units'!$C$23)," ",AS30*100000000/'Calc-Units'!$C$23)</f>
        <v xml:space="preserve"> </v>
      </c>
      <c r="BA30" s="2" t="str">
        <f>IF(ISERROR(AT30*100000000/'Calc-Units'!$C$23)," ",AT30*100000000/'Calc-Units'!$C$23)</f>
        <v xml:space="preserve"> </v>
      </c>
    </row>
    <row r="31" spans="1:53">
      <c r="C31" s="2" t="s">
        <v>532</v>
      </c>
      <c r="D31" s="2">
        <f>'RRP 1.3'!AB$12</f>
        <v>12.183907341469606</v>
      </c>
      <c r="E31" s="2">
        <v>0</v>
      </c>
      <c r="F31" s="2">
        <v>0</v>
      </c>
      <c r="G31" s="2">
        <v>0</v>
      </c>
      <c r="H31" s="2">
        <v>0</v>
      </c>
      <c r="I31" s="2">
        <f t="shared" si="5"/>
        <v>12.183907341469606</v>
      </c>
      <c r="K31" s="2" t="s">
        <v>853</v>
      </c>
      <c r="L31" s="2" t="str">
        <f>IF(ISERROR(VLOOKUP($K31,'Calc-Drivers'!$B$17:$G$27,L$43,FALSE))," ",VLOOKUP($K31,'Calc-Drivers'!$B$17:$G$27,L$43,FALSE))</f>
        <v xml:space="preserve"> </v>
      </c>
      <c r="M31" s="2" t="str">
        <f>IF(ISERROR(VLOOKUP($K31,'Calc-Drivers'!$B$17:$G$27,M$43,FALSE))," ",VLOOKUP($K31,'Calc-Drivers'!$B$17:$G$27,M$43,FALSE))</f>
        <v xml:space="preserve"> </v>
      </c>
      <c r="N31" s="2" t="str">
        <f>IF(ISERROR(VLOOKUP($K31,'Calc-Drivers'!$B$17:$G$27,N$43,FALSE))," ",VLOOKUP($K31,'Calc-Drivers'!$B$17:$G$27,N$43,FALSE))</f>
        <v xml:space="preserve"> </v>
      </c>
      <c r="O31" s="2" t="str">
        <f>IF(ISERROR(VLOOKUP($K31,'Calc-Drivers'!$B$17:$G$27,O$43,FALSE))," ",VLOOKUP($K31,'Calc-Drivers'!$B$17:$G$27,O$43,FALSE))</f>
        <v xml:space="preserve"> </v>
      </c>
      <c r="P31" s="2" t="str">
        <f>IF(ISERROR(VLOOKUP($K31,'Calc-Drivers'!$B$17:$G$27,P$43,FALSE))," ",VLOOKUP($K31,'Calc-Drivers'!$B$17:$G$27,P$43,FALSE))</f>
        <v xml:space="preserve"> </v>
      </c>
      <c r="S31" s="2" t="str">
        <f t="shared" si="0"/>
        <v xml:space="preserve"> </v>
      </c>
      <c r="T31" s="2" t="str">
        <f t="shared" si="0"/>
        <v xml:space="preserve"> </v>
      </c>
      <c r="U31" s="2" t="str">
        <f t="shared" si="0"/>
        <v xml:space="preserve"> </v>
      </c>
      <c r="V31" s="2" t="str">
        <f t="shared" si="0"/>
        <v xml:space="preserve"> </v>
      </c>
      <c r="W31" s="2" t="str">
        <f t="shared" si="0"/>
        <v xml:space="preserve"> </v>
      </c>
      <c r="Z31" s="2" t="str">
        <f t="shared" si="1"/>
        <v xml:space="preserve"> </v>
      </c>
      <c r="AA31" s="2" t="str">
        <f t="shared" si="1"/>
        <v xml:space="preserve"> </v>
      </c>
      <c r="AB31" s="2" t="str">
        <f t="shared" si="1"/>
        <v xml:space="preserve"> </v>
      </c>
      <c r="AC31" s="2" t="str">
        <f t="shared" si="2"/>
        <v xml:space="preserve"> </v>
      </c>
      <c r="AD31" s="2" t="str">
        <f t="shared" si="2"/>
        <v xml:space="preserve"> </v>
      </c>
      <c r="AG31" s="2" t="str">
        <f>IF(ISERROR(Z31*100000000/'Calc-Units'!$E$23)," ",Z31*100000000/'Calc-Units'!$E$23)</f>
        <v xml:space="preserve"> </v>
      </c>
      <c r="AH31" s="2" t="str">
        <f>IF(ISERROR(AA31*100000000/'Calc-Units'!$D$23)," ",AA31*100000000/'Calc-Units'!$D$23)</f>
        <v xml:space="preserve"> </v>
      </c>
      <c r="AI31" s="2" t="str">
        <f>IF(ISERROR(AB31*100000000/'Calc-Units'!$C$23)," ",AB31*100000000/'Calc-Units'!$C$23)</f>
        <v xml:space="preserve"> </v>
      </c>
      <c r="AJ31" s="2" t="str">
        <f>IF(ISERROR(AC31*100000000/'Calc-Units'!$C$23)," ",AC31*100000000/'Calc-Units'!$C$23)</f>
        <v xml:space="preserve"> </v>
      </c>
      <c r="AL31" s="2">
        <v>0</v>
      </c>
      <c r="AM31" s="2">
        <f t="shared" si="3"/>
        <v>0</v>
      </c>
      <c r="AN31" s="2">
        <f t="shared" si="4"/>
        <v>12.183907341469606</v>
      </c>
      <c r="AQ31" s="2" t="str">
        <f t="shared" si="6"/>
        <v xml:space="preserve"> </v>
      </c>
      <c r="AR31" s="2" t="str">
        <f t="shared" si="6"/>
        <v xml:space="preserve"> </v>
      </c>
      <c r="AS31" s="2" t="str">
        <f t="shared" si="6"/>
        <v xml:space="preserve"> </v>
      </c>
      <c r="AT31" s="2" t="str">
        <f t="shared" si="6"/>
        <v xml:space="preserve"> </v>
      </c>
      <c r="AU31" s="2" t="str">
        <f t="shared" si="6"/>
        <v xml:space="preserve"> </v>
      </c>
      <c r="AX31" s="2" t="str">
        <f>IF(ISERROR(AQ31*100000000/'Calc-Units'!$E$23)," ",AQ31*100000000/'Calc-Units'!$E$23)</f>
        <v xml:space="preserve"> </v>
      </c>
      <c r="AY31" s="2" t="str">
        <f>IF(ISERROR(AR31*100000000/'Calc-Units'!$D$23)," ",AR31*100000000/'Calc-Units'!$D$23)</f>
        <v xml:space="preserve"> </v>
      </c>
      <c r="AZ31" s="2" t="str">
        <f>IF(ISERROR(AS31*100000000/'Calc-Units'!$C$23)," ",AS31*100000000/'Calc-Units'!$C$23)</f>
        <v xml:space="preserve"> </v>
      </c>
      <c r="BA31" s="2" t="str">
        <f>IF(ISERROR(AT31*100000000/'Calc-Units'!$C$23)," ",AT31*100000000/'Calc-Units'!$C$23)</f>
        <v xml:space="preserve"> </v>
      </c>
    </row>
    <row r="32" spans="1:53">
      <c r="C32" s="2" t="s">
        <v>533</v>
      </c>
      <c r="D32" s="2">
        <f>'RRP 1.3'!AC$12</f>
        <v>1.3999999737279722E-7</v>
      </c>
      <c r="E32" s="2">
        <v>0</v>
      </c>
      <c r="F32" s="2">
        <v>0</v>
      </c>
      <c r="G32" s="2">
        <v>0</v>
      </c>
      <c r="H32" s="2">
        <v>0</v>
      </c>
      <c r="I32" s="2">
        <f t="shared" si="5"/>
        <v>1.3999999737279722E-7</v>
      </c>
      <c r="K32" s="2" t="s">
        <v>853</v>
      </c>
      <c r="L32" s="2" t="str">
        <f>IF(ISERROR(VLOOKUP($K32,'Calc-Drivers'!$B$17:$G$27,L$43,FALSE))," ",VLOOKUP($K32,'Calc-Drivers'!$B$17:$G$27,L$43,FALSE))</f>
        <v xml:space="preserve"> </v>
      </c>
      <c r="M32" s="2" t="str">
        <f>IF(ISERROR(VLOOKUP($K32,'Calc-Drivers'!$B$17:$G$27,M$43,FALSE))," ",VLOOKUP($K32,'Calc-Drivers'!$B$17:$G$27,M$43,FALSE))</f>
        <v xml:space="preserve"> </v>
      </c>
      <c r="N32" s="2" t="str">
        <f>IF(ISERROR(VLOOKUP($K32,'Calc-Drivers'!$B$17:$G$27,N$43,FALSE))," ",VLOOKUP($K32,'Calc-Drivers'!$B$17:$G$27,N$43,FALSE))</f>
        <v xml:space="preserve"> </v>
      </c>
      <c r="O32" s="2" t="str">
        <f>IF(ISERROR(VLOOKUP($K32,'Calc-Drivers'!$B$17:$G$27,O$43,FALSE))," ",VLOOKUP($K32,'Calc-Drivers'!$B$17:$G$27,O$43,FALSE))</f>
        <v xml:space="preserve"> </v>
      </c>
      <c r="P32" s="2" t="str">
        <f>IF(ISERROR(VLOOKUP($K32,'Calc-Drivers'!$B$17:$G$27,P$43,FALSE))," ",VLOOKUP($K32,'Calc-Drivers'!$B$17:$G$27,P$43,FALSE))</f>
        <v xml:space="preserve"> </v>
      </c>
      <c r="S32" s="2" t="str">
        <f t="shared" si="0"/>
        <v xml:space="preserve"> </v>
      </c>
      <c r="T32" s="2" t="str">
        <f t="shared" si="0"/>
        <v xml:space="preserve"> </v>
      </c>
      <c r="U32" s="2" t="str">
        <f t="shared" si="0"/>
        <v xml:space="preserve"> </v>
      </c>
      <c r="V32" s="2" t="str">
        <f t="shared" si="0"/>
        <v xml:space="preserve"> </v>
      </c>
      <c r="W32" s="2" t="str">
        <f t="shared" si="0"/>
        <v xml:space="preserve"> </v>
      </c>
      <c r="Z32" s="2" t="str">
        <f t="shared" si="1"/>
        <v xml:space="preserve"> </v>
      </c>
      <c r="AA32" s="2" t="str">
        <f t="shared" si="1"/>
        <v xml:space="preserve"> </v>
      </c>
      <c r="AB32" s="2" t="str">
        <f t="shared" si="1"/>
        <v xml:space="preserve"> </v>
      </c>
      <c r="AC32" s="2" t="str">
        <f t="shared" si="2"/>
        <v xml:space="preserve"> </v>
      </c>
      <c r="AD32" s="2" t="str">
        <f t="shared" si="2"/>
        <v xml:space="preserve"> </v>
      </c>
      <c r="AG32" s="2" t="str">
        <f>IF(ISERROR(Z32*100000000/'Calc-Units'!$E$23)," ",Z32*100000000/'Calc-Units'!$E$23)</f>
        <v xml:space="preserve"> </v>
      </c>
      <c r="AH32" s="2" t="str">
        <f>IF(ISERROR(AA32*100000000/'Calc-Units'!$D$23)," ",AA32*100000000/'Calc-Units'!$D$23)</f>
        <v xml:space="preserve"> </v>
      </c>
      <c r="AI32" s="2" t="str">
        <f>IF(ISERROR(AB32*100000000/'Calc-Units'!$C$23)," ",AB32*100000000/'Calc-Units'!$C$23)</f>
        <v xml:space="preserve"> </v>
      </c>
      <c r="AJ32" s="2" t="str">
        <f>IF(ISERROR(AC32*100000000/'Calc-Units'!$C$23)," ",AC32*100000000/'Calc-Units'!$C$23)</f>
        <v xml:space="preserve"> </v>
      </c>
      <c r="AL32" s="2">
        <v>0</v>
      </c>
      <c r="AM32" s="2">
        <f t="shared" si="3"/>
        <v>0</v>
      </c>
      <c r="AN32" s="2">
        <f t="shared" si="4"/>
        <v>1.3999999737279722E-7</v>
      </c>
      <c r="AQ32" s="2" t="str">
        <f t="shared" si="6"/>
        <v xml:space="preserve"> </v>
      </c>
      <c r="AR32" s="2" t="str">
        <f t="shared" si="6"/>
        <v xml:space="preserve"> </v>
      </c>
      <c r="AS32" s="2" t="str">
        <f t="shared" si="6"/>
        <v xml:space="preserve"> </v>
      </c>
      <c r="AT32" s="2" t="str">
        <f t="shared" si="6"/>
        <v xml:space="preserve"> </v>
      </c>
      <c r="AU32" s="2" t="str">
        <f t="shared" si="6"/>
        <v xml:space="preserve"> </v>
      </c>
      <c r="AX32" s="2" t="str">
        <f>IF(ISERROR(AQ32*100000000/'Calc-Units'!$E$23)," ",AQ32*100000000/'Calc-Units'!$E$23)</f>
        <v xml:space="preserve"> </v>
      </c>
      <c r="AY32" s="2" t="str">
        <f>IF(ISERROR(AR32*100000000/'Calc-Units'!$D$23)," ",AR32*100000000/'Calc-Units'!$D$23)</f>
        <v xml:space="preserve"> </v>
      </c>
      <c r="AZ32" s="2" t="str">
        <f>IF(ISERROR(AS32*100000000/'Calc-Units'!$C$23)," ",AS32*100000000/'Calc-Units'!$C$23)</f>
        <v xml:space="preserve"> </v>
      </c>
      <c r="BA32" s="2" t="str">
        <f>IF(ISERROR(AT32*100000000/'Calc-Units'!$C$23)," ",AT32*100000000/'Calc-Units'!$C$23)</f>
        <v xml:space="preserve"> </v>
      </c>
    </row>
    <row r="33" spans="3:53">
      <c r="C33" s="2" t="s">
        <v>534</v>
      </c>
      <c r="D33" s="2">
        <f>'RRP 1.3'!AD$12</f>
        <v>1.0147458008000003</v>
      </c>
      <c r="E33" s="2">
        <v>0</v>
      </c>
      <c r="F33" s="2">
        <v>0</v>
      </c>
      <c r="G33" s="2">
        <v>0</v>
      </c>
      <c r="H33" s="2">
        <v>0</v>
      </c>
      <c r="I33" s="2">
        <f t="shared" si="5"/>
        <v>1.0147458008000003</v>
      </c>
      <c r="K33" s="2" t="s">
        <v>853</v>
      </c>
      <c r="L33" s="2" t="str">
        <f>IF(ISERROR(VLOOKUP($K33,'Calc-Drivers'!$B$17:$G$27,L$43,FALSE))," ",VLOOKUP($K33,'Calc-Drivers'!$B$17:$G$27,L$43,FALSE))</f>
        <v xml:space="preserve"> </v>
      </c>
      <c r="M33" s="2" t="str">
        <f>IF(ISERROR(VLOOKUP($K33,'Calc-Drivers'!$B$17:$G$27,M$43,FALSE))," ",VLOOKUP($K33,'Calc-Drivers'!$B$17:$G$27,M$43,FALSE))</f>
        <v xml:space="preserve"> </v>
      </c>
      <c r="N33" s="2" t="str">
        <f>IF(ISERROR(VLOOKUP($K33,'Calc-Drivers'!$B$17:$G$27,N$43,FALSE))," ",VLOOKUP($K33,'Calc-Drivers'!$B$17:$G$27,N$43,FALSE))</f>
        <v xml:space="preserve"> </v>
      </c>
      <c r="O33" s="2" t="str">
        <f>IF(ISERROR(VLOOKUP($K33,'Calc-Drivers'!$B$17:$G$27,O$43,FALSE))," ",VLOOKUP($K33,'Calc-Drivers'!$B$17:$G$27,O$43,FALSE))</f>
        <v xml:space="preserve"> </v>
      </c>
      <c r="P33" s="2" t="str">
        <f>IF(ISERROR(VLOOKUP($K33,'Calc-Drivers'!$B$17:$G$27,P$43,FALSE))," ",VLOOKUP($K33,'Calc-Drivers'!$B$17:$G$27,P$43,FALSE))</f>
        <v xml:space="preserve"> </v>
      </c>
      <c r="S33" s="2" t="str">
        <f t="shared" si="0"/>
        <v xml:space="preserve"> </v>
      </c>
      <c r="T33" s="2" t="str">
        <f t="shared" si="0"/>
        <v xml:space="preserve"> </v>
      </c>
      <c r="U33" s="2" t="str">
        <f t="shared" si="0"/>
        <v xml:space="preserve"> </v>
      </c>
      <c r="V33" s="2" t="str">
        <f t="shared" si="0"/>
        <v xml:space="preserve"> </v>
      </c>
      <c r="W33" s="2" t="str">
        <f t="shared" si="0"/>
        <v xml:space="preserve"> </v>
      </c>
      <c r="Z33" s="2" t="str">
        <f t="shared" si="1"/>
        <v xml:space="preserve"> </v>
      </c>
      <c r="AA33" s="2" t="str">
        <f t="shared" si="1"/>
        <v xml:space="preserve"> </v>
      </c>
      <c r="AB33" s="2" t="str">
        <f t="shared" si="1"/>
        <v xml:space="preserve"> </v>
      </c>
      <c r="AC33" s="2" t="str">
        <f t="shared" si="2"/>
        <v xml:space="preserve"> </v>
      </c>
      <c r="AD33" s="2" t="str">
        <f t="shared" si="2"/>
        <v xml:space="preserve"> </v>
      </c>
      <c r="AG33" s="2" t="str">
        <f>IF(ISERROR(Z33*100000000/'Calc-Units'!$E$23)," ",Z33*100000000/'Calc-Units'!$E$23)</f>
        <v xml:space="preserve"> </v>
      </c>
      <c r="AH33" s="2" t="str">
        <f>IF(ISERROR(AA33*100000000/'Calc-Units'!$D$23)," ",AA33*100000000/'Calc-Units'!$D$23)</f>
        <v xml:space="preserve"> </v>
      </c>
      <c r="AI33" s="2" t="str">
        <f>IF(ISERROR(AB33*100000000/'Calc-Units'!$C$23)," ",AB33*100000000/'Calc-Units'!$C$23)</f>
        <v xml:space="preserve"> </v>
      </c>
      <c r="AJ33" s="2" t="str">
        <f>IF(ISERROR(AC33*100000000/'Calc-Units'!$C$23)," ",AC33*100000000/'Calc-Units'!$C$23)</f>
        <v xml:space="preserve"> </v>
      </c>
      <c r="AL33" s="2">
        <v>0</v>
      </c>
      <c r="AM33" s="2">
        <f t="shared" si="3"/>
        <v>0</v>
      </c>
      <c r="AN33" s="2">
        <f t="shared" si="4"/>
        <v>1.0147458008000003</v>
      </c>
      <c r="AQ33" s="2" t="str">
        <f t="shared" si="6"/>
        <v xml:space="preserve"> </v>
      </c>
      <c r="AR33" s="2" t="str">
        <f t="shared" si="6"/>
        <v xml:space="preserve"> </v>
      </c>
      <c r="AS33" s="2" t="str">
        <f t="shared" si="6"/>
        <v xml:space="preserve"> </v>
      </c>
      <c r="AT33" s="2" t="str">
        <f t="shared" si="6"/>
        <v xml:space="preserve"> </v>
      </c>
      <c r="AU33" s="2" t="str">
        <f t="shared" si="6"/>
        <v xml:space="preserve"> </v>
      </c>
      <c r="AX33" s="2" t="str">
        <f>IF(ISERROR(AQ33*100000000/'Calc-Units'!$E$23)," ",AQ33*100000000/'Calc-Units'!$E$23)</f>
        <v xml:space="preserve"> </v>
      </c>
      <c r="AY33" s="2" t="str">
        <f>IF(ISERROR(AR33*100000000/'Calc-Units'!$D$23)," ",AR33*100000000/'Calc-Units'!$D$23)</f>
        <v xml:space="preserve"> </v>
      </c>
      <c r="AZ33" s="2" t="str">
        <f>IF(ISERROR(AS33*100000000/'Calc-Units'!$C$23)," ",AS33*100000000/'Calc-Units'!$C$23)</f>
        <v xml:space="preserve"> </v>
      </c>
      <c r="BA33" s="2" t="str">
        <f>IF(ISERROR(AT33*100000000/'Calc-Units'!$C$23)," ",AT33*100000000/'Calc-Units'!$C$23)</f>
        <v xml:space="preserve"> </v>
      </c>
    </row>
    <row r="34" spans="3:53">
      <c r="C34" s="2" t="s">
        <v>535</v>
      </c>
      <c r="D34" s="2">
        <f>'RRP 1.3'!AE$12</f>
        <v>-5.1969463263321618</v>
      </c>
      <c r="E34" s="2">
        <v>0</v>
      </c>
      <c r="F34" s="2">
        <v>0</v>
      </c>
      <c r="G34" s="2">
        <v>0</v>
      </c>
      <c r="H34" s="2">
        <v>0</v>
      </c>
      <c r="I34" s="2">
        <f t="shared" si="5"/>
        <v>-5.1969463263321618</v>
      </c>
      <c r="K34" s="2" t="s">
        <v>853</v>
      </c>
      <c r="L34" s="2" t="str">
        <f>IF(ISERROR(VLOOKUP($K34,'Calc-Drivers'!$B$17:$G$27,L$43,FALSE))," ",VLOOKUP($K34,'Calc-Drivers'!$B$17:$G$27,L$43,FALSE))</f>
        <v xml:space="preserve"> </v>
      </c>
      <c r="M34" s="2" t="str">
        <f>IF(ISERROR(VLOOKUP($K34,'Calc-Drivers'!$B$17:$G$27,M$43,FALSE))," ",VLOOKUP($K34,'Calc-Drivers'!$B$17:$G$27,M$43,FALSE))</f>
        <v xml:space="preserve"> </v>
      </c>
      <c r="N34" s="2" t="str">
        <f>IF(ISERROR(VLOOKUP($K34,'Calc-Drivers'!$B$17:$G$27,N$43,FALSE))," ",VLOOKUP($K34,'Calc-Drivers'!$B$17:$G$27,N$43,FALSE))</f>
        <v xml:space="preserve"> </v>
      </c>
      <c r="O34" s="2" t="str">
        <f>IF(ISERROR(VLOOKUP($K34,'Calc-Drivers'!$B$17:$G$27,O$43,FALSE))," ",VLOOKUP($K34,'Calc-Drivers'!$B$17:$G$27,O$43,FALSE))</f>
        <v xml:space="preserve"> </v>
      </c>
      <c r="P34" s="2" t="str">
        <f>IF(ISERROR(VLOOKUP($K34,'Calc-Drivers'!$B$17:$G$27,P$43,FALSE))," ",VLOOKUP($K34,'Calc-Drivers'!$B$17:$G$27,P$43,FALSE))</f>
        <v xml:space="preserve"> </v>
      </c>
      <c r="S34" s="2" t="str">
        <f t="shared" si="0"/>
        <v xml:space="preserve"> </v>
      </c>
      <c r="T34" s="2" t="str">
        <f t="shared" si="0"/>
        <v xml:space="preserve"> </v>
      </c>
      <c r="U34" s="2" t="str">
        <f t="shared" si="0"/>
        <v xml:space="preserve"> </v>
      </c>
      <c r="V34" s="2" t="str">
        <f t="shared" si="0"/>
        <v xml:space="preserve"> </v>
      </c>
      <c r="W34" s="2" t="str">
        <f t="shared" si="0"/>
        <v xml:space="preserve"> </v>
      </c>
      <c r="Z34" s="2" t="str">
        <f t="shared" si="1"/>
        <v xml:space="preserve"> </v>
      </c>
      <c r="AA34" s="2" t="str">
        <f t="shared" si="1"/>
        <v xml:space="preserve"> </v>
      </c>
      <c r="AB34" s="2" t="str">
        <f t="shared" si="1"/>
        <v xml:space="preserve"> </v>
      </c>
      <c r="AC34" s="2" t="str">
        <f t="shared" si="2"/>
        <v xml:space="preserve"> </v>
      </c>
      <c r="AD34" s="2" t="str">
        <f t="shared" si="2"/>
        <v xml:space="preserve"> </v>
      </c>
      <c r="AG34" s="2" t="str">
        <f>IF(ISERROR(Z34*100000000/'Calc-Units'!$E$23)," ",Z34*100000000/'Calc-Units'!$E$23)</f>
        <v xml:space="preserve"> </v>
      </c>
      <c r="AH34" s="2" t="str">
        <f>IF(ISERROR(AA34*100000000/'Calc-Units'!$D$23)," ",AA34*100000000/'Calc-Units'!$D$23)</f>
        <v xml:space="preserve"> </v>
      </c>
      <c r="AI34" s="2" t="str">
        <f>IF(ISERROR(AB34*100000000/'Calc-Units'!$C$23)," ",AB34*100000000/'Calc-Units'!$C$23)</f>
        <v xml:space="preserve"> </v>
      </c>
      <c r="AJ34" s="2" t="str">
        <f>IF(ISERROR(AC34*100000000/'Calc-Units'!$C$23)," ",AC34*100000000/'Calc-Units'!$C$23)</f>
        <v xml:space="preserve"> </v>
      </c>
      <c r="AL34" s="2">
        <v>0</v>
      </c>
      <c r="AM34" s="2">
        <f t="shared" si="3"/>
        <v>0</v>
      </c>
      <c r="AN34" s="2">
        <f t="shared" si="4"/>
        <v>-5.1969463263321618</v>
      </c>
      <c r="AQ34" s="2" t="str">
        <f t="shared" si="6"/>
        <v xml:space="preserve"> </v>
      </c>
      <c r="AR34" s="2" t="str">
        <f t="shared" si="6"/>
        <v xml:space="preserve"> </v>
      </c>
      <c r="AS34" s="2" t="str">
        <f t="shared" si="6"/>
        <v xml:space="preserve"> </v>
      </c>
      <c r="AT34" s="2" t="str">
        <f t="shared" si="6"/>
        <v xml:space="preserve"> </v>
      </c>
      <c r="AU34" s="2" t="str">
        <f t="shared" si="6"/>
        <v xml:space="preserve"> </v>
      </c>
      <c r="AX34" s="2" t="str">
        <f>IF(ISERROR(AQ34*100000000/'Calc-Units'!$E$23)," ",AQ34*100000000/'Calc-Units'!$E$23)</f>
        <v xml:space="preserve"> </v>
      </c>
      <c r="AY34" s="2" t="str">
        <f>IF(ISERROR(AR34*100000000/'Calc-Units'!$D$23)," ",AR34*100000000/'Calc-Units'!$D$23)</f>
        <v xml:space="preserve"> </v>
      </c>
      <c r="AZ34" s="2" t="str">
        <f>IF(ISERROR(AS34*100000000/'Calc-Units'!$C$23)," ",AS34*100000000/'Calc-Units'!$C$23)</f>
        <v xml:space="preserve"> </v>
      </c>
      <c r="BA34" s="2" t="str">
        <f>IF(ISERROR(AT34*100000000/'Calc-Units'!$C$23)," ",AT34*100000000/'Calc-Units'!$C$23)</f>
        <v xml:space="preserve"> </v>
      </c>
    </row>
    <row r="35" spans="3:53">
      <c r="C35" s="2" t="s">
        <v>536</v>
      </c>
      <c r="D35" s="2">
        <f>'RRP 1.3'!AF$12</f>
        <v>39.130465450300001</v>
      </c>
      <c r="E35" s="2">
        <v>0</v>
      </c>
      <c r="F35" s="2">
        <v>0</v>
      </c>
      <c r="G35" s="2">
        <v>0</v>
      </c>
      <c r="H35" s="2">
        <v>0</v>
      </c>
      <c r="I35" s="2">
        <f t="shared" si="5"/>
        <v>39.130465450300001</v>
      </c>
      <c r="K35" s="2" t="s">
        <v>853</v>
      </c>
      <c r="L35" s="2" t="str">
        <f>IF(ISERROR(VLOOKUP($K35,'Calc-Drivers'!$B$17:$G$27,L$43,FALSE))," ",VLOOKUP($K35,'Calc-Drivers'!$B$17:$G$27,L$43,FALSE))</f>
        <v xml:space="preserve"> </v>
      </c>
      <c r="M35" s="2" t="str">
        <f>IF(ISERROR(VLOOKUP($K35,'Calc-Drivers'!$B$17:$G$27,M$43,FALSE))," ",VLOOKUP($K35,'Calc-Drivers'!$B$17:$G$27,M$43,FALSE))</f>
        <v xml:space="preserve"> </v>
      </c>
      <c r="N35" s="2" t="str">
        <f>IF(ISERROR(VLOOKUP($K35,'Calc-Drivers'!$B$17:$G$27,N$43,FALSE))," ",VLOOKUP($K35,'Calc-Drivers'!$B$17:$G$27,N$43,FALSE))</f>
        <v xml:space="preserve"> </v>
      </c>
      <c r="O35" s="2" t="str">
        <f>IF(ISERROR(VLOOKUP($K35,'Calc-Drivers'!$B$17:$G$27,O$43,FALSE))," ",VLOOKUP($K35,'Calc-Drivers'!$B$17:$G$27,O$43,FALSE))</f>
        <v xml:space="preserve"> </v>
      </c>
      <c r="P35" s="2" t="str">
        <f>IF(ISERROR(VLOOKUP($K35,'Calc-Drivers'!$B$17:$G$27,P$43,FALSE))," ",VLOOKUP($K35,'Calc-Drivers'!$B$17:$G$27,P$43,FALSE))</f>
        <v xml:space="preserve"> </v>
      </c>
      <c r="S35" s="2" t="str">
        <f t="shared" si="0"/>
        <v xml:space="preserve"> </v>
      </c>
      <c r="T35" s="2" t="str">
        <f t="shared" si="0"/>
        <v xml:space="preserve"> </v>
      </c>
      <c r="U35" s="2" t="str">
        <f t="shared" si="0"/>
        <v xml:space="preserve"> </v>
      </c>
      <c r="V35" s="2" t="str">
        <f t="shared" si="0"/>
        <v xml:space="preserve"> </v>
      </c>
      <c r="W35" s="2" t="str">
        <f t="shared" si="0"/>
        <v xml:space="preserve"> </v>
      </c>
      <c r="Z35" s="2" t="str">
        <f t="shared" si="1"/>
        <v xml:space="preserve"> </v>
      </c>
      <c r="AA35" s="2" t="str">
        <f t="shared" si="1"/>
        <v xml:space="preserve"> </v>
      </c>
      <c r="AB35" s="2" t="str">
        <f t="shared" si="1"/>
        <v xml:space="preserve"> </v>
      </c>
      <c r="AC35" s="2" t="str">
        <f t="shared" si="2"/>
        <v xml:space="preserve"> </v>
      </c>
      <c r="AD35" s="2" t="str">
        <f t="shared" si="2"/>
        <v xml:space="preserve"> </v>
      </c>
      <c r="AG35" s="2" t="str">
        <f>IF(ISERROR(Z35*100000000/'Calc-Units'!$E$23)," ",Z35*100000000/'Calc-Units'!$E$23)</f>
        <v xml:space="preserve"> </v>
      </c>
      <c r="AH35" s="2" t="str">
        <f>IF(ISERROR(AA35*100000000/'Calc-Units'!$D$23)," ",AA35*100000000/'Calc-Units'!$D$23)</f>
        <v xml:space="preserve"> </v>
      </c>
      <c r="AI35" s="2" t="str">
        <f>IF(ISERROR(AB35*100000000/'Calc-Units'!$C$23)," ",AB35*100000000/'Calc-Units'!$C$23)</f>
        <v xml:space="preserve"> </v>
      </c>
      <c r="AJ35" s="2" t="str">
        <f>IF(ISERROR(AC35*100000000/'Calc-Units'!$C$23)," ",AC35*100000000/'Calc-Units'!$C$23)</f>
        <v xml:space="preserve"> </v>
      </c>
      <c r="AL35" s="2">
        <v>0</v>
      </c>
      <c r="AM35" s="2">
        <f t="shared" si="3"/>
        <v>0</v>
      </c>
      <c r="AN35" s="2">
        <f t="shared" si="4"/>
        <v>39.130465450300001</v>
      </c>
      <c r="AQ35" s="2" t="str">
        <f t="shared" si="6"/>
        <v xml:space="preserve"> </v>
      </c>
      <c r="AR35" s="2" t="str">
        <f t="shared" si="6"/>
        <v xml:space="preserve"> </v>
      </c>
      <c r="AS35" s="2" t="str">
        <f t="shared" si="6"/>
        <v xml:space="preserve"> </v>
      </c>
      <c r="AT35" s="2" t="str">
        <f t="shared" si="6"/>
        <v xml:space="preserve"> </v>
      </c>
      <c r="AU35" s="2" t="str">
        <f t="shared" si="6"/>
        <v xml:space="preserve"> </v>
      </c>
      <c r="AX35" s="2" t="str">
        <f>IF(ISERROR(AQ35*100000000/'Calc-Units'!$E$23)," ",AQ35*100000000/'Calc-Units'!$E$23)</f>
        <v xml:space="preserve"> </v>
      </c>
      <c r="AY35" s="2" t="str">
        <f>IF(ISERROR(AR35*100000000/'Calc-Units'!$D$23)," ",AR35*100000000/'Calc-Units'!$D$23)</f>
        <v xml:space="preserve"> </v>
      </c>
      <c r="AZ35" s="2" t="str">
        <f>IF(ISERROR(AS35*100000000/'Calc-Units'!$C$23)," ",AS35*100000000/'Calc-Units'!$C$23)</f>
        <v xml:space="preserve"> </v>
      </c>
      <c r="BA35" s="2" t="str">
        <f>IF(ISERROR(AT35*100000000/'Calc-Units'!$C$23)," ",AT35*100000000/'Calc-Units'!$C$23)</f>
        <v xml:space="preserve"> </v>
      </c>
    </row>
    <row r="36" spans="3:53">
      <c r="C36" s="2" t="s">
        <v>537</v>
      </c>
      <c r="D36" s="2">
        <f>'RRP 1.3'!AG$12</f>
        <v>20.184226800000001</v>
      </c>
      <c r="E36" s="2">
        <v>0</v>
      </c>
      <c r="F36" s="2">
        <v>0</v>
      </c>
      <c r="G36" s="2">
        <v>0</v>
      </c>
      <c r="H36" s="2">
        <v>0</v>
      </c>
      <c r="I36" s="2">
        <f t="shared" si="5"/>
        <v>20.184226800000001</v>
      </c>
      <c r="K36" s="2" t="s">
        <v>853</v>
      </c>
      <c r="L36" s="2" t="str">
        <f>IF(ISERROR(VLOOKUP($K36,'Calc-Drivers'!$B$17:$G$27,L$43,FALSE))," ",VLOOKUP($K36,'Calc-Drivers'!$B$17:$G$27,L$43,FALSE))</f>
        <v xml:space="preserve"> </v>
      </c>
      <c r="M36" s="2" t="str">
        <f>IF(ISERROR(VLOOKUP($K36,'Calc-Drivers'!$B$17:$G$27,M$43,FALSE))," ",VLOOKUP($K36,'Calc-Drivers'!$B$17:$G$27,M$43,FALSE))</f>
        <v xml:space="preserve"> </v>
      </c>
      <c r="N36" s="2" t="str">
        <f>IF(ISERROR(VLOOKUP($K36,'Calc-Drivers'!$B$17:$G$27,N$43,FALSE))," ",VLOOKUP($K36,'Calc-Drivers'!$B$17:$G$27,N$43,FALSE))</f>
        <v xml:space="preserve"> </v>
      </c>
      <c r="O36" s="2" t="str">
        <f>IF(ISERROR(VLOOKUP($K36,'Calc-Drivers'!$B$17:$G$27,O$43,FALSE))," ",VLOOKUP($K36,'Calc-Drivers'!$B$17:$G$27,O$43,FALSE))</f>
        <v xml:space="preserve"> </v>
      </c>
      <c r="P36" s="2" t="str">
        <f>IF(ISERROR(VLOOKUP($K36,'Calc-Drivers'!$B$17:$G$27,P$43,FALSE))," ",VLOOKUP($K36,'Calc-Drivers'!$B$17:$G$27,P$43,FALSE))</f>
        <v xml:space="preserve"> </v>
      </c>
      <c r="S36" s="2" t="str">
        <f t="shared" si="0"/>
        <v xml:space="preserve"> </v>
      </c>
      <c r="T36" s="2" t="str">
        <f t="shared" si="0"/>
        <v xml:space="preserve"> </v>
      </c>
      <c r="U36" s="2" t="str">
        <f t="shared" si="0"/>
        <v xml:space="preserve"> </v>
      </c>
      <c r="V36" s="2" t="str">
        <f t="shared" si="0"/>
        <v xml:space="preserve"> </v>
      </c>
      <c r="W36" s="2" t="str">
        <f t="shared" si="0"/>
        <v xml:space="preserve"> </v>
      </c>
      <c r="Z36" s="2" t="str">
        <f t="shared" si="1"/>
        <v xml:space="preserve"> </v>
      </c>
      <c r="AA36" s="2" t="str">
        <f t="shared" si="1"/>
        <v xml:space="preserve"> </v>
      </c>
      <c r="AB36" s="2" t="str">
        <f t="shared" si="1"/>
        <v xml:space="preserve"> </v>
      </c>
      <c r="AC36" s="2" t="str">
        <f t="shared" si="2"/>
        <v xml:space="preserve"> </v>
      </c>
      <c r="AD36" s="2" t="str">
        <f t="shared" si="2"/>
        <v xml:space="preserve"> </v>
      </c>
      <c r="AG36" s="2" t="str">
        <f>IF(ISERROR(Z36*100000000/'Calc-Units'!$E$23)," ",Z36*100000000/'Calc-Units'!$E$23)</f>
        <v xml:space="preserve"> </v>
      </c>
      <c r="AH36" s="2" t="str">
        <f>IF(ISERROR(AA36*100000000/'Calc-Units'!$D$23)," ",AA36*100000000/'Calc-Units'!$D$23)</f>
        <v xml:space="preserve"> </v>
      </c>
      <c r="AI36" s="2" t="str">
        <f>IF(ISERROR(AB36*100000000/'Calc-Units'!$C$23)," ",AB36*100000000/'Calc-Units'!$C$23)</f>
        <v xml:space="preserve"> </v>
      </c>
      <c r="AJ36" s="2" t="str">
        <f>IF(ISERROR(AC36*100000000/'Calc-Units'!$C$23)," ",AC36*100000000/'Calc-Units'!$C$23)</f>
        <v xml:space="preserve"> </v>
      </c>
      <c r="AL36" s="2">
        <v>0</v>
      </c>
      <c r="AM36" s="2">
        <f t="shared" si="3"/>
        <v>0</v>
      </c>
      <c r="AN36" s="2">
        <f t="shared" si="4"/>
        <v>20.184226800000001</v>
      </c>
      <c r="AQ36" s="2" t="str">
        <f t="shared" si="6"/>
        <v xml:space="preserve"> </v>
      </c>
      <c r="AR36" s="2" t="str">
        <f t="shared" si="6"/>
        <v xml:space="preserve"> </v>
      </c>
      <c r="AS36" s="2" t="str">
        <f t="shared" si="6"/>
        <v xml:space="preserve"> </v>
      </c>
      <c r="AT36" s="2" t="str">
        <f t="shared" si="6"/>
        <v xml:space="preserve"> </v>
      </c>
      <c r="AU36" s="2" t="str">
        <f t="shared" si="6"/>
        <v xml:space="preserve"> </v>
      </c>
      <c r="AX36" s="2" t="str">
        <f>IF(ISERROR(AQ36*100000000/'Calc-Units'!$E$23)," ",AQ36*100000000/'Calc-Units'!$E$23)</f>
        <v xml:space="preserve"> </v>
      </c>
      <c r="AY36" s="2" t="str">
        <f>IF(ISERROR(AR36*100000000/'Calc-Units'!$D$23)," ",AR36*100000000/'Calc-Units'!$D$23)</f>
        <v xml:space="preserve"> </v>
      </c>
      <c r="AZ36" s="2" t="str">
        <f>IF(ISERROR(AS36*100000000/'Calc-Units'!$C$23)," ",AS36*100000000/'Calc-Units'!$C$23)</f>
        <v xml:space="preserve"> </v>
      </c>
      <c r="BA36" s="2" t="str">
        <f>IF(ISERROR(AT36*100000000/'Calc-Units'!$C$23)," ",AT36*100000000/'Calc-Units'!$C$23)</f>
        <v xml:space="preserve"> </v>
      </c>
    </row>
    <row r="37" spans="3:53">
      <c r="C37" s="2" t="s">
        <v>538</v>
      </c>
      <c r="D37" s="2">
        <f>'RRP 1.3'!AH$12</f>
        <v>8</v>
      </c>
      <c r="E37" s="2">
        <v>0</v>
      </c>
      <c r="F37" s="2">
        <v>0</v>
      </c>
      <c r="G37" s="2">
        <v>0</v>
      </c>
      <c r="H37" s="2">
        <v>0</v>
      </c>
      <c r="I37" s="2">
        <f t="shared" si="5"/>
        <v>8</v>
      </c>
      <c r="K37" s="2" t="s">
        <v>853</v>
      </c>
      <c r="L37" s="2" t="str">
        <f>IF(ISERROR(VLOOKUP($K37,'Calc-Drivers'!$B$17:$G$27,L$43,FALSE))," ",VLOOKUP($K37,'Calc-Drivers'!$B$17:$G$27,L$43,FALSE))</f>
        <v xml:space="preserve"> </v>
      </c>
      <c r="M37" s="2" t="str">
        <f>IF(ISERROR(VLOOKUP($K37,'Calc-Drivers'!$B$17:$G$27,M$43,FALSE))," ",VLOOKUP($K37,'Calc-Drivers'!$B$17:$G$27,M$43,FALSE))</f>
        <v xml:space="preserve"> </v>
      </c>
      <c r="N37" s="2" t="str">
        <f>IF(ISERROR(VLOOKUP($K37,'Calc-Drivers'!$B$17:$G$27,N$43,FALSE))," ",VLOOKUP($K37,'Calc-Drivers'!$B$17:$G$27,N$43,FALSE))</f>
        <v xml:space="preserve"> </v>
      </c>
      <c r="O37" s="2" t="str">
        <f>IF(ISERROR(VLOOKUP($K37,'Calc-Drivers'!$B$17:$G$27,O$43,FALSE))," ",VLOOKUP($K37,'Calc-Drivers'!$B$17:$G$27,O$43,FALSE))</f>
        <v xml:space="preserve"> </v>
      </c>
      <c r="P37" s="2" t="str">
        <f>IF(ISERROR(VLOOKUP($K37,'Calc-Drivers'!$B$17:$G$27,P$43,FALSE))," ",VLOOKUP($K37,'Calc-Drivers'!$B$17:$G$27,P$43,FALSE))</f>
        <v xml:space="preserve"> </v>
      </c>
      <c r="S37" s="2" t="str">
        <f t="shared" si="0"/>
        <v xml:space="preserve"> </v>
      </c>
      <c r="T37" s="2" t="str">
        <f t="shared" si="0"/>
        <v xml:space="preserve"> </v>
      </c>
      <c r="U37" s="2" t="str">
        <f t="shared" si="0"/>
        <v xml:space="preserve"> </v>
      </c>
      <c r="V37" s="2" t="str">
        <f t="shared" si="0"/>
        <v xml:space="preserve"> </v>
      </c>
      <c r="W37" s="2" t="str">
        <f t="shared" si="0"/>
        <v xml:space="preserve"> </v>
      </c>
      <c r="Z37" s="2" t="str">
        <f t="shared" si="1"/>
        <v xml:space="preserve"> </v>
      </c>
      <c r="AA37" s="2" t="str">
        <f t="shared" si="1"/>
        <v xml:space="preserve"> </v>
      </c>
      <c r="AB37" s="2" t="str">
        <f t="shared" si="1"/>
        <v xml:space="preserve"> </v>
      </c>
      <c r="AC37" s="2" t="str">
        <f t="shared" si="2"/>
        <v xml:space="preserve"> </v>
      </c>
      <c r="AD37" s="2" t="str">
        <f t="shared" si="2"/>
        <v xml:space="preserve"> </v>
      </c>
      <c r="AG37" s="2" t="str">
        <f>IF(ISERROR(Z37*100000000/'Calc-Units'!$E$23)," ",Z37*100000000/'Calc-Units'!$E$23)</f>
        <v xml:space="preserve"> </v>
      </c>
      <c r="AH37" s="2" t="str">
        <f>IF(ISERROR(AA37*100000000/'Calc-Units'!$D$23)," ",AA37*100000000/'Calc-Units'!$D$23)</f>
        <v xml:space="preserve"> </v>
      </c>
      <c r="AI37" s="2" t="str">
        <f>IF(ISERROR(AB37*100000000/'Calc-Units'!$C$23)," ",AB37*100000000/'Calc-Units'!$C$23)</f>
        <v xml:space="preserve"> </v>
      </c>
      <c r="AJ37" s="2" t="str">
        <f>IF(ISERROR(AC37*100000000/'Calc-Units'!$C$23)," ",AC37*100000000/'Calc-Units'!$C$23)</f>
        <v xml:space="preserve"> </v>
      </c>
      <c r="AL37" s="2">
        <v>0</v>
      </c>
      <c r="AM37" s="2">
        <f t="shared" si="3"/>
        <v>0</v>
      </c>
      <c r="AN37" s="2">
        <f t="shared" si="4"/>
        <v>8</v>
      </c>
      <c r="AQ37" s="2" t="str">
        <f t="shared" si="6"/>
        <v xml:space="preserve"> </v>
      </c>
      <c r="AR37" s="2" t="str">
        <f t="shared" si="6"/>
        <v xml:space="preserve"> </v>
      </c>
      <c r="AS37" s="2" t="str">
        <f t="shared" si="6"/>
        <v xml:space="preserve"> </v>
      </c>
      <c r="AT37" s="2" t="str">
        <f t="shared" si="6"/>
        <v xml:space="preserve"> </v>
      </c>
      <c r="AU37" s="2" t="str">
        <f t="shared" si="6"/>
        <v xml:space="preserve"> </v>
      </c>
      <c r="AX37" s="2" t="str">
        <f>IF(ISERROR(AQ37*100000000/'Calc-Units'!$E$23)," ",AQ37*100000000/'Calc-Units'!$E$23)</f>
        <v xml:space="preserve"> </v>
      </c>
      <c r="AY37" s="2" t="str">
        <f>IF(ISERROR(AR37*100000000/'Calc-Units'!$D$23)," ",AR37*100000000/'Calc-Units'!$D$23)</f>
        <v xml:space="preserve"> </v>
      </c>
      <c r="AZ37" s="2" t="str">
        <f>IF(ISERROR(AS37*100000000/'Calc-Units'!$C$23)," ",AS37*100000000/'Calc-Units'!$C$23)</f>
        <v xml:space="preserve"> </v>
      </c>
      <c r="BA37" s="2" t="str">
        <f>IF(ISERROR(AT37*100000000/'Calc-Units'!$C$23)," ",AT37*100000000/'Calc-Units'!$C$23)</f>
        <v xml:space="preserve"> </v>
      </c>
    </row>
    <row r="38" spans="3:53">
      <c r="C38" s="2" t="s">
        <v>539</v>
      </c>
      <c r="D38" s="2">
        <f>'RRP 1.3'!AI$12</f>
        <v>-7.62</v>
      </c>
      <c r="E38" s="2">
        <v>0</v>
      </c>
      <c r="F38" s="2">
        <v>0</v>
      </c>
      <c r="G38" s="2">
        <v>0</v>
      </c>
      <c r="H38" s="2">
        <v>0</v>
      </c>
      <c r="I38" s="2">
        <f t="shared" si="5"/>
        <v>-7.62</v>
      </c>
      <c r="K38" s="2" t="s">
        <v>853</v>
      </c>
      <c r="L38" s="2" t="str">
        <f>IF(ISERROR(VLOOKUP($K38,'Calc-Drivers'!$B$17:$G$27,L$43,FALSE))," ",VLOOKUP($K38,'Calc-Drivers'!$B$17:$G$27,L$43,FALSE))</f>
        <v xml:space="preserve"> </v>
      </c>
      <c r="M38" s="2" t="str">
        <f>IF(ISERROR(VLOOKUP($K38,'Calc-Drivers'!$B$17:$G$27,M$43,FALSE))," ",VLOOKUP($K38,'Calc-Drivers'!$B$17:$G$27,M$43,FALSE))</f>
        <v xml:space="preserve"> </v>
      </c>
      <c r="N38" s="2" t="str">
        <f>IF(ISERROR(VLOOKUP($K38,'Calc-Drivers'!$B$17:$G$27,N$43,FALSE))," ",VLOOKUP($K38,'Calc-Drivers'!$B$17:$G$27,N$43,FALSE))</f>
        <v xml:space="preserve"> </v>
      </c>
      <c r="O38" s="2" t="str">
        <f>IF(ISERROR(VLOOKUP($K38,'Calc-Drivers'!$B$17:$G$27,O$43,FALSE))," ",VLOOKUP($K38,'Calc-Drivers'!$B$17:$G$27,O$43,FALSE))</f>
        <v xml:space="preserve"> </v>
      </c>
      <c r="P38" s="2" t="str">
        <f>IF(ISERROR(VLOOKUP($K38,'Calc-Drivers'!$B$17:$G$27,P$43,FALSE))," ",VLOOKUP($K38,'Calc-Drivers'!$B$17:$G$27,P$43,FALSE))</f>
        <v xml:space="preserve"> </v>
      </c>
      <c r="S38" s="2" t="str">
        <f t="shared" si="0"/>
        <v xml:space="preserve"> </v>
      </c>
      <c r="T38" s="2" t="str">
        <f t="shared" si="0"/>
        <v xml:space="preserve"> </v>
      </c>
      <c r="U38" s="2" t="str">
        <f t="shared" si="0"/>
        <v xml:space="preserve"> </v>
      </c>
      <c r="V38" s="2" t="str">
        <f t="shared" si="0"/>
        <v xml:space="preserve"> </v>
      </c>
      <c r="W38" s="2" t="str">
        <f t="shared" si="0"/>
        <v xml:space="preserve"> </v>
      </c>
      <c r="Z38" s="2" t="str">
        <f t="shared" si="1"/>
        <v xml:space="preserve"> </v>
      </c>
      <c r="AA38" s="2" t="str">
        <f t="shared" si="1"/>
        <v xml:space="preserve"> </v>
      </c>
      <c r="AB38" s="2" t="str">
        <f t="shared" si="1"/>
        <v xml:space="preserve"> </v>
      </c>
      <c r="AC38" s="2" t="str">
        <f t="shared" si="2"/>
        <v xml:space="preserve"> </v>
      </c>
      <c r="AD38" s="2" t="str">
        <f t="shared" si="2"/>
        <v xml:space="preserve"> </v>
      </c>
      <c r="AG38" s="2" t="str">
        <f>IF(ISERROR(Z38*100000000/'Calc-Units'!$E$23)," ",Z38*100000000/'Calc-Units'!$E$23)</f>
        <v xml:space="preserve"> </v>
      </c>
      <c r="AH38" s="2" t="str">
        <f>IF(ISERROR(AA38*100000000/'Calc-Units'!$D$23)," ",AA38*100000000/'Calc-Units'!$D$23)</f>
        <v xml:space="preserve"> </v>
      </c>
      <c r="AI38" s="2" t="str">
        <f>IF(ISERROR(AB38*100000000/'Calc-Units'!$C$23)," ",AB38*100000000/'Calc-Units'!$C$23)</f>
        <v xml:space="preserve"> </v>
      </c>
      <c r="AJ38" s="2" t="str">
        <f>IF(ISERROR(AC38*100000000/'Calc-Units'!$C$23)," ",AC38*100000000/'Calc-Units'!$C$23)</f>
        <v xml:space="preserve"> </v>
      </c>
      <c r="AL38" s="2">
        <v>0</v>
      </c>
      <c r="AM38" s="2">
        <f t="shared" si="3"/>
        <v>0</v>
      </c>
      <c r="AN38" s="2">
        <f t="shared" si="4"/>
        <v>-7.62</v>
      </c>
      <c r="AQ38" s="2" t="str">
        <f t="shared" si="6"/>
        <v xml:space="preserve"> </v>
      </c>
      <c r="AR38" s="2" t="str">
        <f t="shared" si="6"/>
        <v xml:space="preserve"> </v>
      </c>
      <c r="AS38" s="2" t="str">
        <f t="shared" si="6"/>
        <v xml:space="preserve"> </v>
      </c>
      <c r="AT38" s="2" t="str">
        <f t="shared" si="6"/>
        <v xml:space="preserve"> </v>
      </c>
      <c r="AU38" s="2" t="str">
        <f t="shared" si="6"/>
        <v xml:space="preserve"> </v>
      </c>
      <c r="AX38" s="2" t="str">
        <f>IF(ISERROR(AQ38*100000000/'Calc-Units'!$E$23)," ",AQ38*100000000/'Calc-Units'!$E$23)</f>
        <v xml:space="preserve"> </v>
      </c>
      <c r="AY38" s="2" t="str">
        <f>IF(ISERROR(AR38*100000000/'Calc-Units'!$D$23)," ",AR38*100000000/'Calc-Units'!$D$23)</f>
        <v xml:space="preserve"> </v>
      </c>
      <c r="AZ38" s="2" t="str">
        <f>IF(ISERROR(AS38*100000000/'Calc-Units'!$C$23)," ",AS38*100000000/'Calc-Units'!$C$23)</f>
        <v xml:space="preserve"> </v>
      </c>
      <c r="BA38" s="2" t="str">
        <f>IF(ISERROR(AT38*100000000/'Calc-Units'!$C$23)," ",AT38*100000000/'Calc-Units'!$C$23)</f>
        <v xml:space="preserve"> </v>
      </c>
    </row>
    <row r="39" spans="3:53">
      <c r="C39" s="2" t="s">
        <v>540</v>
      </c>
      <c r="D39" s="2">
        <f>'RRP 1.3'!AJ$12</f>
        <v>2.4709437074936318</v>
      </c>
      <c r="E39" s="2">
        <v>0</v>
      </c>
      <c r="F39" s="2">
        <v>0</v>
      </c>
      <c r="G39" s="2">
        <v>0</v>
      </c>
      <c r="H39" s="2">
        <v>0</v>
      </c>
      <c r="I39" s="2">
        <f t="shared" si="5"/>
        <v>2.4709437074936318</v>
      </c>
      <c r="K39" s="2" t="s">
        <v>853</v>
      </c>
      <c r="L39" s="2" t="str">
        <f>IF(ISERROR(VLOOKUP($K39,'Calc-Drivers'!$B$17:$G$27,L$43,FALSE))," ",VLOOKUP($K39,'Calc-Drivers'!$B$17:$G$27,L$43,FALSE))</f>
        <v xml:space="preserve"> </v>
      </c>
      <c r="M39" s="2" t="str">
        <f>IF(ISERROR(VLOOKUP($K39,'Calc-Drivers'!$B$17:$G$27,M$43,FALSE))," ",VLOOKUP($K39,'Calc-Drivers'!$B$17:$G$27,M$43,FALSE))</f>
        <v xml:space="preserve"> </v>
      </c>
      <c r="N39" s="2" t="str">
        <f>IF(ISERROR(VLOOKUP($K39,'Calc-Drivers'!$B$17:$G$27,N$43,FALSE))," ",VLOOKUP($K39,'Calc-Drivers'!$B$17:$G$27,N$43,FALSE))</f>
        <v xml:space="preserve"> </v>
      </c>
      <c r="O39" s="2" t="str">
        <f>IF(ISERROR(VLOOKUP($K39,'Calc-Drivers'!$B$17:$G$27,O$43,FALSE))," ",VLOOKUP($K39,'Calc-Drivers'!$B$17:$G$27,O$43,FALSE))</f>
        <v xml:space="preserve"> </v>
      </c>
      <c r="P39" s="2" t="str">
        <f>IF(ISERROR(VLOOKUP($K39,'Calc-Drivers'!$B$17:$G$27,P$43,FALSE))," ",VLOOKUP($K39,'Calc-Drivers'!$B$17:$G$27,P$43,FALSE))</f>
        <v xml:space="preserve"> </v>
      </c>
      <c r="S39" s="2" t="str">
        <f t="shared" si="0"/>
        <v xml:space="preserve"> </v>
      </c>
      <c r="T39" s="2" t="str">
        <f t="shared" si="0"/>
        <v xml:space="preserve"> </v>
      </c>
      <c r="U39" s="2" t="str">
        <f t="shared" si="0"/>
        <v xml:space="preserve"> </v>
      </c>
      <c r="V39" s="2" t="str">
        <f t="shared" si="0"/>
        <v xml:space="preserve"> </v>
      </c>
      <c r="W39" s="2" t="str">
        <f t="shared" si="0"/>
        <v xml:space="preserve"> </v>
      </c>
      <c r="Z39" s="2" t="str">
        <f t="shared" si="1"/>
        <v xml:space="preserve"> </v>
      </c>
      <c r="AA39" s="2" t="str">
        <f t="shared" si="1"/>
        <v xml:space="preserve"> </v>
      </c>
      <c r="AB39" s="2" t="str">
        <f t="shared" si="1"/>
        <v xml:space="preserve"> </v>
      </c>
      <c r="AC39" s="2" t="str">
        <f t="shared" si="2"/>
        <v xml:space="preserve"> </v>
      </c>
      <c r="AD39" s="2" t="str">
        <f t="shared" si="2"/>
        <v xml:space="preserve"> </v>
      </c>
      <c r="AG39" s="2" t="str">
        <f>IF(ISERROR(Z39*100000000/'Calc-Units'!$E$23)," ",Z39*100000000/'Calc-Units'!$E$23)</f>
        <v xml:space="preserve"> </v>
      </c>
      <c r="AH39" s="2" t="str">
        <f>IF(ISERROR(AA39*100000000/'Calc-Units'!$D$23)," ",AA39*100000000/'Calc-Units'!$D$23)</f>
        <v xml:space="preserve"> </v>
      </c>
      <c r="AI39" s="2" t="str">
        <f>IF(ISERROR(AB39*100000000/'Calc-Units'!$C$23)," ",AB39*100000000/'Calc-Units'!$C$23)</f>
        <v xml:space="preserve"> </v>
      </c>
      <c r="AJ39" s="2" t="str">
        <f>IF(ISERROR(AC39*100000000/'Calc-Units'!$C$23)," ",AC39*100000000/'Calc-Units'!$C$23)</f>
        <v xml:space="preserve"> </v>
      </c>
      <c r="AL39" s="2">
        <v>0</v>
      </c>
      <c r="AM39" s="2">
        <f t="shared" si="3"/>
        <v>0</v>
      </c>
      <c r="AN39" s="2">
        <f t="shared" si="4"/>
        <v>2.4709437074936318</v>
      </c>
      <c r="AQ39" s="2" t="str">
        <f t="shared" si="6"/>
        <v xml:space="preserve"> </v>
      </c>
      <c r="AR39" s="2" t="str">
        <f t="shared" si="6"/>
        <v xml:space="preserve"> </v>
      </c>
      <c r="AS39" s="2" t="str">
        <f t="shared" si="6"/>
        <v xml:space="preserve"> </v>
      </c>
      <c r="AT39" s="2" t="str">
        <f t="shared" si="6"/>
        <v xml:space="preserve"> </v>
      </c>
      <c r="AU39" s="2" t="str">
        <f t="shared" si="6"/>
        <v xml:space="preserve"> </v>
      </c>
      <c r="AX39" s="2" t="str">
        <f>IF(ISERROR(AQ39*100000000/'Calc-Units'!$E$23)," ",AQ39*100000000/'Calc-Units'!$E$23)</f>
        <v xml:space="preserve"> </v>
      </c>
      <c r="AY39" s="2" t="str">
        <f>IF(ISERROR(AR39*100000000/'Calc-Units'!$D$23)," ",AR39*100000000/'Calc-Units'!$D$23)</f>
        <v xml:space="preserve"> </v>
      </c>
      <c r="AZ39" s="2" t="str">
        <f>IF(ISERROR(AS39*100000000/'Calc-Units'!$C$23)," ",AS39*100000000/'Calc-Units'!$C$23)</f>
        <v xml:space="preserve"> </v>
      </c>
      <c r="BA39" s="2" t="str">
        <f>IF(ISERROR(AT39*100000000/'Calc-Units'!$C$23)," ",AT39*100000000/'Calc-Units'!$C$23)</f>
        <v xml:space="preserve"> </v>
      </c>
    </row>
    <row r="40" spans="3:53">
      <c r="C40" s="2" t="s">
        <v>541</v>
      </c>
      <c r="D40" s="2">
        <f>SUM(D7:D39)</f>
        <v>299</v>
      </c>
      <c r="E40" s="2">
        <f>SUM(E7:E39)</f>
        <v>50.084972916402421</v>
      </c>
      <c r="F40" s="2">
        <f>SUM(F7:F39)</f>
        <v>42.454884252203485</v>
      </c>
      <c r="G40" s="2">
        <f>SUM(G7:G39)</f>
        <v>12.794773386254157</v>
      </c>
      <c r="H40" s="2">
        <f>SUM(H7:H39)</f>
        <v>39.715348742661007</v>
      </c>
      <c r="I40" s="2">
        <f t="shared" si="5"/>
        <v>153.95002070247892</v>
      </c>
      <c r="R40" s="2" t="s">
        <v>200</v>
      </c>
      <c r="S40" s="2">
        <f>SUM(S7:S39)</f>
        <v>24.316334561298845</v>
      </c>
      <c r="T40" s="2">
        <f>SUM(T7:T39)</f>
        <v>8.483493342186069</v>
      </c>
      <c r="U40" s="2">
        <f>SUM(U7:U39)</f>
        <v>2.2802591094545588</v>
      </c>
      <c r="V40" s="2">
        <f>SUM(V7:V39)</f>
        <v>14.395039063148614</v>
      </c>
      <c r="Y40" s="2" t="s">
        <v>855</v>
      </c>
      <c r="Z40" s="2">
        <f>SUM(Z41:AD41)</f>
        <v>209.56938843934677</v>
      </c>
      <c r="AF40" s="2" t="s">
        <v>855</v>
      </c>
      <c r="AG40" s="2">
        <f>SUM(AG41:AJ41)</f>
        <v>0.76436693898904673</v>
      </c>
      <c r="AL40" s="2" t="s">
        <v>200</v>
      </c>
      <c r="AM40" s="2">
        <f>SUM(AM7:AM39)</f>
        <v>153.21038052366586</v>
      </c>
      <c r="AN40" s="2">
        <f>SUM(AN7:AN39)</f>
        <v>145.78961947633414</v>
      </c>
      <c r="AP40" s="2" t="s">
        <v>855</v>
      </c>
      <c r="AQ40" s="2">
        <f>SUM(AQ41:AU41)</f>
        <v>61.303057958715137</v>
      </c>
      <c r="AW40" s="2" t="s">
        <v>855</v>
      </c>
      <c r="AX40" s="2">
        <f>SUM(AX41:BA41)</f>
        <v>0.21821564729674808</v>
      </c>
    </row>
    <row r="41" spans="3:53" ht="20.25" customHeight="1">
      <c r="Y41" s="2" t="s">
        <v>856</v>
      </c>
      <c r="Z41" s="2">
        <f>SUM(Z7:Z39)</f>
        <v>74.401307477701295</v>
      </c>
      <c r="AA41" s="2">
        <f>SUM(AA7:AA39)</f>
        <v>50.938377594389571</v>
      </c>
      <c r="AB41" s="2">
        <f>SUM(AB7:AB39)</f>
        <v>15.075032495708719</v>
      </c>
      <c r="AC41" s="2">
        <f>SUM(AC7:AC39)</f>
        <v>33.814779573960621</v>
      </c>
      <c r="AD41" s="2">
        <f>SUM(AD7:AD39)</f>
        <v>35.339891297586583</v>
      </c>
      <c r="AF41" s="2" t="s">
        <v>856</v>
      </c>
      <c r="AG41" s="2">
        <f>SUM(AG7:AG39)</f>
        <v>0.2812542035949015</v>
      </c>
      <c r="AH41" s="2">
        <f>SUM(AH7:AH39)</f>
        <v>0.19693963735112638</v>
      </c>
      <c r="AI41" s="2">
        <f>SUM(AI7:AI39)</f>
        <v>8.8240649120280498E-2</v>
      </c>
      <c r="AJ41" s="2">
        <f>SUM(AJ7:AJ39)</f>
        <v>0.19793244892273834</v>
      </c>
      <c r="AP41" s="2" t="s">
        <v>856</v>
      </c>
      <c r="AQ41" s="2">
        <f>SUM(AQ7:AQ39)</f>
        <v>15.340742709529394</v>
      </c>
      <c r="AR41" s="2">
        <f>SUM(AR7:AR39)</f>
        <v>12.174362749891531</v>
      </c>
      <c r="AS41" s="2">
        <f>SUM(AS7:AS39)</f>
        <v>5.49878072963193</v>
      </c>
      <c r="AT41" s="2">
        <f>SUM(AT7:AT39)</f>
        <v>13.832646380428615</v>
      </c>
      <c r="AU41" s="2">
        <f>SUM(AU7:AU39)</f>
        <v>14.456525389233668</v>
      </c>
      <c r="AW41" s="2" t="s">
        <v>856</v>
      </c>
      <c r="AX41" s="2">
        <f>SUM(AX7:AX39)</f>
        <v>5.7991566540898765E-2</v>
      </c>
      <c r="AY41" s="2">
        <f>SUM(AY7:AY39)</f>
        <v>4.7068923239690634E-2</v>
      </c>
      <c r="AZ41" s="2">
        <f>SUM(AZ7:AZ39)</f>
        <v>3.2186728691359918E-2</v>
      </c>
      <c r="BA41" s="2">
        <f>SUM(BA7:BA39)</f>
        <v>8.0968428824798752E-2</v>
      </c>
    </row>
    <row r="42" spans="3:53" ht="20.25" customHeight="1">
      <c r="Y42" s="2" t="s">
        <v>857</v>
      </c>
      <c r="Z42" s="2">
        <f>Z41/$Z$40</f>
        <v>0.35501991980682046</v>
      </c>
      <c r="AA42" s="2">
        <f>AA41/$Z$40</f>
        <v>0.24306210927905664</v>
      </c>
      <c r="AB42" s="2">
        <f>AB41/$Z$40</f>
        <v>7.1933370650989467E-2</v>
      </c>
      <c r="AC42" s="2">
        <f>AC41/$Z$40</f>
        <v>0.16135362051575219</v>
      </c>
      <c r="AD42" s="2">
        <f>AD41/$Z$40</f>
        <v>0.16863097974738137</v>
      </c>
      <c r="AF42" s="2" t="s">
        <v>857</v>
      </c>
      <c r="AG42" s="2">
        <f>AG41/$AG$40</f>
        <v>0.36795704948579916</v>
      </c>
      <c r="AH42" s="2">
        <f>AH41/$AG$40</f>
        <v>0.25765064827581258</v>
      </c>
      <c r="AI42" s="2">
        <f>AI41/$AG$40</f>
        <v>0.1154427862055203</v>
      </c>
      <c r="AJ42" s="2">
        <f>AJ41/$AG$40</f>
        <v>0.25894951603286792</v>
      </c>
      <c r="AP42" s="2" t="s">
        <v>857</v>
      </c>
      <c r="AQ42" s="2">
        <f>AQ41/$AQ$40</f>
        <v>0.25024433071284463</v>
      </c>
      <c r="AR42" s="2">
        <f>AR41/$AQ$40</f>
        <v>0.19859307439590401</v>
      </c>
      <c r="AS42" s="2">
        <f>AS41/$AQ$40</f>
        <v>8.9698310536729053E-2</v>
      </c>
      <c r="AT42" s="2">
        <f>AT41/$AQ$40</f>
        <v>0.2256436602191082</v>
      </c>
      <c r="AU42" s="2">
        <f>AU41/$AQ$40</f>
        <v>0.2358206241354141</v>
      </c>
      <c r="AW42" s="2" t="s">
        <v>857</v>
      </c>
      <c r="AX42" s="2">
        <f>AX41/$AX$40</f>
        <v>0.26575347487358197</v>
      </c>
      <c r="AY42" s="2">
        <f>AY41/$AX$40</f>
        <v>0.21569912067617375</v>
      </c>
      <c r="AZ42" s="2">
        <f>AZ41/$AX$40</f>
        <v>0.14749963666716201</v>
      </c>
      <c r="BA42" s="2">
        <f>BA41/$AX$40</f>
        <v>0.37104776778308218</v>
      </c>
    </row>
    <row r="43" spans="3:53">
      <c r="K43" s="2" t="s">
        <v>858</v>
      </c>
      <c r="L43" s="2">
        <v>6</v>
      </c>
      <c r="M43" s="2">
        <v>5</v>
      </c>
      <c r="N43" s="2">
        <v>4</v>
      </c>
      <c r="O43" s="2">
        <v>3</v>
      </c>
      <c r="P43" s="2">
        <v>2</v>
      </c>
      <c r="AQ43" s="2" t="s">
        <v>859</v>
      </c>
    </row>
    <row r="45" spans="3:53">
      <c r="Y45" s="2" t="s">
        <v>860</v>
      </c>
    </row>
    <row r="47" spans="3:53">
      <c r="Y47" s="2" t="s">
        <v>861</v>
      </c>
      <c r="Z47" s="2">
        <f>SUMIF(Z7:Z12,"&gt;0",Z7:Z12)+SUMIF(Z28:Z39,"&gt;0",Z28:Z39)</f>
        <v>52.489775266259471</v>
      </c>
      <c r="AA47" s="2">
        <f>SUMIF(AA7:AA12,"&gt;0",AA7:AA12)+SUMIF(AA28:AA39,"&gt;0",AA28:AA39)</f>
        <v>42.95467253764317</v>
      </c>
      <c r="AB47" s="2">
        <f>SUMIF(AB7:AB12,"&gt;0",AB7:AB12)+SUMIF(AB28:AB39,"&gt;0",AB28:AB39)</f>
        <v>13.071039884416228</v>
      </c>
      <c r="AC47" s="2">
        <f>SUMIF(AC7:AC12,"&gt;0",AC7:AC12)+SUMIF(AC28:AC39,"&gt;0",AC28:AC39)</f>
        <v>20.267795858062893</v>
      </c>
      <c r="AD47" s="2">
        <f>SUMIF(AD7:AD12,"&gt;0",AD7:AD12)+SUMIF(AD28:AD39,"&gt;0",AD28:AD39)</f>
        <v>21.181912509557865</v>
      </c>
    </row>
    <row r="48" spans="3:53">
      <c r="Y48" s="2" t="s">
        <v>862</v>
      </c>
      <c r="Z48" s="2">
        <f>SUMIF(Z13:Z28,"&gt;0",Z13:Z28)</f>
        <v>22.883785649150184</v>
      </c>
      <c r="AA48" s="2">
        <f>SUMIF(AA13:AA28,"&gt;0",AA13:AA28)</f>
        <v>7.9837050567463947</v>
      </c>
      <c r="AB48" s="2">
        <f>SUMIF(AB13:AB28,"&gt;0",AB13:AB28)</f>
        <v>2.145922139446538</v>
      </c>
      <c r="AC48" s="2">
        <f>SUMIF(AC13:AC28,"&gt;0",AC13:AC28)</f>
        <v>13.546983715897726</v>
      </c>
      <c r="AD48" s="2">
        <f>SUMIF(AD13:AD28,"&gt;0",AD13:AD28)</f>
        <v>14.157978788028714</v>
      </c>
    </row>
    <row r="49" spans="25:30">
      <c r="Y49" s="2" t="s">
        <v>863</v>
      </c>
      <c r="Z49" s="2">
        <f>Z47/(Z48+Z47)</f>
        <v>0.69639505721598816</v>
      </c>
      <c r="AA49" s="2">
        <f>AA47/(AA48+AA47)</f>
        <v>0.84326738632473186</v>
      </c>
      <c r="AB49" s="2">
        <f>AB47/(AB48+AB47)</f>
        <v>0.85897828120479169</v>
      </c>
      <c r="AC49" s="2">
        <f>AC47/(AC48+AC47)</f>
        <v>0.59937684389551049</v>
      </c>
      <c r="AD49" s="2">
        <f>AD47/(AD48+AD47)</f>
        <v>0.59937684389551071</v>
      </c>
    </row>
    <row r="50" spans="25:30">
      <c r="Y50" s="2" t="s">
        <v>864</v>
      </c>
      <c r="Z50" s="2">
        <f>Z48/(Z47+Z48)</f>
        <v>0.3036049427840119</v>
      </c>
      <c r="AA50" s="2">
        <f>AA48/(AA47+AA48)</f>
        <v>0.15673261367526817</v>
      </c>
      <c r="AB50" s="2">
        <f>AB48/(AB47+AB48)</f>
        <v>0.14102171879520825</v>
      </c>
      <c r="AC50" s="2">
        <f>AC48/(AC47+AC48)</f>
        <v>0.4006231561044894</v>
      </c>
      <c r="AD50" s="2">
        <f>AD48/(AD47+AD48)</f>
        <v>0.40062315610448945</v>
      </c>
    </row>
  </sheetData>
  <sheetProtection sheet="1" objects="1" scenarios="1"/>
  <phoneticPr fontId="1" type="noConversion"/>
  <pageMargins left="0.75" right="0.75" top="1" bottom="1" header="0.5" footer="0.5"/>
  <pageSetup paperSize="9" scale="13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rgb="FFFFFFC4"/>
    <pageSetUpPr fitToPage="1"/>
  </sheetPr>
  <dimension ref="A1:I27"/>
  <sheetViews>
    <sheetView showGridLines="0" workbookViewId="0"/>
  </sheetViews>
  <sheetFormatPr defaultColWidth="8.85546875" defaultRowHeight="15"/>
  <cols>
    <col min="1" max="1" width="8.85546875" style="2" customWidth="1"/>
    <col min="2" max="2" width="19.42578125" style="2" customWidth="1"/>
    <col min="3" max="8" width="12.140625" style="2" customWidth="1"/>
    <col min="9" max="9" width="43" style="2" customWidth="1"/>
    <col min="10" max="10" width="9.28515625" style="2" bestFit="1" customWidth="1"/>
    <col min="11" max="16384" width="8.85546875" style="2"/>
  </cols>
  <sheetData>
    <row r="1" spans="1:9" ht="19.5">
      <c r="A1" s="4" t="str">
        <f>"Calc-Drivers for Method M ("&amp;'Calc-Net capex'!B5&amp;") for "&amp;Inputs!B6&amp;" in "&amp;Inputs!C6&amp;"  Status: "&amp;Inputs!D6&amp;""</f>
        <v>Calc-Drivers for Method M (LR1) for Mid West in April 17  Status: Finals</v>
      </c>
    </row>
    <row r="4" spans="1:9" ht="14.25" customHeight="1"/>
    <row r="5" spans="1:9" ht="14.25" customHeight="1"/>
    <row r="6" spans="1:9" ht="14.25" customHeight="1"/>
    <row r="7" spans="1:9" ht="14.25" customHeight="1"/>
    <row r="8" spans="1:9" ht="14.25" customHeight="1"/>
    <row r="9" spans="1:9" ht="14.25" customHeight="1"/>
    <row r="10" spans="1:9" ht="14.25" customHeight="1"/>
    <row r="11" spans="1:9" ht="14.25" customHeight="1"/>
    <row r="12" spans="1:9" ht="14.25" customHeight="1"/>
    <row r="14" spans="1:9">
      <c r="A14" s="2" t="s">
        <v>865</v>
      </c>
    </row>
    <row r="16" spans="1:9">
      <c r="B16" s="2" t="s">
        <v>866</v>
      </c>
      <c r="C16" s="2" t="s">
        <v>849</v>
      </c>
      <c r="D16" s="2" t="s">
        <v>441</v>
      </c>
      <c r="E16" s="2" t="s">
        <v>525</v>
      </c>
      <c r="F16" s="2" t="s">
        <v>223</v>
      </c>
      <c r="G16" s="2" t="s">
        <v>402</v>
      </c>
      <c r="H16" s="2" t="s">
        <v>200</v>
      </c>
      <c r="I16" s="2" t="s">
        <v>867</v>
      </c>
    </row>
    <row r="17" spans="2:9" ht="15" customHeight="1">
      <c r="B17" s="2" t="s">
        <v>868</v>
      </c>
      <c r="C17" s="2">
        <f>'Calc-Net capex'!H6*SUM('FBPQ NL1'!D10:M13)/SUM('FBPQ NL1'!D10:M16)</f>
        <v>3.668847535184859E-2</v>
      </c>
      <c r="D17" s="2">
        <f>'Calc-Net capex'!H6*SUM('FBPQ NL1'!D14:M16)/SUM('FBPQ NL1'!D10:M16)</f>
        <v>0.13915346037703327</v>
      </c>
      <c r="E17" s="2">
        <f>'Calc-Net capex'!H7</f>
        <v>5.3178230445720967E-2</v>
      </c>
      <c r="F17" s="2">
        <f>'Calc-Net capex'!H8</f>
        <v>0.20608048808998844</v>
      </c>
      <c r="G17" s="2">
        <f>'Calc-Net capex'!H9+'Calc-Net capex'!H10</f>
        <v>0.56489934573540868</v>
      </c>
      <c r="I17" s="2" t="s">
        <v>869</v>
      </c>
    </row>
    <row r="18" spans="2:9" ht="15" customHeight="1">
      <c r="B18" s="2" t="s">
        <v>870</v>
      </c>
      <c r="C18" s="2">
        <v>1</v>
      </c>
      <c r="D18" s="2">
        <v>0</v>
      </c>
      <c r="E18" s="2">
        <v>0</v>
      </c>
      <c r="F18" s="2">
        <v>0</v>
      </c>
      <c r="G18" s="2">
        <v>0</v>
      </c>
      <c r="H18" s="2">
        <f t="shared" ref="H18:H27" si="0">SUM(C18:G18)</f>
        <v>1</v>
      </c>
      <c r="I18" s="2" t="s">
        <v>871</v>
      </c>
    </row>
    <row r="19" spans="2:9" ht="15" customHeight="1">
      <c r="B19" s="2" t="s">
        <v>872</v>
      </c>
      <c r="D19" s="2">
        <f>'RRP 5.1'!$G$64/'RRP 5.1'!$G$65</f>
        <v>0.50771415660706221</v>
      </c>
      <c r="E19" s="2">
        <v>0</v>
      </c>
      <c r="F19" s="2">
        <f>'RRP 5.1'!$G$63/'RRP 5.1'!$G$65</f>
        <v>0.42965270156865276</v>
      </c>
      <c r="G19" s="2">
        <f>('RRP 5.1'!$G$61+'RRP 5.1'!$G$62)/'RRP 5.1'!$G$65</f>
        <v>6.2633141824285074E-2</v>
      </c>
      <c r="H19" s="2">
        <f t="shared" si="0"/>
        <v>1</v>
      </c>
      <c r="I19" s="2" t="s">
        <v>873</v>
      </c>
    </row>
    <row r="20" spans="2:9" ht="15" customHeight="1">
      <c r="B20" s="2" t="s">
        <v>874</v>
      </c>
      <c r="D20" s="2">
        <f>0/'RRP 5.1'!$G$73</f>
        <v>0</v>
      </c>
      <c r="E20" s="2">
        <v>0</v>
      </c>
      <c r="F20" s="2">
        <f>('RRP 5.1'!$G$71+'RRP 5.1'!$G$72)/'RRP 5.1'!$G$73</f>
        <v>0.99556999409332547</v>
      </c>
      <c r="G20" s="2">
        <f>('RRP 5.1'!$G$68+'RRP 5.1'!$G$69+'RRP 5.1'!$G$70)/'RRP 5.1'!$G$73</f>
        <v>4.4300059066745426E-3</v>
      </c>
      <c r="H20" s="2">
        <f t="shared" si="0"/>
        <v>1</v>
      </c>
      <c r="I20" s="2" t="s">
        <v>873</v>
      </c>
    </row>
    <row r="21" spans="2:9" ht="15" customHeight="1">
      <c r="B21" s="2" t="s">
        <v>538</v>
      </c>
      <c r="D21" s="2">
        <v>0</v>
      </c>
      <c r="E21" s="2">
        <v>0</v>
      </c>
      <c r="F21" s="2">
        <v>0</v>
      </c>
      <c r="G21" s="2">
        <v>1</v>
      </c>
      <c r="H21" s="2">
        <f t="shared" si="0"/>
        <v>1</v>
      </c>
      <c r="I21" s="2" t="s">
        <v>871</v>
      </c>
    </row>
    <row r="22" spans="2:9" ht="15" customHeight="1">
      <c r="B22" s="2" t="s">
        <v>851</v>
      </c>
      <c r="C22" s="2">
        <f>'Calc-MEAV'!H6*(('Data-MEAV'!I21+'Data-MEAV'!I30)/'Calc-MEAV'!G6)</f>
        <v>0.23317453252969877</v>
      </c>
      <c r="D22" s="2">
        <f>'Calc-MEAV'!H6*(('Calc-MEAV'!G6-'Data-MEAV'!I21-'Data-MEAV'!I30)/'Calc-MEAV'!G6)</f>
        <v>0.22311176209790826</v>
      </c>
      <c r="E22" s="2">
        <f>'Calc-MEAV'!H7</f>
        <v>3.5342219338092909E-2</v>
      </c>
      <c r="F22" s="2">
        <f>'Calc-MEAV'!H8</f>
        <v>0.13148746175802342</v>
      </c>
      <c r="G22" s="2">
        <f>'Calc-MEAV'!H9+'Calc-MEAV'!H10</f>
        <v>0.37688402427627665</v>
      </c>
      <c r="H22" s="2">
        <f t="shared" si="0"/>
        <v>1</v>
      </c>
      <c r="I22" s="2" t="s">
        <v>875</v>
      </c>
    </row>
    <row r="23" spans="2:9" ht="15" customHeight="1"/>
    <row r="24" spans="2:9" ht="15" customHeight="1"/>
    <row r="25" spans="2:9" ht="15" customHeight="1">
      <c r="B25" s="2" t="s">
        <v>876</v>
      </c>
      <c r="D25" s="2">
        <v>0</v>
      </c>
      <c r="E25" s="2">
        <v>0</v>
      </c>
      <c r="F25" s="2">
        <v>0</v>
      </c>
      <c r="G25" s="2">
        <v>1</v>
      </c>
      <c r="H25" s="2">
        <f t="shared" si="0"/>
        <v>1</v>
      </c>
      <c r="I25" s="2" t="s">
        <v>871</v>
      </c>
    </row>
    <row r="26" spans="2:9" ht="15" customHeight="1">
      <c r="B26" s="2" t="s">
        <v>877</v>
      </c>
      <c r="D26" s="2">
        <v>1</v>
      </c>
      <c r="E26" s="2">
        <v>0</v>
      </c>
      <c r="F26" s="2">
        <v>0</v>
      </c>
      <c r="G26" s="2">
        <v>0</v>
      </c>
      <c r="H26" s="2">
        <f t="shared" si="0"/>
        <v>1</v>
      </c>
      <c r="I26" s="2" t="s">
        <v>871</v>
      </c>
    </row>
    <row r="27" spans="2:9" ht="15" customHeight="1">
      <c r="B27" s="2" t="s">
        <v>878</v>
      </c>
      <c r="D27" s="2">
        <v>0</v>
      </c>
      <c r="E27" s="2">
        <v>0</v>
      </c>
      <c r="F27" s="2">
        <v>1</v>
      </c>
      <c r="G27" s="2">
        <v>0</v>
      </c>
      <c r="H27" s="2">
        <f t="shared" si="0"/>
        <v>1</v>
      </c>
      <c r="I27" s="2" t="s">
        <v>871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C4"/>
    <pageSetUpPr fitToPage="1"/>
  </sheetPr>
  <dimension ref="A1:S83"/>
  <sheetViews>
    <sheetView showGridLines="0" workbookViewId="0"/>
  </sheetViews>
  <sheetFormatPr defaultColWidth="8.85546875" defaultRowHeight="15"/>
  <cols>
    <col min="1" max="1" width="8.85546875" style="2" customWidth="1"/>
    <col min="2" max="2" width="32" style="2" customWidth="1"/>
    <col min="3" max="3" width="8.85546875" style="2" customWidth="1"/>
    <col min="4" max="4" width="18.7109375" style="2" customWidth="1"/>
    <col min="5" max="8" width="8.85546875" style="2" customWidth="1"/>
    <col min="9" max="9" width="12" style="2" customWidth="1"/>
    <col min="10" max="10" width="9.7109375" style="2" customWidth="1"/>
    <col min="11" max="11" width="8.85546875" style="2" customWidth="1"/>
    <col min="12" max="12" width="12.85546875" style="2" customWidth="1"/>
    <col min="13" max="13" width="14.85546875" style="2" customWidth="1"/>
    <col min="14" max="15" width="12.85546875" style="2" customWidth="1"/>
    <col min="16" max="16" width="9.28515625" style="2" bestFit="1" customWidth="1"/>
    <col min="17" max="17" width="8.85546875" style="2" customWidth="1"/>
    <col min="18" max="18" width="9.28515625" style="2" bestFit="1" customWidth="1"/>
    <col min="19" max="19" width="10.42578125" style="2" bestFit="1" customWidth="1"/>
    <col min="20" max="40" width="8.85546875" style="2" customWidth="1"/>
    <col min="41" max="44" width="10.28515625" style="2" bestFit="1" customWidth="1"/>
    <col min="45" max="45" width="9.42578125" style="2" bestFit="1" customWidth="1"/>
    <col min="46" max="16384" width="8.85546875" style="2"/>
  </cols>
  <sheetData>
    <row r="1" spans="1:19" ht="19.5">
      <c r="A1" s="4" t="str">
        <f>"Calc-Allocation for Method M ("&amp;'Calc-Net capex'!B5&amp;") for "&amp;Inputs!B6&amp;" in "&amp;Inputs!C6&amp;"  Status: "&amp;Inputs!D6&amp;""</f>
        <v>Calc-Allocation for Method M (LR1) for Mid West in April 17  Status: Finals</v>
      </c>
    </row>
    <row r="3" spans="1:19">
      <c r="A3" s="2" t="s">
        <v>879</v>
      </c>
    </row>
    <row r="6" spans="1:19">
      <c r="B6" s="2" t="s">
        <v>880</v>
      </c>
      <c r="L6" s="2" t="s">
        <v>881</v>
      </c>
    </row>
    <row r="8" spans="1:19">
      <c r="D8" s="2" t="s">
        <v>79</v>
      </c>
      <c r="E8" s="2" t="s">
        <v>80</v>
      </c>
      <c r="G8" s="2" t="s">
        <v>81</v>
      </c>
      <c r="H8" s="2" t="s">
        <v>82</v>
      </c>
      <c r="I8" s="2" t="s">
        <v>44</v>
      </c>
      <c r="O8" s="2" t="s">
        <v>79</v>
      </c>
      <c r="P8" s="2" t="s">
        <v>80</v>
      </c>
      <c r="Q8" s="2" t="s">
        <v>81</v>
      </c>
      <c r="R8" s="2" t="s">
        <v>82</v>
      </c>
      <c r="S8" s="2" t="s">
        <v>44</v>
      </c>
    </row>
    <row r="9" spans="1:19">
      <c r="L9" s="2" t="s">
        <v>46</v>
      </c>
      <c r="O9" s="2">
        <f>'Allowed revenue -DPCR4'!D3</f>
        <v>964.7</v>
      </c>
      <c r="P9" s="2">
        <f>'Allowed revenue -DPCR4'!E3</f>
        <v>1013.2</v>
      </c>
      <c r="Q9" s="2">
        <f>'Allowed revenue -DPCR4'!F3</f>
        <v>1057.4000000000001</v>
      </c>
      <c r="R9" s="2">
        <f>'Allowed revenue -DPCR4'!G3</f>
        <v>1095.0999999999999</v>
      </c>
      <c r="S9" s="2">
        <f>'Allowed revenue -DPCR4'!H3</f>
        <v>1126.5</v>
      </c>
    </row>
    <row r="10" spans="1:19">
      <c r="B10" s="2" t="s">
        <v>882</v>
      </c>
      <c r="D10" s="2">
        <f>O35</f>
        <v>238.75220365682705</v>
      </c>
      <c r="E10" s="2">
        <f>P35</f>
        <v>240.42346908242482</v>
      </c>
      <c r="G10" s="2">
        <f>Q35</f>
        <v>242.33348671167943</v>
      </c>
      <c r="H10" s="2">
        <f>R35</f>
        <v>244.00475213727725</v>
      </c>
      <c r="I10" s="2">
        <f>S35</f>
        <v>245.67601756287502</v>
      </c>
      <c r="L10" s="2" t="s">
        <v>48</v>
      </c>
      <c r="O10" s="2">
        <f>'Allowed revenue -DPCR4'!D4</f>
        <v>120.8</v>
      </c>
      <c r="P10" s="2">
        <f>'Allowed revenue -DPCR4'!E4</f>
        <v>120.4</v>
      </c>
      <c r="Q10" s="2">
        <f>'Allowed revenue -DPCR4'!F4</f>
        <v>120</v>
      </c>
      <c r="R10" s="2">
        <f>'Allowed revenue -DPCR4'!G4</f>
        <v>119.5</v>
      </c>
      <c r="S10" s="2">
        <f>'Allowed revenue -DPCR4'!H4</f>
        <v>119.3</v>
      </c>
    </row>
    <row r="11" spans="1:19">
      <c r="L11" s="2" t="s">
        <v>49</v>
      </c>
      <c r="O11" s="2">
        <f>'Allowed revenue -DPCR4'!D5</f>
        <v>-72.3</v>
      </c>
      <c r="P11" s="2">
        <f>'Allowed revenue -DPCR4'!E5</f>
        <v>-76.2</v>
      </c>
      <c r="Q11" s="2">
        <f>'Allowed revenue -DPCR4'!F5</f>
        <v>-82.2</v>
      </c>
      <c r="R11" s="2">
        <f>'Allowed revenue -DPCR4'!G5</f>
        <v>-88.2</v>
      </c>
      <c r="S11" s="2">
        <f>'Allowed revenue -DPCR4'!H5</f>
        <v>-94.2</v>
      </c>
    </row>
    <row r="12" spans="1:19">
      <c r="B12" s="2" t="s">
        <v>883</v>
      </c>
      <c r="D12" s="2">
        <f>O16+(1-0.577)*O18</f>
        <v>79.352599999999995</v>
      </c>
      <c r="E12" s="2">
        <f>P16+(1-0.577)*P18</f>
        <v>76.852599999999995</v>
      </c>
      <c r="G12" s="2">
        <f>Q16+(1-0.577)*Q18</f>
        <v>74.852599999999995</v>
      </c>
      <c r="H12" s="2">
        <f>R16+(1-0.577)*R18</f>
        <v>73.45259999999999</v>
      </c>
      <c r="I12" s="2">
        <f>S16+(1-0.577)*S18</f>
        <v>72.852599999999995</v>
      </c>
      <c r="L12" s="2" t="s">
        <v>50</v>
      </c>
      <c r="O12" s="2">
        <f>'Allowed revenue -DPCR4'!D6</f>
        <v>1013.2</v>
      </c>
      <c r="P12" s="2">
        <f>'Allowed revenue -DPCR4'!E6</f>
        <v>1057.4000000000001</v>
      </c>
      <c r="Q12" s="2">
        <f>'Allowed revenue -DPCR4'!F6</f>
        <v>1095.0999999999999</v>
      </c>
      <c r="R12" s="2">
        <f>'Allowed revenue -DPCR4'!G6</f>
        <v>1126.5</v>
      </c>
      <c r="S12" s="2">
        <f>'Allowed revenue -DPCR4'!H6</f>
        <v>1151.5999999999999</v>
      </c>
    </row>
    <row r="13" spans="1:19">
      <c r="B13" s="2" t="s">
        <v>884</v>
      </c>
      <c r="D13" s="2" t="str">
        <f>O22</f>
        <v/>
      </c>
      <c r="E13" s="2" t="str">
        <f>P22</f>
        <v/>
      </c>
      <c r="F13" s="2" t="str">
        <f>Q22</f>
        <v/>
      </c>
      <c r="G13" s="2" t="str">
        <f>Q22</f>
        <v/>
      </c>
      <c r="H13" s="2" t="str">
        <f>R22</f>
        <v/>
      </c>
      <c r="I13" s="2" t="str">
        <f>S22</f>
        <v/>
      </c>
      <c r="L13" s="2" t="s">
        <v>885</v>
      </c>
      <c r="O13" s="2">
        <f>'Allowed revenue -DPCR4'!D7</f>
        <v>964.7</v>
      </c>
      <c r="Q13" s="2">
        <f>'Allowed revenue -DPCR4'!F7</f>
        <v>0</v>
      </c>
      <c r="S13" s="2">
        <f>'Allowed revenue -DPCR4'!H7</f>
        <v>879.3</v>
      </c>
    </row>
    <row r="14" spans="1:19">
      <c r="B14" s="2" t="s">
        <v>62</v>
      </c>
      <c r="D14" s="2">
        <f>O23</f>
        <v>0.9</v>
      </c>
      <c r="L14" s="2" t="s">
        <v>65</v>
      </c>
      <c r="P14" s="2">
        <f>'Allowed revenue -DPCR4'!E8</f>
        <v>0</v>
      </c>
      <c r="S14" s="2">
        <f>'Allowed revenue -DPCR4'!H8</f>
        <v>85.4</v>
      </c>
    </row>
    <row r="15" spans="1:19">
      <c r="B15" s="2" t="s">
        <v>886</v>
      </c>
      <c r="D15" s="2">
        <f>SUM(D12:D14)</f>
        <v>80.252600000000001</v>
      </c>
      <c r="E15" s="2">
        <f>SUM(E12:E14)</f>
        <v>76.852599999999995</v>
      </c>
      <c r="G15" s="2">
        <f>SUM(G12:G14)</f>
        <v>74.852599999999995</v>
      </c>
      <c r="H15" s="2">
        <f>SUM(H12:H14)</f>
        <v>73.45259999999999</v>
      </c>
      <c r="I15" s="2">
        <f>SUM(I12:I14)</f>
        <v>72.852599999999995</v>
      </c>
    </row>
    <row r="16" spans="1:19">
      <c r="L16" s="2" t="s">
        <v>887</v>
      </c>
      <c r="O16" s="2">
        <f>'Allowed revenue -DPCR4'!D10</f>
        <v>72.5</v>
      </c>
      <c r="P16" s="2">
        <f>'Allowed revenue -DPCR4'!E10</f>
        <v>70</v>
      </c>
      <c r="Q16" s="2">
        <f>'Allowed revenue -DPCR4'!F10</f>
        <v>68</v>
      </c>
      <c r="R16" s="2">
        <f>'Allowed revenue -DPCR4'!G10</f>
        <v>66.599999999999994</v>
      </c>
      <c r="S16" s="2">
        <f>'Allowed revenue -DPCR4'!H10</f>
        <v>66</v>
      </c>
    </row>
    <row r="17" spans="2:19">
      <c r="B17" s="2" t="s">
        <v>888</v>
      </c>
      <c r="L17" s="2" t="s">
        <v>889</v>
      </c>
      <c r="O17" s="2">
        <f>'Allowed revenue -DPCR4'!D11</f>
        <v>111.5</v>
      </c>
      <c r="P17" s="2">
        <f>'Allowed revenue -DPCR4'!E11</f>
        <v>111.1</v>
      </c>
      <c r="Q17" s="2">
        <f>'Allowed revenue -DPCR4'!F11</f>
        <v>110.7</v>
      </c>
      <c r="R17" s="2">
        <f>'Allowed revenue -DPCR4'!G11</f>
        <v>110.2</v>
      </c>
      <c r="S17" s="2">
        <f>'Allowed revenue -DPCR4'!H11</f>
        <v>110</v>
      </c>
    </row>
    <row r="18" spans="2:19">
      <c r="B18" s="2" t="s">
        <v>49</v>
      </c>
      <c r="D18" s="2">
        <f>-O11</f>
        <v>72.3</v>
      </c>
      <c r="E18" s="2">
        <f>-P11</f>
        <v>76.2</v>
      </c>
      <c r="G18" s="2">
        <f>-Q11</f>
        <v>82.2</v>
      </c>
      <c r="H18" s="2">
        <f>-R11</f>
        <v>88.2</v>
      </c>
      <c r="I18" s="2">
        <f>-S11</f>
        <v>94.2</v>
      </c>
      <c r="L18" s="2" t="s">
        <v>890</v>
      </c>
      <c r="O18" s="2">
        <f>'Allowed revenue -DPCR4'!D12</f>
        <v>16.2</v>
      </c>
      <c r="P18" s="2">
        <f>'Allowed revenue -DPCR4'!E12</f>
        <v>16.2</v>
      </c>
      <c r="Q18" s="2">
        <f>'Allowed revenue -DPCR4'!F12</f>
        <v>16.2</v>
      </c>
      <c r="R18" s="2">
        <f>'Allowed revenue -DPCR4'!G12</f>
        <v>16.2</v>
      </c>
      <c r="S18" s="2">
        <f>'Allowed revenue -DPCR4'!H12</f>
        <v>16.2</v>
      </c>
    </row>
    <row r="19" spans="2:19">
      <c r="B19" s="2" t="s">
        <v>57</v>
      </c>
      <c r="D19" s="2">
        <f t="shared" ref="D19:E21" si="0">O19</f>
        <v>25.9</v>
      </c>
      <c r="E19" s="2">
        <f t="shared" si="0"/>
        <v>26.7</v>
      </c>
      <c r="G19" s="2">
        <f t="shared" ref="G19:I21" si="1">Q19</f>
        <v>26.9</v>
      </c>
      <c r="H19" s="2">
        <f t="shared" si="1"/>
        <v>27</v>
      </c>
      <c r="I19" s="2">
        <f t="shared" si="1"/>
        <v>26.7</v>
      </c>
      <c r="L19" s="2" t="s">
        <v>57</v>
      </c>
      <c r="O19" s="2">
        <f>'Allowed revenue -DPCR4'!D13</f>
        <v>25.9</v>
      </c>
      <c r="P19" s="2">
        <f>'Allowed revenue -DPCR4'!E13</f>
        <v>26.7</v>
      </c>
      <c r="Q19" s="2">
        <f>'Allowed revenue -DPCR4'!F13</f>
        <v>26.9</v>
      </c>
      <c r="R19" s="2">
        <f>'Allowed revenue -DPCR4'!G13</f>
        <v>27</v>
      </c>
      <c r="S19" s="2">
        <f>'Allowed revenue -DPCR4'!H13</f>
        <v>26.7</v>
      </c>
    </row>
    <row r="20" spans="2:19">
      <c r="B20" s="2" t="s">
        <v>891</v>
      </c>
      <c r="D20" s="2">
        <f t="shared" si="0"/>
        <v>1.2</v>
      </c>
      <c r="E20" s="2">
        <f t="shared" si="0"/>
        <v>0.9</v>
      </c>
      <c r="G20" s="2">
        <f t="shared" si="1"/>
        <v>1</v>
      </c>
      <c r="H20" s="2">
        <f t="shared" si="1"/>
        <v>0.5</v>
      </c>
      <c r="I20" s="2">
        <f t="shared" si="1"/>
        <v>0.6</v>
      </c>
      <c r="L20" s="2" t="s">
        <v>892</v>
      </c>
      <c r="O20" s="2">
        <f>'Allowed revenue -DPCR4'!D14</f>
        <v>1.2</v>
      </c>
      <c r="P20" s="2">
        <f>'Allowed revenue -DPCR4'!E14</f>
        <v>0.9</v>
      </c>
      <c r="Q20" s="2">
        <f>'Allowed revenue -DPCR4'!F14</f>
        <v>1</v>
      </c>
      <c r="R20" s="2">
        <f>'Allowed revenue -DPCR4'!G14</f>
        <v>0.5</v>
      </c>
      <c r="S20" s="2">
        <f>'Allowed revenue -DPCR4'!H14</f>
        <v>0.6</v>
      </c>
    </row>
    <row r="21" spans="2:19">
      <c r="B21" s="2" t="s">
        <v>893</v>
      </c>
      <c r="D21" s="2">
        <f t="shared" si="0"/>
        <v>1.4</v>
      </c>
      <c r="E21" s="2">
        <f t="shared" si="0"/>
        <v>1.5</v>
      </c>
      <c r="G21" s="2">
        <f t="shared" si="1"/>
        <v>1.5</v>
      </c>
      <c r="H21" s="2">
        <f t="shared" si="1"/>
        <v>1.6</v>
      </c>
      <c r="I21" s="2">
        <f t="shared" si="1"/>
        <v>1.6</v>
      </c>
      <c r="L21" s="2" t="s">
        <v>894</v>
      </c>
      <c r="O21" s="2">
        <f>'Allowed revenue -DPCR4'!D15</f>
        <v>1.4</v>
      </c>
      <c r="P21" s="2">
        <f>'Allowed revenue -DPCR4'!E15</f>
        <v>1.5</v>
      </c>
      <c r="Q21" s="2">
        <f>'Allowed revenue -DPCR4'!F15</f>
        <v>1.5</v>
      </c>
      <c r="R21" s="2">
        <f>'Allowed revenue -DPCR4'!G15</f>
        <v>1.6</v>
      </c>
      <c r="S21" s="2">
        <f>'Allowed revenue -DPCR4'!H15</f>
        <v>1.6</v>
      </c>
    </row>
    <row r="22" spans="2:19">
      <c r="B22" s="2" t="s">
        <v>895</v>
      </c>
      <c r="D22" s="2">
        <f>D10-D15-D18-D19-D20-D21</f>
        <v>57.699603656827051</v>
      </c>
      <c r="E22" s="2">
        <f>E10-E15-E18-E19-E20-E21</f>
        <v>58.270869082424817</v>
      </c>
      <c r="G22" s="2">
        <f>G10-G15-G18-G19-G20-G21</f>
        <v>55.88088671167943</v>
      </c>
      <c r="H22" s="2">
        <f>H10-H15-H18-H19-H20-H21</f>
        <v>53.252152137277257</v>
      </c>
      <c r="I22" s="2">
        <f>I10-I15-I18-I19-I20-I21</f>
        <v>49.723417562875014</v>
      </c>
      <c r="L22" s="2" t="s">
        <v>896</v>
      </c>
      <c r="O22" s="2" t="str">
        <f>IF(ISNUMBER('Allowed revenue -DPCR4'!D16+'Allowed revenue -DPCR4'!D17),'Allowed revenue -DPCR4'!D16+'Allowed revenue -DPCR4'!D17,"")</f>
        <v/>
      </c>
      <c r="P22" s="2" t="str">
        <f>IF(ISNUMBER('Allowed revenue -DPCR4'!E16+'Allowed revenue -DPCR4'!E17),'Allowed revenue -DPCR4'!E16+'Allowed revenue -DPCR4'!E17,"")</f>
        <v/>
      </c>
      <c r="Q22" s="2" t="str">
        <f>IF(ISNUMBER('Allowed revenue -DPCR4'!F16+'Allowed revenue -DPCR4'!F17),'Allowed revenue -DPCR4'!F16+'Allowed revenue -DPCR4'!F17,"")</f>
        <v/>
      </c>
      <c r="R22" s="2" t="str">
        <f>IF(ISNUMBER('Allowed revenue -DPCR4'!G16+'Allowed revenue -DPCR4'!G17),'Allowed revenue -DPCR4'!G16+'Allowed revenue -DPCR4'!G17,"")</f>
        <v/>
      </c>
      <c r="S22" s="2" t="str">
        <f>IF(ISNUMBER('Allowed revenue -DPCR4'!H16+'Allowed revenue -DPCR4'!H17),'Allowed revenue -DPCR4'!H16+'Allowed revenue -DPCR4'!H17,"")</f>
        <v/>
      </c>
    </row>
    <row r="23" spans="2:19">
      <c r="B23" s="2" t="s">
        <v>897</v>
      </c>
      <c r="D23" s="2">
        <f>SUM(D18:D22)</f>
        <v>158.49960365682705</v>
      </c>
      <c r="E23" s="2">
        <f>SUM(E18:E22)</f>
        <v>163.57086908242482</v>
      </c>
      <c r="G23" s="2">
        <f>SUM(G18:G22)</f>
        <v>167.48088671167943</v>
      </c>
      <c r="H23" s="2">
        <f>SUM(H18:H22)</f>
        <v>170.55215213727726</v>
      </c>
      <c r="I23" s="2">
        <f>SUM(I18:I22)</f>
        <v>172.82341756287502</v>
      </c>
      <c r="L23" s="2" t="s">
        <v>62</v>
      </c>
      <c r="O23" s="2">
        <f>'Allowed revenue -DPCR4'!D18</f>
        <v>0.9</v>
      </c>
      <c r="P23" s="2" t="str">
        <f>'Allowed revenue -DPCR4'!E18</f>
        <v>-</v>
      </c>
      <c r="Q23" s="2" t="str">
        <f>'Allowed revenue -DPCR4'!F18</f>
        <v>-</v>
      </c>
      <c r="R23" s="2" t="str">
        <f>'Allowed revenue -DPCR4'!G18</f>
        <v>-</v>
      </c>
      <c r="S23" s="2" t="str">
        <f>'Allowed revenue -DPCR4'!H18</f>
        <v>-</v>
      </c>
    </row>
    <row r="24" spans="2:19">
      <c r="B24" s="2" t="s">
        <v>898</v>
      </c>
      <c r="D24" s="2">
        <f>D23-D18</f>
        <v>86.199603656827051</v>
      </c>
      <c r="E24" s="2">
        <f>E23-E18</f>
        <v>87.370869082424818</v>
      </c>
      <c r="G24" s="2">
        <f>G23-G18</f>
        <v>85.280886711679429</v>
      </c>
      <c r="H24" s="2">
        <f>H23-H18</f>
        <v>82.352152137277258</v>
      </c>
      <c r="I24" s="2">
        <f>I23-I18</f>
        <v>78.623417562875019</v>
      </c>
      <c r="L24" s="2" t="s">
        <v>63</v>
      </c>
      <c r="O24" s="2">
        <f>'Allowed revenue -DPCR4'!D19</f>
        <v>229.6</v>
      </c>
      <c r="P24" s="2">
        <f>'Allowed revenue -DPCR4'!E19</f>
        <v>226.4</v>
      </c>
      <c r="Q24" s="2">
        <f>'Allowed revenue -DPCR4'!F19</f>
        <v>224.3</v>
      </c>
      <c r="R24" s="2">
        <f>'Allowed revenue -DPCR4'!G19</f>
        <v>222.1</v>
      </c>
      <c r="S24" s="2">
        <f>'Allowed revenue -DPCR4'!H19</f>
        <v>221.1</v>
      </c>
    </row>
    <row r="25" spans="2:19">
      <c r="L25" s="2" t="s">
        <v>899</v>
      </c>
      <c r="O25" s="2">
        <f>'Allowed revenue -DPCR4'!D20</f>
        <v>223.5</v>
      </c>
      <c r="P25" s="2">
        <f>'Allowed revenue -DPCR4'!E20</f>
        <v>208.8</v>
      </c>
      <c r="Q25" s="2">
        <f>'Allowed revenue -DPCR4'!F20</f>
        <v>196</v>
      </c>
      <c r="R25" s="2">
        <f>'Allowed revenue -DPCR4'!G20</f>
        <v>183.9</v>
      </c>
      <c r="S25" s="2">
        <f>'Allowed revenue -DPCR4'!H20</f>
        <v>173.5</v>
      </c>
    </row>
    <row r="26" spans="2:19">
      <c r="B26" s="2" t="s">
        <v>900</v>
      </c>
      <c r="L26" s="2" t="s">
        <v>65</v>
      </c>
      <c r="S26" s="2">
        <f>'Allowed revenue -DPCR4'!H21</f>
        <v>85.4</v>
      </c>
    </row>
    <row r="27" spans="2:19">
      <c r="L27" s="2" t="s">
        <v>901</v>
      </c>
      <c r="S27" s="2">
        <f>'Allowed revenue -DPCR4'!H22</f>
        <v>1071.0999999999999</v>
      </c>
    </row>
    <row r="28" spans="2:19">
      <c r="B28" s="2" t="s">
        <v>848</v>
      </c>
      <c r="D28" s="2">
        <f>D15</f>
        <v>80.252600000000001</v>
      </c>
      <c r="E28" s="2">
        <f>E15</f>
        <v>76.852599999999995</v>
      </c>
      <c r="G28" s="2">
        <f>G15</f>
        <v>74.852599999999995</v>
      </c>
      <c r="H28" s="2">
        <f>H15</f>
        <v>73.45259999999999</v>
      </c>
      <c r="I28" s="2">
        <f>I15</f>
        <v>72.852599999999995</v>
      </c>
    </row>
    <row r="29" spans="2:19">
      <c r="B29" s="2" t="s">
        <v>49</v>
      </c>
      <c r="D29" s="2">
        <f>D18</f>
        <v>72.3</v>
      </c>
      <c r="E29" s="2">
        <f>E18</f>
        <v>76.2</v>
      </c>
      <c r="G29" s="2">
        <f>G18</f>
        <v>82.2</v>
      </c>
      <c r="H29" s="2">
        <f>H18</f>
        <v>88.2</v>
      </c>
      <c r="I29" s="2">
        <f>I18</f>
        <v>94.2</v>
      </c>
      <c r="O29" s="2">
        <f>1/(1+Inputs!B17)</f>
        <v>0.94746316736936853</v>
      </c>
      <c r="P29" s="2">
        <f>O29/(1+Inputs!B17)</f>
        <v>0.89768645352159604</v>
      </c>
      <c r="Q29" s="2">
        <f>P29/(1+Inputs!B17)</f>
        <v>0.85052485055814675</v>
      </c>
      <c r="R29" s="2">
        <f>Q29/(1+Inputs!B17)</f>
        <v>0.8058409688361805</v>
      </c>
      <c r="S29" s="2">
        <f>R29/(1+Inputs!B17)</f>
        <v>0.76350463672952817</v>
      </c>
    </row>
    <row r="30" spans="2:19">
      <c r="B30" s="2" t="s">
        <v>895</v>
      </c>
      <c r="D30" s="2">
        <f>D22</f>
        <v>57.699603656827051</v>
      </c>
      <c r="E30" s="2">
        <f>E22</f>
        <v>58.270869082424817</v>
      </c>
      <c r="G30" s="2">
        <f>G22</f>
        <v>55.88088671167943</v>
      </c>
      <c r="H30" s="2">
        <f>H22</f>
        <v>53.252152137277257</v>
      </c>
      <c r="I30" s="2">
        <f>I22</f>
        <v>49.723417562875014</v>
      </c>
      <c r="O30" s="2">
        <v>1</v>
      </c>
      <c r="P30" s="2">
        <f>O29</f>
        <v>0.94746316736936853</v>
      </c>
      <c r="Q30" s="2">
        <f>P29</f>
        <v>0.89768645352159604</v>
      </c>
      <c r="R30" s="2">
        <f>Q29</f>
        <v>0.85052485055814675</v>
      </c>
      <c r="S30" s="2">
        <f>R29</f>
        <v>0.8058409688361805</v>
      </c>
    </row>
    <row r="31" spans="2:19">
      <c r="O31" s="2">
        <f>1/(1+Inputs!B17)^0.5</f>
        <v>0.97337719686120061</v>
      </c>
      <c r="P31" s="2">
        <f>1/(1+Inputs!B17)^1.5</f>
        <v>0.92223904198323059</v>
      </c>
      <c r="Q31" s="2">
        <f>1/(1+Inputs!B17)^2.5</f>
        <v>0.87378752378912361</v>
      </c>
      <c r="R31" s="2">
        <f>1/(1+Inputs!B17)^3.5</f>
        <v>0.82788149489708041</v>
      </c>
      <c r="S31" s="2">
        <f>1/(1+Inputs!B17)^4.5</f>
        <v>0.78438722336167555</v>
      </c>
    </row>
    <row r="33" spans="1:19">
      <c r="L33" s="2" t="s">
        <v>68</v>
      </c>
      <c r="O33" s="2">
        <f>'Allowed revenue -DPCR4'!D24</f>
        <v>1</v>
      </c>
      <c r="P33" s="2">
        <f>'Allowed revenue -DPCR4'!E24</f>
        <v>1.0069999999999999</v>
      </c>
      <c r="Q33" s="2">
        <f>'Allowed revenue -DPCR4'!F24</f>
        <v>1.0149999999999999</v>
      </c>
      <c r="R33" s="2">
        <f>'Allowed revenue -DPCR4'!G24</f>
        <v>1.022</v>
      </c>
      <c r="S33" s="2">
        <f>'Allowed revenue -DPCR4'!H24</f>
        <v>1.0289999999999999</v>
      </c>
    </row>
    <row r="34" spans="1:19">
      <c r="L34" s="2" t="s">
        <v>69</v>
      </c>
      <c r="O34" s="2">
        <f>O33*O31</f>
        <v>0.97337719686120061</v>
      </c>
      <c r="P34" s="2">
        <f>P33*P31</f>
        <v>0.92869471527711311</v>
      </c>
      <c r="Q34" s="2">
        <f>Q33*Q31</f>
        <v>0.8868943366459604</v>
      </c>
      <c r="R34" s="2">
        <f>R33*R31</f>
        <v>0.84609488778481623</v>
      </c>
      <c r="S34" s="2">
        <f>S33*S31</f>
        <v>0.80713445283916407</v>
      </c>
    </row>
    <row r="35" spans="1:19">
      <c r="L35" s="2" t="s">
        <v>70</v>
      </c>
      <c r="O35" s="2">
        <f>($S$27-$N$41)/SUM($O$34:$U$34)*O33</f>
        <v>238.75220365682705</v>
      </c>
      <c r="P35" s="2">
        <f>($S$27-$N$41)/SUM($O$34:$U$34)*P33</f>
        <v>240.42346908242482</v>
      </c>
      <c r="Q35" s="2">
        <f>($S$27-$N$41)/SUM($O$34:$U$34)*Q33</f>
        <v>242.33348671167943</v>
      </c>
      <c r="R35" s="2">
        <f>($S$27-$N$41)/SUM($O$34:$U$34)*R33</f>
        <v>244.00475213727725</v>
      </c>
      <c r="S35" s="2">
        <f>($S$27-$N$41)/SUM($O$34:$U$34)*S33</f>
        <v>245.67601756287502</v>
      </c>
    </row>
    <row r="36" spans="1:19">
      <c r="L36" s="2" t="s">
        <v>902</v>
      </c>
      <c r="O36" s="2">
        <f>'Allowed revenue -DPCR4'!D27</f>
        <v>2.4</v>
      </c>
      <c r="P36" s="2">
        <f>'Allowed revenue -DPCR4'!E27</f>
        <v>2.4</v>
      </c>
      <c r="Q36" s="2">
        <f>'Allowed revenue -DPCR4'!F27</f>
        <v>2.4</v>
      </c>
      <c r="R36" s="2">
        <f>'Allowed revenue -DPCR4'!G27</f>
        <v>2.4</v>
      </c>
      <c r="S36" s="2">
        <f>'Allowed revenue -DPCR4'!H27</f>
        <v>2.4</v>
      </c>
    </row>
    <row r="37" spans="1:19">
      <c r="L37" s="2" t="s">
        <v>72</v>
      </c>
      <c r="O37" s="2">
        <f>O36+O35</f>
        <v>241.15220365682706</v>
      </c>
      <c r="P37" s="2">
        <f>P36+P35</f>
        <v>242.82346908242482</v>
      </c>
      <c r="Q37" s="2">
        <f>Q36+Q35</f>
        <v>244.73348671167943</v>
      </c>
      <c r="R37" s="2">
        <f>R36+R35</f>
        <v>246.40475213727726</v>
      </c>
      <c r="S37" s="2">
        <f>S36+S35</f>
        <v>248.07601756287502</v>
      </c>
    </row>
    <row r="38" spans="1:19">
      <c r="L38" s="2" t="s">
        <v>903</v>
      </c>
      <c r="O38" s="2">
        <f>O37*O31</f>
        <v>234.73205601238368</v>
      </c>
      <c r="P38" s="2">
        <f>P37*P31</f>
        <v>223.94128349762008</v>
      </c>
      <c r="Q38" s="2">
        <f>Q37*Q31</f>
        <v>213.84506734207676</v>
      </c>
      <c r="R38" s="2">
        <f>R37*R31</f>
        <v>203.99393454915366</v>
      </c>
      <c r="S38" s="2">
        <f>S37*S31</f>
        <v>194.58765859876578</v>
      </c>
    </row>
    <row r="39" spans="1:19">
      <c r="L39" s="2" t="s">
        <v>901</v>
      </c>
      <c r="S39" s="2">
        <f>SUM(O38:S38)</f>
        <v>1071.0999999999999</v>
      </c>
    </row>
    <row r="41" spans="1:19">
      <c r="L41" s="2" t="s">
        <v>904</v>
      </c>
      <c r="N41" s="2">
        <f>SUM(O41:S41)</f>
        <v>10.516013954141545</v>
      </c>
      <c r="O41" s="2">
        <f>O36*O31</f>
        <v>2.3361052724668814</v>
      </c>
      <c r="P41" s="2">
        <f>P36*P31</f>
        <v>2.2133737007597531</v>
      </c>
      <c r="Q41" s="2">
        <f>Q36*Q31</f>
        <v>2.0970900570938964</v>
      </c>
      <c r="R41" s="2">
        <f>R36*R31</f>
        <v>1.9869155877529929</v>
      </c>
      <c r="S41" s="2">
        <f>S36*S31</f>
        <v>1.8825293360680213</v>
      </c>
    </row>
    <row r="43" spans="1:19">
      <c r="A43" s="2" t="s">
        <v>905</v>
      </c>
    </row>
    <row r="45" spans="1:19">
      <c r="B45" s="2" t="s">
        <v>906</v>
      </c>
      <c r="C45" s="2" t="s">
        <v>907</v>
      </c>
      <c r="D45" s="2" t="s">
        <v>908</v>
      </c>
      <c r="E45" s="2" t="s">
        <v>909</v>
      </c>
      <c r="K45" s="2" t="s">
        <v>203</v>
      </c>
    </row>
    <row r="46" spans="1:19">
      <c r="E46" s="2" t="s">
        <v>402</v>
      </c>
      <c r="G46" s="2" t="s">
        <v>223</v>
      </c>
      <c r="H46" s="2" t="s">
        <v>38</v>
      </c>
      <c r="I46" s="2" t="s">
        <v>441</v>
      </c>
      <c r="J46" s="2" t="s">
        <v>849</v>
      </c>
      <c r="K46" s="2" t="s">
        <v>402</v>
      </c>
      <c r="L46" s="2" t="s">
        <v>223</v>
      </c>
      <c r="M46" s="2" t="s">
        <v>38</v>
      </c>
      <c r="N46" s="2" t="s">
        <v>441</v>
      </c>
      <c r="O46" s="2" t="s">
        <v>849</v>
      </c>
    </row>
    <row r="47" spans="1:19">
      <c r="B47" s="2" t="s">
        <v>895</v>
      </c>
      <c r="C47" s="2">
        <f>SUM(D24:I24)</f>
        <v>419.82692915108356</v>
      </c>
      <c r="D47" s="2" t="s">
        <v>868</v>
      </c>
      <c r="E47" s="2">
        <f>VLOOKUP($D47,'Calc-Drivers'!$B$17:$G$27,E$53,FALSE)</f>
        <v>0.56489934573540868</v>
      </c>
      <c r="G47" s="2">
        <f>VLOOKUP($D47,'Calc-Drivers'!$B$17:$G$27,G$53,FALSE)</f>
        <v>0.20608048808998844</v>
      </c>
      <c r="H47" s="2">
        <f>VLOOKUP($D47,'Calc-Drivers'!$B$17:$G$27,H$53,FALSE)</f>
        <v>5.3178230445720967E-2</v>
      </c>
      <c r="I47" s="2">
        <f>VLOOKUP($D47,'Calc-Drivers'!$B$17:$G$27,I$53,FALSE)</f>
        <v>0.13915346037703327</v>
      </c>
      <c r="J47" s="2">
        <f>VLOOKUP($D47,'Calc-Drivers'!$B$17:$G$27,J$53,FALSE)</f>
        <v>3.668847535184859E-2</v>
      </c>
      <c r="K47" s="2">
        <f>$C47*E47</f>
        <v>237.15995759955288</v>
      </c>
      <c r="L47" s="2">
        <f t="shared" ref="L47:N49" si="2">$C47*G47</f>
        <v>86.5181384727763</v>
      </c>
      <c r="M47" s="2">
        <f t="shared" si="2"/>
        <v>22.325653185715691</v>
      </c>
      <c r="N47" s="2">
        <f t="shared" si="2"/>
        <v>58.420369950836864</v>
      </c>
      <c r="O47" s="2">
        <f>$C47 * J47</f>
        <v>15.402809942201813</v>
      </c>
    </row>
    <row r="48" spans="1:19">
      <c r="B48" s="2" t="s">
        <v>49</v>
      </c>
      <c r="C48" s="2">
        <f>SUM(D18:I18)</f>
        <v>413.09999999999997</v>
      </c>
      <c r="D48" s="2" t="s">
        <v>868</v>
      </c>
      <c r="E48" s="2">
        <f>VLOOKUP($D48,'Calc-Drivers'!$B$17:$G$27,E$53,FALSE)</f>
        <v>0.56489934573540868</v>
      </c>
      <c r="G48" s="2">
        <f>VLOOKUP($D48,'Calc-Drivers'!$B$17:$G$27,G$53,FALSE)</f>
        <v>0.20608048808998844</v>
      </c>
      <c r="H48" s="2">
        <f>VLOOKUP($D48,'Calc-Drivers'!$B$17:$G$27,H$53,FALSE)</f>
        <v>5.3178230445720967E-2</v>
      </c>
      <c r="I48" s="2">
        <f>VLOOKUP($D48,'Calc-Drivers'!$B$17:$G$27,I$53,FALSE)</f>
        <v>0.13915346037703327</v>
      </c>
      <c r="J48" s="2">
        <f>VLOOKUP($D48,'Calc-Drivers'!$B$17:$G$27,J$53,FALSE)</f>
        <v>3.668847535184859E-2</v>
      </c>
      <c r="K48" s="2">
        <f>$C48*E48</f>
        <v>233.35991972329731</v>
      </c>
      <c r="L48" s="2">
        <f t="shared" si="2"/>
        <v>85.131849629974212</v>
      </c>
      <c r="M48" s="2">
        <f t="shared" si="2"/>
        <v>21.967926997127329</v>
      </c>
      <c r="N48" s="2">
        <f t="shared" si="2"/>
        <v>57.484294481752443</v>
      </c>
      <c r="O48" s="2">
        <f>$C48 * J48</f>
        <v>15.156009167848651</v>
      </c>
    </row>
    <row r="49" spans="1:16">
      <c r="B49" s="2" t="s">
        <v>910</v>
      </c>
      <c r="C49" s="2">
        <f>SUM(D15:I15)</f>
        <v>378.26299999999998</v>
      </c>
      <c r="D49" s="2" t="s">
        <v>911</v>
      </c>
      <c r="E49" s="2">
        <f>'Calc-Opex'!AQ42</f>
        <v>0.25024433071284463</v>
      </c>
      <c r="G49" s="2">
        <f>'Calc-Opex'!AR42</f>
        <v>0.19859307439590401</v>
      </c>
      <c r="H49" s="2">
        <f>'Calc-Opex'!AS42</f>
        <v>8.9698310536729053E-2</v>
      </c>
      <c r="I49" s="2">
        <f>'Calc-Opex'!AT42</f>
        <v>0.2256436602191082</v>
      </c>
      <c r="J49" s="2">
        <f>'Calc-Opex'!AU42</f>
        <v>0.2358206241354141</v>
      </c>
      <c r="K49" s="2">
        <f>$C49*E49</f>
        <v>94.658171268432739</v>
      </c>
      <c r="L49" s="2">
        <f t="shared" si="2"/>
        <v>75.120412100217834</v>
      </c>
      <c r="M49" s="2">
        <f t="shared" si="2"/>
        <v>33.929552038554739</v>
      </c>
      <c r="N49" s="2">
        <f>$C49*I49</f>
        <v>85.352647845460524</v>
      </c>
      <c r="O49" s="2">
        <f>$C49 * J49</f>
        <v>89.202216747334134</v>
      </c>
    </row>
    <row r="51" spans="1:16">
      <c r="B51" s="2" t="s">
        <v>200</v>
      </c>
      <c r="C51" s="2">
        <f>SUM(C47:C49)</f>
        <v>1211.1899291510836</v>
      </c>
      <c r="K51" s="2">
        <f>SUM(K47:K50)</f>
        <v>565.17804859128296</v>
      </c>
      <c r="L51" s="2">
        <f>SUM(L47:L50)</f>
        <v>246.77040020296835</v>
      </c>
      <c r="M51" s="2">
        <f>SUM(M47:M50)</f>
        <v>78.223132221397748</v>
      </c>
      <c r="N51" s="2">
        <f>SUM(N47:N50)</f>
        <v>201.25731227804982</v>
      </c>
      <c r="O51" s="2">
        <f>SUM($O$47:$O$50)</f>
        <v>119.7610358573846</v>
      </c>
    </row>
    <row r="52" spans="1:16">
      <c r="K52" s="2">
        <f>K51/SUM($K$51:$O$51)</f>
        <v>0.46663040617206358</v>
      </c>
      <c r="L52" s="2">
        <f>L51/SUM($K$51:$O$51)</f>
        <v>0.20374211695760089</v>
      </c>
      <c r="M52" s="2">
        <f>M51/SUM($K$51:$O$51)</f>
        <v>6.4583704288413243E-2</v>
      </c>
      <c r="N52" s="2">
        <f>N51/SUM($K$51:$O$51)</f>
        <v>0.16616494856352548</v>
      </c>
      <c r="O52" s="2">
        <f>O51/SUM($K$50:$O$51)</f>
        <v>9.8878824018396913E-2</v>
      </c>
    </row>
    <row r="53" spans="1:16">
      <c r="E53" s="2">
        <v>6</v>
      </c>
      <c r="G53" s="2">
        <v>5</v>
      </c>
      <c r="H53" s="2">
        <v>4</v>
      </c>
      <c r="I53" s="2">
        <v>3</v>
      </c>
      <c r="J53" s="2">
        <v>2</v>
      </c>
    </row>
    <row r="55" spans="1:16">
      <c r="D55" s="2" t="s">
        <v>912</v>
      </c>
    </row>
    <row r="56" spans="1:16">
      <c r="D56" s="2" t="s">
        <v>913</v>
      </c>
    </row>
    <row r="58" spans="1:16">
      <c r="A58" s="2" t="s">
        <v>914</v>
      </c>
    </row>
    <row r="60" spans="1:16">
      <c r="B60" s="2" t="s">
        <v>915</v>
      </c>
    </row>
    <row r="61" spans="1:16">
      <c r="B61" s="2" t="s">
        <v>916</v>
      </c>
      <c r="F61" s="2">
        <f>'Summary of revenue'!J11</f>
        <v>274.19156400000003</v>
      </c>
      <c r="G61" s="2">
        <f>F61/$F$66</f>
        <v>0.96084277039972421</v>
      </c>
      <c r="P61" s="2" t="s">
        <v>203</v>
      </c>
    </row>
    <row r="62" spans="1:16">
      <c r="B62" s="2" t="s">
        <v>917</v>
      </c>
      <c r="F62" s="2">
        <f>'Summary of revenue'!J12</f>
        <v>-3.6379950000000001</v>
      </c>
      <c r="G62" s="2">
        <f>F62/$F$66</f>
        <v>-1.274853661982228E-2</v>
      </c>
    </row>
    <row r="63" spans="1:16">
      <c r="B63" s="2" t="s">
        <v>918</v>
      </c>
      <c r="F63" s="2">
        <f>'Summary of revenue'!J13</f>
        <v>7.1725950000000003</v>
      </c>
      <c r="G63" s="2">
        <f>F63/$F$66</f>
        <v>2.5134748677954254E-2</v>
      </c>
      <c r="M63" s="2" t="s">
        <v>919</v>
      </c>
      <c r="P63" s="2">
        <f>F66</f>
        <v>285.36569400000008</v>
      </c>
    </row>
    <row r="64" spans="1:16">
      <c r="B64" s="2" t="s">
        <v>920</v>
      </c>
      <c r="F64" s="2">
        <f>'Summary of revenue'!J21</f>
        <v>-0.97047000000000005</v>
      </c>
      <c r="G64" s="2">
        <f>F64/$F$66</f>
        <v>-3.4007942103930679E-3</v>
      </c>
    </row>
    <row r="65" spans="2:19">
      <c r="B65" s="2" t="s">
        <v>921</v>
      </c>
      <c r="F65" s="2">
        <f>'Summary of revenue'!J46+'Summary of revenue'!J47</f>
        <v>8.61</v>
      </c>
      <c r="G65" s="2">
        <f>F65/$F$66</f>
        <v>3.017181175253672E-2</v>
      </c>
      <c r="M65" s="2" t="s">
        <v>922</v>
      </c>
      <c r="P65" s="2">
        <f>-F63</f>
        <v>-7.1725950000000003</v>
      </c>
    </row>
    <row r="66" spans="2:19">
      <c r="B66" s="2" t="s">
        <v>200</v>
      </c>
      <c r="F66" s="2">
        <f>SUM(F61:F65)</f>
        <v>285.36569400000008</v>
      </c>
      <c r="G66" s="2">
        <f>SUM(G61:G65)</f>
        <v>0.99999999999999989</v>
      </c>
      <c r="M66" s="2" t="s">
        <v>974</v>
      </c>
      <c r="P66" s="2">
        <f>-'Calc-Opex'!I37</f>
        <v>-8</v>
      </c>
    </row>
    <row r="68" spans="2:19">
      <c r="M68" s="2" t="s">
        <v>923</v>
      </c>
      <c r="P68" s="2">
        <f>-SUM(P65:P67)</f>
        <v>15.172595000000001</v>
      </c>
    </row>
    <row r="69" spans="2:19">
      <c r="M69" s="2" t="s">
        <v>924</v>
      </c>
      <c r="P69" s="2">
        <f>SUM(P63:P67)</f>
        <v>270.19309900000007</v>
      </c>
    </row>
    <row r="70" spans="2:19">
      <c r="B70" s="2" t="s">
        <v>981</v>
      </c>
      <c r="G70" s="2">
        <f>(SUM('FBPQ LR1'!D13:M13)-MIN(0,'Calc-Net capex'!C19)-MIN(0,'Calc-Net capex'!C20)-MIN(0,'Calc-Net capex'!C21+'Calc-Net capex'!C22))/10</f>
        <v>10.309999999999999</v>
      </c>
    </row>
    <row r="71" spans="2:19" ht="39" customHeight="1">
      <c r="L71" s="2" t="s">
        <v>925</v>
      </c>
    </row>
    <row r="72" spans="2:19">
      <c r="B72" s="2" t="s">
        <v>926</v>
      </c>
      <c r="D72" s="2" t="s">
        <v>203</v>
      </c>
      <c r="L72" s="2" t="s">
        <v>927</v>
      </c>
    </row>
    <row r="73" spans="2:19">
      <c r="D73" s="2" t="s">
        <v>200</v>
      </c>
      <c r="F73" s="2" t="s">
        <v>402</v>
      </c>
      <c r="G73" s="2" t="s">
        <v>223</v>
      </c>
      <c r="H73" s="2" t="s">
        <v>38</v>
      </c>
      <c r="I73" s="2" t="s">
        <v>222</v>
      </c>
      <c r="J73" s="2" t="s">
        <v>928</v>
      </c>
      <c r="L73" s="2" t="s">
        <v>402</v>
      </c>
      <c r="M73" s="2" t="s">
        <v>223</v>
      </c>
      <c r="N73" s="2" t="s">
        <v>38</v>
      </c>
      <c r="O73" s="2" t="s">
        <v>441</v>
      </c>
      <c r="P73" s="2" t="s">
        <v>928</v>
      </c>
      <c r="R73" s="2" t="s">
        <v>200</v>
      </c>
      <c r="S73" s="2" t="s">
        <v>849</v>
      </c>
    </row>
    <row r="75" spans="2:19">
      <c r="B75" s="2" t="s">
        <v>929</v>
      </c>
      <c r="D75" s="2">
        <f>SUM(F75:J75)</f>
        <v>295.67569400000014</v>
      </c>
      <c r="F75" s="2">
        <f>$P$69*K52+$G70*E49</f>
        <v>128.66033458090806</v>
      </c>
      <c r="G75" s="2">
        <f>$P$69*L52+$G70*G49</f>
        <v>57.097208574616417</v>
      </c>
      <c r="H75" s="2">
        <f>$P$69*M52+$G70*H49</f>
        <v>18.374860788219642</v>
      </c>
      <c r="I75" s="2">
        <f>$P$69*(N52+O52)+$G70*(I49+J49)</f>
        <v>76.370695056255997</v>
      </c>
      <c r="J75" s="2">
        <f>P68</f>
        <v>15.172595000000001</v>
      </c>
      <c r="L75" s="2">
        <f>F75*100000000/'Calc-Units'!E23</f>
        <v>0.48636591430402226</v>
      </c>
      <c r="M75" s="2">
        <f>G75*100000000/'Calc-Units'!D23</f>
        <v>0.22075111304065345</v>
      </c>
      <c r="N75" s="2">
        <f>H75*100000000/'Calc-Units'!C23</f>
        <v>0.10755596340564061</v>
      </c>
      <c r="O75" s="2">
        <f>I75*100000000/'Calc-Units'!C23</f>
        <v>0.44703052596731446</v>
      </c>
      <c r="P75" s="2">
        <f>J75*100000000/'Calc-Units'!E23</f>
        <v>5.7355929188098613E-2</v>
      </c>
    </row>
    <row r="77" spans="2:19">
      <c r="B77" s="2" t="s">
        <v>930</v>
      </c>
      <c r="L77" s="2">
        <f>L75</f>
        <v>0.48636591430402226</v>
      </c>
      <c r="M77" s="2">
        <f>M75</f>
        <v>0.22075111304065345</v>
      </c>
      <c r="N77" s="2">
        <f>N75</f>
        <v>0.10755596340564061</v>
      </c>
      <c r="O77" s="2">
        <f>O75</f>
        <v>0.44703052596731446</v>
      </c>
      <c r="P77" s="2">
        <f>P75</f>
        <v>5.7355929188098613E-2</v>
      </c>
      <c r="R77" s="2">
        <f>SUM(L77:P77)</f>
        <v>1.3190594459057292</v>
      </c>
    </row>
    <row r="78" spans="2:19">
      <c r="B78" s="2" t="s">
        <v>931</v>
      </c>
    </row>
    <row r="79" spans="2:19">
      <c r="B79" s="2" t="s">
        <v>932</v>
      </c>
    </row>
    <row r="81" spans="2:19">
      <c r="B81" s="2" t="s">
        <v>930</v>
      </c>
      <c r="L81" s="2">
        <f>L77/$R77</f>
        <v>0.36872175534898671</v>
      </c>
      <c r="M81" s="2">
        <f>M77/$R77</f>
        <v>0.16735493894975689</v>
      </c>
      <c r="N81" s="2">
        <f>N77/$R77</f>
        <v>8.1539890972682855E-2</v>
      </c>
      <c r="O81" s="2">
        <f>$O77/$R77*$N52/($N52+$O52)</f>
        <v>0.21246853579177355</v>
      </c>
      <c r="P81" s="2">
        <f>P77/$R77</f>
        <v>4.3482444529795466E-2</v>
      </c>
      <c r="R81" s="2">
        <f>SUM(L81:P81) + S81</f>
        <v>1.0000000000000002</v>
      </c>
      <c r="S81" s="2">
        <f>$O77/$R77*$O52/($N52+$O52)</f>
        <v>0.12643243440700469</v>
      </c>
    </row>
    <row r="82" spans="2:19">
      <c r="B82" s="2" t="s">
        <v>931</v>
      </c>
    </row>
    <row r="83" spans="2:19">
      <c r="B83" s="2" t="s">
        <v>932</v>
      </c>
    </row>
  </sheetData>
  <sheetProtection sheet="1" objects="1" scenarios="1"/>
  <phoneticPr fontId="1" type="noConversion"/>
  <pageMargins left="0.75" right="0.75" top="1" bottom="1" header="0.5" footer="0.5"/>
  <pageSetup paperSize="9" scale="3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>
    <tabColor rgb="FFFFFFC4"/>
    <pageSetUpPr fitToPage="1"/>
  </sheetPr>
  <dimension ref="A1:G10"/>
  <sheetViews>
    <sheetView showGridLines="0" workbookViewId="0"/>
  </sheetViews>
  <sheetFormatPr defaultColWidth="8.85546875" defaultRowHeight="14.1" customHeight="1"/>
  <cols>
    <col min="1" max="1" width="44" style="2" customWidth="1"/>
    <col min="2" max="7" width="13.42578125" style="2" customWidth="1"/>
    <col min="8" max="8" width="9.140625" style="2" customWidth="1"/>
    <col min="9" max="16384" width="8.85546875" style="2"/>
  </cols>
  <sheetData>
    <row r="1" spans="1:7" ht="20.100000000000001" customHeight="1">
      <c r="A1" s="4" t="str">
        <f>"Calc-Summary for Method M ("&amp;'Calc-Net capex'!B5&amp;") for "&amp;Inputs!B6&amp;" in "&amp;Inputs!C6&amp;"  Status: "&amp;Inputs!D6&amp;""</f>
        <v>Calc-Summary for Method M (LR1) for Mid West in April 17  Status: Finals</v>
      </c>
    </row>
    <row r="3" spans="1:7" ht="14.1" customHeight="1">
      <c r="A3" s="2" t="s">
        <v>866</v>
      </c>
      <c r="B3" s="2" t="s">
        <v>933</v>
      </c>
    </row>
    <row r="4" spans="1:7" ht="14.1" customHeight="1">
      <c r="B4" s="2" t="s">
        <v>849</v>
      </c>
      <c r="C4" s="2" t="s">
        <v>441</v>
      </c>
      <c r="D4" s="2" t="s">
        <v>525</v>
      </c>
      <c r="E4" s="2" t="s">
        <v>223</v>
      </c>
      <c r="F4" s="2" t="s">
        <v>402</v>
      </c>
      <c r="G4" s="2" t="s">
        <v>934</v>
      </c>
    </row>
    <row r="5" spans="1:7" ht="14.1" customHeight="1">
      <c r="A5" s="2" t="s">
        <v>935</v>
      </c>
      <c r="B5" s="2">
        <f>'Calc-Allocation'!J49</f>
        <v>0.2358206241354141</v>
      </c>
      <c r="C5" s="2">
        <f>'Calc-Allocation'!I49</f>
        <v>0.2256436602191082</v>
      </c>
      <c r="D5" s="2">
        <f>'Calc-Allocation'!H49</f>
        <v>8.9698310536729053E-2</v>
      </c>
      <c r="E5" s="2">
        <f>'Calc-Allocation'!G49</f>
        <v>0.19859307439590401</v>
      </c>
      <c r="F5" s="2">
        <f>'Calc-Allocation'!E49</f>
        <v>0.25024433071284463</v>
      </c>
      <c r="G5" s="2" t="s">
        <v>936</v>
      </c>
    </row>
    <row r="6" spans="1:7" ht="14.1" customHeight="1">
      <c r="A6" s="2" t="s">
        <v>49</v>
      </c>
      <c r="B6" s="2">
        <f>'Calc-Allocation'!J47</f>
        <v>3.668847535184859E-2</v>
      </c>
      <c r="C6" s="2">
        <f>'Calc-Allocation'!I48</f>
        <v>0.13915346037703327</v>
      </c>
      <c r="D6" s="2">
        <f>'Calc-Allocation'!H48</f>
        <v>5.3178230445720967E-2</v>
      </c>
      <c r="E6" s="2">
        <f>'Calc-Allocation'!G48</f>
        <v>0.20608048808998844</v>
      </c>
      <c r="F6" s="2">
        <f>'Calc-Allocation'!E48</f>
        <v>0.56489934573540868</v>
      </c>
      <c r="G6" s="2" t="s">
        <v>936</v>
      </c>
    </row>
    <row r="7" spans="1:7" ht="14.1" customHeight="1">
      <c r="A7" s="2" t="s">
        <v>895</v>
      </c>
      <c r="B7" s="2">
        <f>'Calc-Allocation'!J48</f>
        <v>3.668847535184859E-2</v>
      </c>
      <c r="C7" s="2">
        <f>'Calc-Allocation'!I47</f>
        <v>0.13915346037703327</v>
      </c>
      <c r="D7" s="2">
        <f>'Calc-Allocation'!H47</f>
        <v>5.3178230445720967E-2</v>
      </c>
      <c r="E7" s="2">
        <f>'Calc-Allocation'!G47</f>
        <v>0.20608048808998844</v>
      </c>
      <c r="F7" s="2">
        <f>'Calc-Allocation'!E47</f>
        <v>0.56489934573540868</v>
      </c>
      <c r="G7" s="2" t="s">
        <v>936</v>
      </c>
    </row>
    <row r="8" spans="1:7" ht="14.1" customHeight="1">
      <c r="A8" s="2" t="s">
        <v>937</v>
      </c>
      <c r="B8" s="2">
        <f>'Calc-Allocation'!O52</f>
        <v>9.8878824018396913E-2</v>
      </c>
      <c r="C8" s="2">
        <f>'Calc-Allocation'!N52</f>
        <v>0.16616494856352548</v>
      </c>
      <c r="D8" s="2">
        <f>'Calc-Allocation'!M52</f>
        <v>6.4583704288413243E-2</v>
      </c>
      <c r="E8" s="2">
        <f>'Calc-Allocation'!L52</f>
        <v>0.20374211695760089</v>
      </c>
      <c r="F8" s="2">
        <f>'Calc-Allocation'!K52</f>
        <v>0.46663040617206358</v>
      </c>
      <c r="G8" s="2" t="s">
        <v>936</v>
      </c>
    </row>
    <row r="9" spans="1:7" ht="14.1" customHeight="1">
      <c r="A9" s="2" t="s">
        <v>938</v>
      </c>
      <c r="B9" s="2">
        <f>'Calc-Allocation'!S81</f>
        <v>0.12643243440700469</v>
      </c>
      <c r="C9" s="2">
        <f>'Calc-Allocation'!O81</f>
        <v>0.21246853579177355</v>
      </c>
      <c r="D9" s="2">
        <f>'Calc-Allocation'!N81</f>
        <v>8.1539890972682855E-2</v>
      </c>
      <c r="E9" s="2">
        <f>'Calc-Allocation'!M81</f>
        <v>0.16735493894975689</v>
      </c>
      <c r="F9" s="2">
        <f>'Calc-Allocation'!L81</f>
        <v>0.36872175534898671</v>
      </c>
      <c r="G9" s="2">
        <f>'Calc-Allocation'!P81</f>
        <v>4.3482444529795466E-2</v>
      </c>
    </row>
    <row r="10" spans="1:7" ht="14.1" customHeight="1">
      <c r="A10" s="2" t="s">
        <v>939</v>
      </c>
      <c r="B10" s="2">
        <f>'Calc-Opex'!AD49</f>
        <v>0.59937684389551071</v>
      </c>
      <c r="C10" s="2">
        <f>'Calc-Opex'!AC49</f>
        <v>0.59937684389551049</v>
      </c>
      <c r="D10" s="2">
        <f>'Calc-Opex'!AB49</f>
        <v>0.85897828120479169</v>
      </c>
      <c r="E10" s="2">
        <f>'Calc-Opex'!AA49</f>
        <v>0.84326738632473186</v>
      </c>
      <c r="F10" s="2">
        <f>'Calc-Opex'!Z49</f>
        <v>0.69639505721598816</v>
      </c>
      <c r="G10" s="2" t="s">
        <v>936</v>
      </c>
    </row>
  </sheetData>
  <sheetProtection sheet="1" objects="1" scenarios="1"/>
  <phoneticPr fontId="1" type="noConversion"/>
  <pageMargins left="0.75" right="0.75" top="1" bottom="1" header="0.5" footer="0.5"/>
  <pageSetup paperSize="9" scale="6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79998168889431442"/>
    <pageSetUpPr fitToPage="1"/>
  </sheetPr>
  <dimension ref="A1:I63"/>
  <sheetViews>
    <sheetView showGridLines="0" tabSelected="1" topLeftCell="A34" workbookViewId="0">
      <selection activeCell="B59" sqref="B59:E63"/>
    </sheetView>
  </sheetViews>
  <sheetFormatPr defaultColWidth="17.7109375" defaultRowHeight="15"/>
  <cols>
    <col min="1" max="1" width="21.85546875" style="2" customWidth="1"/>
    <col min="2" max="9" width="14.85546875" style="2" customWidth="1"/>
    <col min="10" max="16384" width="17.7109375" style="2"/>
  </cols>
  <sheetData>
    <row r="1" spans="1:9" ht="19.5">
      <c r="A1" s="4" t="str">
        <f>"EDCM extension to Method M ("&amp;'Calc-Net capex'!B5&amp;") for "&amp;Inputs!B6&amp;" in "&amp;Inputs!C6&amp;"  Status: "&amp;Inputs!D6&amp;""</f>
        <v>EDCM extension to Method M (LR1) for Mid West in April 17  Status: Finals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17.25">
      <c r="A3" s="39" t="s">
        <v>961</v>
      </c>
      <c r="B3" s="15"/>
      <c r="C3" s="15"/>
      <c r="D3" s="15"/>
      <c r="E3" s="15"/>
      <c r="F3" s="15"/>
      <c r="G3" s="15"/>
      <c r="H3" s="15"/>
    </row>
    <row r="4" spans="1:9" ht="17.25">
      <c r="A4" s="39"/>
      <c r="B4" s="15"/>
      <c r="C4" s="15"/>
      <c r="D4" s="15"/>
      <c r="E4" s="15"/>
      <c r="F4" s="15"/>
      <c r="G4" s="15"/>
      <c r="H4" s="15"/>
    </row>
    <row r="5" spans="1:9" ht="30">
      <c r="A5" s="15"/>
      <c r="B5" s="6" t="s">
        <v>959</v>
      </c>
      <c r="D5" s="15"/>
      <c r="E5" s="15"/>
      <c r="F5" s="15"/>
      <c r="G5" s="15"/>
      <c r="H5" s="15"/>
    </row>
    <row r="6" spans="1:9">
      <c r="A6" s="14" t="s">
        <v>222</v>
      </c>
      <c r="B6" s="40">
        <f>SUM('Data-MEAV'!I19:I39)</f>
        <v>7640546.6618143665</v>
      </c>
      <c r="E6" s="15"/>
      <c r="F6" s="15"/>
      <c r="G6" s="15"/>
      <c r="H6" s="15"/>
    </row>
    <row r="7" spans="1:9">
      <c r="A7" s="14" t="s">
        <v>38</v>
      </c>
      <c r="B7" s="40">
        <f>SUM('Data-MEAV'!I62:I63,'Data-MEAV'!I69:I70,'Data-MEAV'!I75:I78,'Data-MEAV'!I153:I154)</f>
        <v>782060.85740345821</v>
      </c>
      <c r="E7" s="15"/>
      <c r="F7" s="15"/>
      <c r="G7" s="15"/>
      <c r="H7" s="15"/>
    </row>
    <row r="8" spans="1:9">
      <c r="A8" s="14" t="s">
        <v>223</v>
      </c>
      <c r="B8" s="40">
        <f>SUM('Data-MEAV'!I41:I58,'Data-MEAV'!I61,'Data-MEAV'!I64:I65,'Data-MEAV'!I68,'Data-MEAV'!I71:I72)</f>
        <v>1681558.985165759</v>
      </c>
      <c r="E8" s="15"/>
      <c r="F8" s="15"/>
      <c r="G8" s="15"/>
      <c r="H8" s="15"/>
    </row>
    <row r="9" spans="1:9">
      <c r="A9" s="15"/>
      <c r="B9" s="16"/>
      <c r="D9" s="16"/>
      <c r="E9" s="15"/>
      <c r="F9" s="15"/>
      <c r="G9" s="15"/>
      <c r="H9" s="15"/>
    </row>
    <row r="10" spans="1:9">
      <c r="A10" s="14" t="s">
        <v>37</v>
      </c>
      <c r="B10" s="40">
        <f>SUM('Data-MEAV'!I59:I60,'Data-MEAV'!I66:I67,'Data-MEAV'!I110,'Data-MEAV'!I112,'Data-MEAV'!I115:I119,'Data-MEAV'!I149:I150)</f>
        <v>1318694.3352575633</v>
      </c>
      <c r="D10" s="16"/>
      <c r="E10" s="15"/>
      <c r="F10" s="15"/>
      <c r="G10" s="15"/>
      <c r="H10" s="15"/>
    </row>
    <row r="11" spans="1:9">
      <c r="A11" s="14" t="s">
        <v>402</v>
      </c>
      <c r="B11" s="40">
        <f>SUM('Data-MEAV'!I82:I85,'Data-MEAV'!I88:I91,'Data-MEAV'!I94:I99,'Data-MEAV'!I102)</f>
        <v>358370.52060258045</v>
      </c>
      <c r="D11" s="16"/>
      <c r="E11" s="15"/>
      <c r="F11" s="15"/>
      <c r="G11" s="15"/>
      <c r="H11" s="15"/>
    </row>
    <row r="12" spans="1:9">
      <c r="A12" s="14" t="s">
        <v>36</v>
      </c>
      <c r="B12" s="40">
        <f>SUM('Data-MEAV'!I105:I109,'Data-MEAV'!I111,'Data-MEAV'!I144:I145)</f>
        <v>687177.21913543623</v>
      </c>
      <c r="D12" s="16"/>
      <c r="E12" s="15"/>
      <c r="F12" s="15"/>
      <c r="G12" s="15"/>
      <c r="H12" s="15"/>
    </row>
    <row r="13" spans="1:9">
      <c r="A13" s="14" t="s">
        <v>401</v>
      </c>
      <c r="B13" s="40">
        <f>SUM('Data-MEAV'!I123:I124,'Data-MEAV'!I127:I129,'Data-MEAV'!I132:I134,'Data-MEAV'!I137,'Data-MEAV'!I140:I141)</f>
        <v>4276662.9947081394</v>
      </c>
      <c r="D13" s="16"/>
      <c r="E13" s="15"/>
      <c r="F13" s="15"/>
      <c r="G13" s="15"/>
      <c r="H13" s="15"/>
    </row>
    <row r="14" spans="1:9">
      <c r="A14" s="15"/>
      <c r="B14" s="16"/>
      <c r="D14" s="16"/>
      <c r="E14" s="15"/>
      <c r="F14" s="15"/>
      <c r="G14" s="15"/>
      <c r="H14" s="15"/>
    </row>
    <row r="15" spans="1:9">
      <c r="A15" s="14" t="s">
        <v>953</v>
      </c>
      <c r="B15" s="40">
        <f>SUM(B10:B13)</f>
        <v>6640905.0697037196</v>
      </c>
      <c r="E15" s="15"/>
      <c r="F15" s="15"/>
      <c r="G15" s="15"/>
      <c r="H15" s="15"/>
    </row>
    <row r="16" spans="1:9">
      <c r="A16" s="15"/>
      <c r="B16" s="15"/>
      <c r="C16" s="15"/>
      <c r="D16" s="16"/>
      <c r="E16" s="15"/>
      <c r="F16" s="15"/>
      <c r="G16" s="15"/>
      <c r="H16" s="15"/>
    </row>
    <row r="17" spans="1:9" ht="17.25">
      <c r="A17" s="39" t="s">
        <v>962</v>
      </c>
      <c r="B17" s="15"/>
      <c r="C17" s="16"/>
      <c r="D17" s="15"/>
      <c r="E17" s="16"/>
      <c r="F17" s="15"/>
      <c r="G17" s="15"/>
      <c r="H17" s="15"/>
      <c r="I17" s="15"/>
    </row>
    <row r="18" spans="1:9">
      <c r="A18" s="15"/>
      <c r="B18" s="15"/>
      <c r="C18" s="16"/>
      <c r="D18" s="15"/>
      <c r="E18" s="16"/>
      <c r="F18" s="15"/>
      <c r="G18" s="15"/>
      <c r="H18" s="15"/>
      <c r="I18" s="15"/>
    </row>
    <row r="19" spans="1:9" ht="30">
      <c r="A19" s="15"/>
      <c r="B19" s="6" t="s">
        <v>960</v>
      </c>
      <c r="C19" s="16"/>
      <c r="D19" s="15"/>
      <c r="E19" s="16"/>
      <c r="F19" s="15"/>
      <c r="G19" s="15"/>
      <c r="H19" s="15"/>
      <c r="I19" s="15"/>
    </row>
    <row r="20" spans="1:9">
      <c r="A20" s="14" t="s">
        <v>37</v>
      </c>
      <c r="B20" s="41">
        <f>B10/B$15</f>
        <v>0.19857147804650008</v>
      </c>
      <c r="C20" s="16"/>
      <c r="D20" s="15"/>
      <c r="E20" s="16"/>
      <c r="F20" s="15"/>
      <c r="G20" s="15"/>
      <c r="H20" s="15"/>
      <c r="I20" s="15"/>
    </row>
    <row r="21" spans="1:9">
      <c r="A21" s="14" t="s">
        <v>402</v>
      </c>
      <c r="B21" s="41">
        <f>B11/B$15</f>
        <v>5.3964108331783299E-2</v>
      </c>
      <c r="C21" s="16"/>
      <c r="D21" s="15"/>
      <c r="E21" s="16"/>
      <c r="F21" s="15"/>
      <c r="G21" s="15"/>
      <c r="H21" s="15"/>
      <c r="I21" s="15"/>
    </row>
    <row r="22" spans="1:9">
      <c r="A22" s="14" t="s">
        <v>36</v>
      </c>
      <c r="B22" s="41">
        <f>B12/B$15</f>
        <v>0.10347644062409317</v>
      </c>
      <c r="C22" s="16"/>
      <c r="D22" s="15"/>
      <c r="E22" s="16"/>
      <c r="F22" s="15"/>
      <c r="G22" s="15"/>
      <c r="H22" s="15"/>
      <c r="I22" s="15"/>
    </row>
    <row r="23" spans="1:9">
      <c r="A23" s="14" t="s">
        <v>401</v>
      </c>
      <c r="B23" s="41">
        <f>B13/B$15</f>
        <v>0.64398797299762345</v>
      </c>
      <c r="C23" s="16"/>
      <c r="D23" s="15"/>
      <c r="E23" s="16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7.25">
      <c r="A25" s="39" t="s">
        <v>963</v>
      </c>
      <c r="B25" s="15"/>
      <c r="C25" s="16"/>
      <c r="D25" s="15"/>
      <c r="E25" s="16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6" t="s">
        <v>849</v>
      </c>
      <c r="C27" s="6" t="s">
        <v>441</v>
      </c>
      <c r="D27" s="6" t="s">
        <v>525</v>
      </c>
      <c r="E27" s="6" t="s">
        <v>223</v>
      </c>
      <c r="F27" s="6" t="s">
        <v>37</v>
      </c>
      <c r="G27" s="6" t="s">
        <v>402</v>
      </c>
      <c r="H27" s="6" t="s">
        <v>36</v>
      </c>
      <c r="I27" s="6" t="s">
        <v>401</v>
      </c>
    </row>
    <row r="28" spans="1:9">
      <c r="A28" s="14" t="s">
        <v>952</v>
      </c>
      <c r="B28" s="41">
        <f>'Calc-Summary'!B9</f>
        <v>0.12643243440700469</v>
      </c>
      <c r="C28" s="41">
        <f>'Calc-Summary'!C9</f>
        <v>0.21246853579177355</v>
      </c>
      <c r="D28" s="41">
        <f>'Calc-Summary'!D9</f>
        <v>8.1539890972682855E-2</v>
      </c>
      <c r="E28" s="41">
        <f>'Calc-Summary'!E9</f>
        <v>0.16735493894975689</v>
      </c>
      <c r="F28" s="41">
        <f>'Calc-Summary'!$F9*'EDCM discounts'!$B20</f>
        <v>7.3217623947548285E-2</v>
      </c>
      <c r="G28" s="41">
        <f>'Calc-Summary'!$F9*'EDCM discounts'!$B21</f>
        <v>1.9897740749938019E-2</v>
      </c>
      <c r="H28" s="41">
        <f>'Calc-Summary'!$F9*'EDCM discounts'!$B22</f>
        <v>3.8154014824180835E-2</v>
      </c>
      <c r="I28" s="41">
        <f>'Calc-Summary'!$F9*'EDCM discounts'!$B23</f>
        <v>0.23745237582731957</v>
      </c>
    </row>
    <row r="29" spans="1:9">
      <c r="A29" s="14" t="s">
        <v>939</v>
      </c>
      <c r="B29" s="41">
        <f>'Calc-Summary'!B10</f>
        <v>0.59937684389551071</v>
      </c>
      <c r="C29" s="41">
        <f>'Calc-Summary'!C10</f>
        <v>0.59937684389551049</v>
      </c>
      <c r="D29" s="41">
        <f>'Calc-Summary'!D10</f>
        <v>0.85897828120479169</v>
      </c>
      <c r="E29" s="41">
        <f>'Calc-Summary'!E10</f>
        <v>0.84326738632473186</v>
      </c>
      <c r="F29" s="41">
        <f>'Calc-Summary'!$F10</f>
        <v>0.69639505721598816</v>
      </c>
      <c r="G29" s="41">
        <f>'Calc-Summary'!$F10</f>
        <v>0.69639505721598816</v>
      </c>
      <c r="H29" s="41">
        <f>'Calc-Summary'!$F10</f>
        <v>0.69639505721598816</v>
      </c>
      <c r="I29" s="41">
        <f>'Calc-Summary'!$F10</f>
        <v>0.69639505721598816</v>
      </c>
    </row>
    <row r="30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7.25">
      <c r="A31" s="39" t="s">
        <v>956</v>
      </c>
      <c r="B31" s="15"/>
      <c r="C31" s="15"/>
      <c r="D31" s="15"/>
      <c r="E31" s="15"/>
      <c r="F31" s="15"/>
      <c r="G31" s="15"/>
      <c r="H31" s="15"/>
      <c r="I31" s="15"/>
    </row>
    <row r="32" spans="1:9" ht="17.25">
      <c r="A32" s="39"/>
      <c r="B32" s="15"/>
      <c r="C32" s="15"/>
      <c r="D32" s="15"/>
      <c r="E32" s="15"/>
      <c r="F32" s="15"/>
      <c r="G32" s="15"/>
      <c r="H32" s="15"/>
      <c r="I32" s="15"/>
    </row>
    <row r="33" spans="1:9" ht="30">
      <c r="A33" s="15"/>
      <c r="B33" s="6" t="s">
        <v>958</v>
      </c>
      <c r="C33" s="15"/>
      <c r="D33" s="15"/>
      <c r="E33" s="15"/>
      <c r="F33" s="15"/>
      <c r="G33" s="15"/>
      <c r="H33" s="15"/>
      <c r="I33" s="15"/>
    </row>
    <row r="34" spans="1:9">
      <c r="A34" s="14" t="s">
        <v>954</v>
      </c>
      <c r="B34" s="46">
        <v>1</v>
      </c>
      <c r="C34" s="15"/>
      <c r="D34" s="15"/>
      <c r="E34" s="15"/>
      <c r="F34" s="15"/>
      <c r="G34" s="15"/>
      <c r="H34" s="15"/>
      <c r="I34" s="15"/>
    </row>
    <row r="35" spans="1:9">
      <c r="A35" s="14" t="s">
        <v>955</v>
      </c>
      <c r="B35" s="46">
        <v>1</v>
      </c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7.25">
      <c r="A37" s="39" t="s">
        <v>957</v>
      </c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824" t="s">
        <v>951</v>
      </c>
      <c r="C39" s="1825"/>
      <c r="D39" s="1825"/>
      <c r="E39" s="1825"/>
      <c r="F39" s="1824" t="s">
        <v>970</v>
      </c>
      <c r="G39" s="1824"/>
      <c r="H39" s="1824"/>
      <c r="I39" s="1824"/>
    </row>
    <row r="40" spans="1:9">
      <c r="A40" s="15"/>
      <c r="B40" s="18" t="s">
        <v>37</v>
      </c>
      <c r="C40" s="18" t="s">
        <v>402</v>
      </c>
      <c r="D40" s="18" t="s">
        <v>36</v>
      </c>
      <c r="E40" s="18" t="s">
        <v>401</v>
      </c>
      <c r="F40" s="18" t="s">
        <v>37</v>
      </c>
      <c r="G40" s="18" t="s">
        <v>402</v>
      </c>
      <c r="H40" s="18" t="s">
        <v>36</v>
      </c>
      <c r="I40" s="18" t="s">
        <v>401</v>
      </c>
    </row>
    <row r="41" spans="1:9">
      <c r="A41" s="14" t="s">
        <v>946</v>
      </c>
      <c r="B41" s="44">
        <v>0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</row>
    <row r="42" spans="1:9">
      <c r="A42" s="14" t="s">
        <v>945</v>
      </c>
      <c r="B42" s="44">
        <v>0</v>
      </c>
      <c r="C42" s="44">
        <v>0</v>
      </c>
      <c r="D42" s="44">
        <v>0</v>
      </c>
      <c r="E42" s="38">
        <f>B35*$I$29</f>
        <v>0.69639505721598816</v>
      </c>
      <c r="F42" s="44">
        <v>0</v>
      </c>
      <c r="G42" s="44">
        <v>0</v>
      </c>
      <c r="H42" s="44">
        <v>0</v>
      </c>
      <c r="I42" s="44">
        <v>0</v>
      </c>
    </row>
    <row r="43" spans="1:9">
      <c r="A43" s="14" t="s">
        <v>944</v>
      </c>
      <c r="B43" s="44">
        <v>0</v>
      </c>
      <c r="C43" s="44">
        <v>0</v>
      </c>
      <c r="D43" s="44">
        <v>1</v>
      </c>
      <c r="E43" s="44">
        <v>1</v>
      </c>
      <c r="F43" s="44">
        <v>0</v>
      </c>
      <c r="G43" s="44">
        <v>0</v>
      </c>
      <c r="H43" s="44">
        <v>0</v>
      </c>
      <c r="I43" s="44">
        <v>0</v>
      </c>
    </row>
    <row r="44" spans="1:9">
      <c r="A44" s="14" t="s">
        <v>943</v>
      </c>
      <c r="B44" s="44">
        <v>0</v>
      </c>
      <c r="C44" s="38">
        <f>B34*$G$29</f>
        <v>0.69639505721598816</v>
      </c>
      <c r="D44" s="44">
        <v>1</v>
      </c>
      <c r="E44" s="44">
        <v>1</v>
      </c>
      <c r="F44" s="44">
        <v>0</v>
      </c>
      <c r="G44" s="44">
        <v>0</v>
      </c>
      <c r="H44" s="44">
        <v>0</v>
      </c>
      <c r="I44" s="44">
        <v>0</v>
      </c>
    </row>
    <row r="45" spans="1:9">
      <c r="A45" s="14" t="s">
        <v>942</v>
      </c>
      <c r="B45" s="44">
        <v>1</v>
      </c>
      <c r="C45" s="44">
        <v>1</v>
      </c>
      <c r="D45" s="44">
        <v>1</v>
      </c>
      <c r="E45" s="44">
        <v>1</v>
      </c>
      <c r="F45" s="44">
        <v>0</v>
      </c>
      <c r="G45" s="44">
        <v>0</v>
      </c>
      <c r="H45" s="44">
        <v>0</v>
      </c>
      <c r="I45" s="44">
        <v>0</v>
      </c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7.25">
      <c r="A47" s="39" t="s">
        <v>969</v>
      </c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60">
      <c r="A49" s="15"/>
      <c r="B49" s="6" t="s">
        <v>950</v>
      </c>
      <c r="C49" s="6" t="s">
        <v>949</v>
      </c>
      <c r="D49" s="6" t="s">
        <v>948</v>
      </c>
      <c r="E49" s="6" t="s">
        <v>947</v>
      </c>
      <c r="F49" s="15"/>
      <c r="G49" s="15"/>
      <c r="H49" s="15"/>
      <c r="I49" s="15"/>
    </row>
    <row r="50" spans="1:9">
      <c r="A50" s="14" t="s">
        <v>946</v>
      </c>
      <c r="B50" s="38">
        <f>(SUM(B$28:$I$28)-SUMPRODUCT($B41:$E41,$F$28:$I$28))/(1-SUMPRODUCT($F41:$I41,$F$28:$I$28))</f>
        <v>0.95651755547020467</v>
      </c>
      <c r="C50" s="38">
        <f>(SUM(D$28:$I$28)-SUMPRODUCT($B41:$E41,$F$28:$I$28))/(1-SUM($B$28:C$28)-SUMPRODUCT($F41:$I41,$F$28:$I$28))</f>
        <v>0.93422703321336054</v>
      </c>
      <c r="D50" s="38">
        <f>(SUM(E$28:$I$28)-SUMPRODUCT($B41:$E41,$F$28:$I$28))/(1-SUM($B$28:D$28)-SUMPRODUCT($F41:$I41,$F$28:$I$28))</f>
        <v>0.924973239801401</v>
      </c>
      <c r="E50" s="38">
        <f>(SUM(F$28:$I$28)-SUMPRODUCT($B41:$E41,$F$28:$I$28))/(1-SUM($B$28:E$28)-SUMPRODUCT($F41:$I41,$F$28:$I$28))</f>
        <v>0.89451236900889819</v>
      </c>
      <c r="F50" s="15"/>
      <c r="G50" s="15"/>
      <c r="H50" s="15"/>
      <c r="I50" s="15"/>
    </row>
    <row r="51" spans="1:9">
      <c r="A51" s="14" t="s">
        <v>945</v>
      </c>
      <c r="B51" s="38">
        <f>(SUM(B$28:$I$28)-SUMPRODUCT($B42:$E42,$F$28:$I$28))/(1-SUMPRODUCT($F42:$I42,$F$28:$I$28))</f>
        <v>0.79115689461986616</v>
      </c>
      <c r="C51" s="38">
        <f>(SUM(D$28:$I$28)-SUMPRODUCT($B42:$E42,$F$28:$I$28))/(1-SUM($B$28:C$28)-SUMPRODUCT($F42:$I42,$F$28:$I$28))</f>
        <v>0.68409709292278276</v>
      </c>
      <c r="D51" s="38">
        <f>(SUM(E$28:$I$28)-SUMPRODUCT($B42:$E42,$F$28:$I$28))/(1-SUM($B$28:D$28)-SUMPRODUCT($F42:$I42,$F$28:$I$28))</f>
        <v>0.63965177772493109</v>
      </c>
      <c r="E51" s="38">
        <f>(SUM(F$28:$I$28)-SUMPRODUCT($B42:$E42,$F$28:$I$28))/(1-SUM($B$28:E$28)-SUMPRODUCT($F42:$I42,$F$28:$I$28))</f>
        <v>0.49335036993424874</v>
      </c>
      <c r="F51" s="15"/>
      <c r="G51" s="15"/>
      <c r="H51" s="15"/>
      <c r="I51" s="15"/>
    </row>
    <row r="52" spans="1:9">
      <c r="A52" s="14" t="s">
        <v>944</v>
      </c>
      <c r="B52" s="38">
        <f>(SUM(B$28:$I$28)-SUMPRODUCT($B43:$E43,$F$28:$I$28))/(1-SUMPRODUCT($F43:$I43,$F$28:$I$28))</f>
        <v>0.68091116481870428</v>
      </c>
      <c r="C52" s="38">
        <f>(SUM(D$28:$I$28)-SUMPRODUCT($B43:$E43,$F$28:$I$28))/(1-SUM($B$28:C$28)-SUMPRODUCT($F43:$I43,$F$28:$I$28))</f>
        <v>0.51733579872710023</v>
      </c>
      <c r="D52" s="38">
        <f>(SUM(E$28:$I$28)-SUMPRODUCT($B43:$E43,$F$28:$I$28))/(1-SUM($B$28:D$28)-SUMPRODUCT($F43:$I43,$F$28:$I$28))</f>
        <v>0.4494283433675656</v>
      </c>
      <c r="E52" s="38">
        <f>(SUM(F$28:$I$28)-SUMPRODUCT($B43:$E43,$F$28:$I$28))/(1-SUM($B$28:E$28)-SUMPRODUCT($F43:$I43,$F$28:$I$28))</f>
        <v>0.22589620563028945</v>
      </c>
      <c r="F52" s="15"/>
      <c r="G52" s="15"/>
      <c r="H52" s="15"/>
      <c r="I52" s="15"/>
    </row>
    <row r="53" spans="1:9">
      <c r="A53" s="14" t="s">
        <v>943</v>
      </c>
      <c r="B53" s="38">
        <f>(SUM(B$28:$I$28)-SUMPRODUCT($B44:$E44,$F$28:$I$28))/(1-SUMPRODUCT($F44:$I44,$F$28:$I$28))</f>
        <v>0.66705447651068228</v>
      </c>
      <c r="C53" s="38">
        <f>(SUM(D$28:$I$28)-SUMPRODUCT($B44:$E44,$F$28:$I$28))/(1-SUM($B$28:C$28)-SUMPRODUCT($F44:$I44,$F$28:$I$28))</f>
        <v>0.4963757190969903</v>
      </c>
      <c r="D53" s="38">
        <f>(SUM(E$28:$I$28)-SUMPRODUCT($B44:$E44,$F$28:$I$28))/(1-SUM($B$28:D$28)-SUMPRODUCT($F44:$I44,$F$28:$I$28))</f>
        <v>0.42551932808393039</v>
      </c>
      <c r="E53" s="38">
        <f>(SUM(F$28:$I$28)-SUMPRODUCT($B44:$E44,$F$28:$I$28))/(1-SUM($B$28:E$28)-SUMPRODUCT($F44:$I44,$F$28:$I$28))</f>
        <v>0.19228012818106191</v>
      </c>
      <c r="F53" s="15"/>
      <c r="G53" s="15"/>
      <c r="H53" s="15"/>
      <c r="I53" s="15"/>
    </row>
    <row r="54" spans="1:9">
      <c r="A54" s="14" t="s">
        <v>942</v>
      </c>
      <c r="B54" s="38">
        <f>(SUM(B$28:$I$28)-SUMPRODUCT($B45:$E45,$F$28:$I$28))/(1-SUMPRODUCT($F45:$I45,$F$28:$I$28))</f>
        <v>0.58779580012121802</v>
      </c>
      <c r="C54" s="38">
        <f>(SUM(D$28:$I$28)-SUMPRODUCT($B45:$E45,$F$28:$I$28))/(1-SUM($B$28:C$28)-SUMPRODUCT($F45:$I45,$F$28:$I$28))</f>
        <v>0.37648645468028763</v>
      </c>
      <c r="D54" s="38">
        <f>(SUM(E$28:$I$28)-SUMPRODUCT($B45:$E45,$F$28:$I$28))/(1-SUM($B$28:D$28)-SUMPRODUCT($F45:$I45,$F$28:$I$28))</f>
        <v>0.28876248813543165</v>
      </c>
      <c r="E54" s="38">
        <f>(SUM(F$28:$I$28)-SUMPRODUCT($B45:$E45,$F$28:$I$28))/(1-SUM($B$28:E$28)-SUMPRODUCT($F45:$I45,$F$28:$I$28))</f>
        <v>0</v>
      </c>
      <c r="F54" s="15"/>
      <c r="G54" s="15"/>
      <c r="H54" s="15"/>
      <c r="I54" s="15"/>
    </row>
    <row r="56" spans="1:9" ht="17.25">
      <c r="A56" s="39" t="s">
        <v>968</v>
      </c>
      <c r="B56" s="15"/>
      <c r="C56" s="15"/>
      <c r="D56" s="15"/>
      <c r="E56" s="15"/>
    </row>
    <row r="57" spans="1:9">
      <c r="A57" s="15"/>
      <c r="B57" s="15"/>
      <c r="C57" s="15"/>
      <c r="D57" s="15"/>
      <c r="E57" s="15"/>
    </row>
    <row r="58" spans="1:9" ht="60">
      <c r="A58" s="15"/>
      <c r="B58" s="6" t="s">
        <v>950</v>
      </c>
      <c r="C58" s="6" t="s">
        <v>949</v>
      </c>
      <c r="D58" s="6" t="s">
        <v>948</v>
      </c>
      <c r="E58" s="6" t="s">
        <v>947</v>
      </c>
    </row>
    <row r="59" spans="1:9">
      <c r="A59" s="14" t="s">
        <v>946</v>
      </c>
      <c r="B59" s="38">
        <f>MIN(1,B50)</f>
        <v>0.95651755547020467</v>
      </c>
      <c r="C59" s="38">
        <f t="shared" ref="C59:E59" si="0">MIN(1,C50)</f>
        <v>0.93422703321336054</v>
      </c>
      <c r="D59" s="38">
        <f t="shared" si="0"/>
        <v>0.924973239801401</v>
      </c>
      <c r="E59" s="38">
        <f t="shared" si="0"/>
        <v>0.89451236900889819</v>
      </c>
    </row>
    <row r="60" spans="1:9">
      <c r="A60" s="14" t="s">
        <v>945</v>
      </c>
      <c r="B60" s="38">
        <f t="shared" ref="B60:E60" si="1">MIN(1,B51)</f>
        <v>0.79115689461986616</v>
      </c>
      <c r="C60" s="38">
        <f t="shared" si="1"/>
        <v>0.68409709292278276</v>
      </c>
      <c r="D60" s="38">
        <f t="shared" si="1"/>
        <v>0.63965177772493109</v>
      </c>
      <c r="E60" s="38">
        <f t="shared" si="1"/>
        <v>0.49335036993424874</v>
      </c>
    </row>
    <row r="61" spans="1:9">
      <c r="A61" s="14" t="s">
        <v>944</v>
      </c>
      <c r="B61" s="38">
        <f t="shared" ref="B61:E61" si="2">MIN(1,B52)</f>
        <v>0.68091116481870428</v>
      </c>
      <c r="C61" s="38">
        <f t="shared" si="2"/>
        <v>0.51733579872710023</v>
      </c>
      <c r="D61" s="38">
        <f t="shared" si="2"/>
        <v>0.4494283433675656</v>
      </c>
      <c r="E61" s="38">
        <f t="shared" si="2"/>
        <v>0.22589620563028945</v>
      </c>
    </row>
    <row r="62" spans="1:9">
      <c r="A62" s="14" t="s">
        <v>943</v>
      </c>
      <c r="B62" s="38">
        <f t="shared" ref="B62:E62" si="3">MIN(1,B53)</f>
        <v>0.66705447651068228</v>
      </c>
      <c r="C62" s="38">
        <f t="shared" si="3"/>
        <v>0.4963757190969903</v>
      </c>
      <c r="D62" s="38">
        <f t="shared" si="3"/>
        <v>0.42551932808393039</v>
      </c>
      <c r="E62" s="38">
        <f t="shared" si="3"/>
        <v>0.19228012818106191</v>
      </c>
    </row>
    <row r="63" spans="1:9">
      <c r="A63" s="14" t="s">
        <v>942</v>
      </c>
      <c r="B63" s="38">
        <f t="shared" ref="B63:E63" si="4">MIN(1,B54)</f>
        <v>0.58779580012121802</v>
      </c>
      <c r="C63" s="38">
        <f t="shared" si="4"/>
        <v>0.37648645468028763</v>
      </c>
      <c r="D63" s="38">
        <f t="shared" si="4"/>
        <v>0.28876248813543165</v>
      </c>
      <c r="E63" s="38">
        <f t="shared" si="4"/>
        <v>0</v>
      </c>
    </row>
  </sheetData>
  <sheetProtection sheet="1" objects="1" scenarios="1"/>
  <mergeCells count="2">
    <mergeCell ref="B39:E39"/>
    <mergeCell ref="F39:I39"/>
  </mergeCells>
  <pageMargins left="0.74803149606299213" right="0.74803149606299213" top="0.98425196850393704" bottom="0.98425196850393704" header="0.51181102362204722" footer="0.51181102362204722"/>
  <pageSetup paperSize="9" scale="61" orientation="portrait" horizontalDpi="4294967292" verticalDpi="4294967292" r:id="rId1"/>
  <headerFooter>
    <oddHeader>&amp;A&amp;RPage &amp;P</oddHeader>
    <oddFooter>&amp;L&amp;Z&amp;F&amp;R&amp;D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5FFFF"/>
    <pageSetUpPr fitToPage="1"/>
  </sheetPr>
  <dimension ref="A1:I33"/>
  <sheetViews>
    <sheetView workbookViewId="0">
      <selection activeCell="B35" sqref="B35"/>
    </sheetView>
  </sheetViews>
  <sheetFormatPr defaultColWidth="8.85546875" defaultRowHeight="15"/>
  <cols>
    <col min="1" max="1" width="5" style="2" customWidth="1"/>
    <col min="2" max="2" width="38.140625" style="2" bestFit="1" customWidth="1"/>
    <col min="3" max="8" width="9.42578125" style="2" customWidth="1"/>
    <col min="9" max="16384" width="8.85546875" style="2"/>
  </cols>
  <sheetData>
    <row r="1" spans="1:9"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</row>
    <row r="2" spans="1:9">
      <c r="C2" s="2" t="s">
        <v>45</v>
      </c>
      <c r="D2" s="2" t="s">
        <v>45</v>
      </c>
      <c r="E2" s="2" t="s">
        <v>45</v>
      </c>
      <c r="F2" s="2" t="s">
        <v>45</v>
      </c>
      <c r="G2" s="2" t="s">
        <v>45</v>
      </c>
      <c r="H2" s="2" t="s">
        <v>45</v>
      </c>
    </row>
    <row r="3" spans="1:9">
      <c r="A3" s="2">
        <v>1</v>
      </c>
      <c r="B3" s="2" t="s">
        <v>46</v>
      </c>
      <c r="C3" s="65"/>
      <c r="D3" s="66">
        <v>964.7</v>
      </c>
      <c r="E3" s="66">
        <v>1013.2</v>
      </c>
      <c r="F3" s="66">
        <v>1057.4000000000001</v>
      </c>
      <c r="G3" s="66">
        <v>1095.0999999999999</v>
      </c>
      <c r="H3" s="66">
        <v>1126.5</v>
      </c>
      <c r="I3" s="2" t="s">
        <v>47</v>
      </c>
    </row>
    <row r="4" spans="1:9">
      <c r="A4" s="2">
        <v>2</v>
      </c>
      <c r="B4" s="2" t="s">
        <v>48</v>
      </c>
      <c r="C4" s="65"/>
      <c r="D4" s="66">
        <v>120.8</v>
      </c>
      <c r="E4" s="66">
        <v>120.4</v>
      </c>
      <c r="F4" s="66">
        <v>120</v>
      </c>
      <c r="G4" s="66">
        <v>119.5</v>
      </c>
      <c r="H4" s="66">
        <v>119.3</v>
      </c>
      <c r="I4" s="2" t="s">
        <v>47</v>
      </c>
    </row>
    <row r="5" spans="1:9">
      <c r="A5" s="2">
        <v>3</v>
      </c>
      <c r="B5" s="2" t="s">
        <v>49</v>
      </c>
      <c r="C5" s="65"/>
      <c r="D5" s="66">
        <v>-72.3</v>
      </c>
      <c r="E5" s="66">
        <v>-76.2</v>
      </c>
      <c r="F5" s="66">
        <v>-82.2</v>
      </c>
      <c r="G5" s="66">
        <v>-88.2</v>
      </c>
      <c r="H5" s="66">
        <v>-94.2</v>
      </c>
      <c r="I5" s="2" t="s">
        <v>47</v>
      </c>
    </row>
    <row r="6" spans="1:9">
      <c r="A6" s="2">
        <v>4</v>
      </c>
      <c r="B6" s="2" t="s">
        <v>50</v>
      </c>
      <c r="C6" s="65"/>
      <c r="D6" s="66">
        <v>1013.2</v>
      </c>
      <c r="E6" s="66">
        <v>1057.4000000000001</v>
      </c>
      <c r="F6" s="66">
        <v>1095.0999999999999</v>
      </c>
      <c r="G6" s="66">
        <v>1126.5</v>
      </c>
      <c r="H6" s="66">
        <v>1151.5999999999999</v>
      </c>
      <c r="I6" s="2" t="s">
        <v>47</v>
      </c>
    </row>
    <row r="7" spans="1:9">
      <c r="A7" s="2">
        <v>5</v>
      </c>
      <c r="B7" s="2" t="s">
        <v>51</v>
      </c>
      <c r="C7" s="65"/>
      <c r="D7" s="66">
        <v>964.7</v>
      </c>
      <c r="E7" s="66"/>
      <c r="F7" s="66"/>
      <c r="G7" s="66"/>
      <c r="H7" s="66">
        <v>879.3</v>
      </c>
    </row>
    <row r="8" spans="1:9">
      <c r="A8" s="2">
        <v>6</v>
      </c>
      <c r="B8" s="2" t="s">
        <v>52</v>
      </c>
      <c r="C8" s="65"/>
      <c r="D8" s="66"/>
      <c r="E8" s="66"/>
      <c r="F8" s="66"/>
      <c r="G8" s="66"/>
      <c r="H8" s="66">
        <v>85.4</v>
      </c>
    </row>
    <row r="9" spans="1:9">
      <c r="A9" s="2" t="s">
        <v>53</v>
      </c>
      <c r="C9"/>
      <c r="D9" s="67"/>
      <c r="E9" s="67"/>
      <c r="F9" s="67"/>
      <c r="G9" s="67"/>
      <c r="H9" s="67"/>
    </row>
    <row r="10" spans="1:9">
      <c r="A10" s="2">
        <v>7</v>
      </c>
      <c r="B10" s="2" t="s">
        <v>54</v>
      </c>
      <c r="C10" s="65"/>
      <c r="D10" s="66">
        <v>72.5</v>
      </c>
      <c r="E10" s="66">
        <v>70</v>
      </c>
      <c r="F10" s="66">
        <v>68</v>
      </c>
      <c r="G10" s="66">
        <v>66.599999999999994</v>
      </c>
      <c r="H10" s="66">
        <v>66</v>
      </c>
      <c r="I10" s="2" t="s">
        <v>47</v>
      </c>
    </row>
    <row r="11" spans="1:9">
      <c r="A11" s="2">
        <v>8</v>
      </c>
      <c r="B11" s="2" t="s">
        <v>55</v>
      </c>
      <c r="C11" s="65"/>
      <c r="D11" s="66">
        <v>111.5</v>
      </c>
      <c r="E11" s="66">
        <v>111.1</v>
      </c>
      <c r="F11" s="66">
        <v>110.7</v>
      </c>
      <c r="G11" s="66">
        <v>110.2</v>
      </c>
      <c r="H11" s="66">
        <v>110</v>
      </c>
      <c r="I11" s="2" t="s">
        <v>47</v>
      </c>
    </row>
    <row r="12" spans="1:9">
      <c r="A12" s="2">
        <v>9</v>
      </c>
      <c r="B12" s="2" t="s">
        <v>56</v>
      </c>
      <c r="C12" s="65"/>
      <c r="D12" s="66">
        <v>16.2</v>
      </c>
      <c r="E12" s="66">
        <v>16.2</v>
      </c>
      <c r="F12" s="66">
        <v>16.2</v>
      </c>
      <c r="G12" s="66">
        <v>16.2</v>
      </c>
      <c r="H12" s="66">
        <v>16.2</v>
      </c>
      <c r="I12" s="2" t="s">
        <v>47</v>
      </c>
    </row>
    <row r="13" spans="1:9">
      <c r="A13" s="2">
        <v>10</v>
      </c>
      <c r="B13" s="2" t="s">
        <v>57</v>
      </c>
      <c r="C13" s="65"/>
      <c r="D13" s="66">
        <v>25.9</v>
      </c>
      <c r="E13" s="66">
        <v>26.7</v>
      </c>
      <c r="F13" s="66">
        <v>26.9</v>
      </c>
      <c r="G13" s="66">
        <v>27</v>
      </c>
      <c r="H13" s="66">
        <v>26.7</v>
      </c>
      <c r="I13" s="2" t="s">
        <v>47</v>
      </c>
    </row>
    <row r="14" spans="1:9">
      <c r="A14" s="2">
        <v>11</v>
      </c>
      <c r="B14" s="2" t="s">
        <v>58</v>
      </c>
      <c r="C14" s="65"/>
      <c r="D14" s="66">
        <v>1.2</v>
      </c>
      <c r="E14" s="66">
        <v>0.9</v>
      </c>
      <c r="F14" s="66">
        <v>1</v>
      </c>
      <c r="G14" s="66">
        <v>0.5</v>
      </c>
      <c r="H14" s="66">
        <v>0.6</v>
      </c>
      <c r="I14" s="2" t="s">
        <v>47</v>
      </c>
    </row>
    <row r="15" spans="1:9">
      <c r="A15" s="2">
        <v>12</v>
      </c>
      <c r="B15" s="2" t="s">
        <v>59</v>
      </c>
      <c r="C15" s="65"/>
      <c r="D15" s="66">
        <v>1.4</v>
      </c>
      <c r="E15" s="66">
        <v>1.5</v>
      </c>
      <c r="F15" s="66">
        <v>1.5</v>
      </c>
      <c r="G15" s="66">
        <v>1.6</v>
      </c>
      <c r="H15" s="66">
        <v>1.6</v>
      </c>
      <c r="I15" s="2" t="s">
        <v>47</v>
      </c>
    </row>
    <row r="16" spans="1:9">
      <c r="A16" s="2">
        <v>13</v>
      </c>
      <c r="B16" s="2" t="s">
        <v>60</v>
      </c>
      <c r="C16" s="65"/>
      <c r="D16" s="68" t="s">
        <v>984</v>
      </c>
      <c r="E16" s="68" t="s">
        <v>984</v>
      </c>
      <c r="F16" s="68" t="s">
        <v>984</v>
      </c>
      <c r="G16" s="68" t="s">
        <v>984</v>
      </c>
      <c r="H16" s="68" t="s">
        <v>984</v>
      </c>
      <c r="I16" s="2" t="s">
        <v>47</v>
      </c>
    </row>
    <row r="17" spans="1:9">
      <c r="A17" s="2">
        <v>14</v>
      </c>
      <c r="B17" s="2" t="s">
        <v>61</v>
      </c>
      <c r="C17" s="65"/>
      <c r="D17" s="68" t="s">
        <v>984</v>
      </c>
      <c r="E17" s="68" t="s">
        <v>984</v>
      </c>
      <c r="F17" s="68" t="s">
        <v>984</v>
      </c>
      <c r="G17" s="68" t="s">
        <v>984</v>
      </c>
      <c r="H17" s="68" t="s">
        <v>984</v>
      </c>
      <c r="I17" s="2" t="s">
        <v>47</v>
      </c>
    </row>
    <row r="18" spans="1:9">
      <c r="A18" s="2">
        <v>15</v>
      </c>
      <c r="B18" s="2" t="s">
        <v>62</v>
      </c>
      <c r="C18" s="65"/>
      <c r="D18" s="68">
        <v>0.9</v>
      </c>
      <c r="E18" s="68" t="s">
        <v>984</v>
      </c>
      <c r="F18" s="68" t="s">
        <v>984</v>
      </c>
      <c r="G18" s="68" t="s">
        <v>984</v>
      </c>
      <c r="H18" s="68" t="s">
        <v>984</v>
      </c>
      <c r="I18" s="2" t="s">
        <v>47</v>
      </c>
    </row>
    <row r="19" spans="1:9">
      <c r="A19" s="2">
        <v>16</v>
      </c>
      <c r="B19" s="2" t="s">
        <v>63</v>
      </c>
      <c r="C19" s="69"/>
      <c r="D19" s="70">
        <v>229.6</v>
      </c>
      <c r="E19" s="70">
        <v>226.4</v>
      </c>
      <c r="F19" s="70">
        <v>224.3</v>
      </c>
      <c r="G19" s="70">
        <v>222.1</v>
      </c>
      <c r="H19" s="70">
        <v>221.1</v>
      </c>
      <c r="I19" s="2" t="s">
        <v>47</v>
      </c>
    </row>
    <row r="20" spans="1:9">
      <c r="A20" s="2">
        <v>17</v>
      </c>
      <c r="B20" s="2" t="s">
        <v>64</v>
      </c>
      <c r="C20" s="65"/>
      <c r="D20" s="66">
        <v>223.5</v>
      </c>
      <c r="E20" s="66">
        <v>208.8</v>
      </c>
      <c r="F20" s="66">
        <v>196</v>
      </c>
      <c r="G20" s="66">
        <v>183.9</v>
      </c>
      <c r="H20" s="66">
        <v>173.5</v>
      </c>
      <c r="I20" s="2" t="s">
        <v>47</v>
      </c>
    </row>
    <row r="21" spans="1:9">
      <c r="A21" s="2">
        <v>18</v>
      </c>
      <c r="B21" s="2" t="s">
        <v>65</v>
      </c>
      <c r="C21" s="65"/>
      <c r="D21" s="66"/>
      <c r="E21" s="66"/>
      <c r="F21" s="66"/>
      <c r="G21" s="66"/>
      <c r="H21" s="66">
        <v>85.4</v>
      </c>
    </row>
    <row r="22" spans="1:9">
      <c r="A22" s="2">
        <v>19</v>
      </c>
      <c r="B22" s="2" t="s">
        <v>66</v>
      </c>
      <c r="C22" s="65"/>
      <c r="D22" s="66"/>
      <c r="E22" s="66"/>
      <c r="F22" s="66"/>
      <c r="G22" s="66"/>
      <c r="H22" s="70">
        <v>1071.0999999999999</v>
      </c>
    </row>
    <row r="23" spans="1:9">
      <c r="A23" s="2" t="s">
        <v>67</v>
      </c>
      <c r="C23"/>
      <c r="D23" s="67"/>
      <c r="E23" s="67"/>
      <c r="F23" s="67"/>
      <c r="G23" s="67"/>
      <c r="H23" s="67"/>
    </row>
    <row r="24" spans="1:9">
      <c r="A24" s="2">
        <v>20</v>
      </c>
      <c r="B24" s="2" t="s">
        <v>68</v>
      </c>
      <c r="C24" s="65"/>
      <c r="D24" s="71">
        <v>1</v>
      </c>
      <c r="E24" s="71">
        <v>1.0069999999999999</v>
      </c>
      <c r="F24" s="71">
        <v>1.0149999999999999</v>
      </c>
      <c r="G24" s="71">
        <v>1.022</v>
      </c>
      <c r="H24" s="71">
        <v>1.0289999999999999</v>
      </c>
      <c r="I24" s="2" t="s">
        <v>47</v>
      </c>
    </row>
    <row r="25" spans="1:9">
      <c r="A25" s="2">
        <v>21</v>
      </c>
      <c r="B25" s="2" t="s">
        <v>69</v>
      </c>
      <c r="C25" s="65"/>
      <c r="D25" s="71">
        <v>0.97299999999999998</v>
      </c>
      <c r="E25" s="71">
        <v>0.92900000000000005</v>
      </c>
      <c r="F25" s="71">
        <v>0.88700000000000001</v>
      </c>
      <c r="G25" s="71">
        <v>0.84599999999999997</v>
      </c>
      <c r="H25" s="71">
        <v>0.80700000000000005</v>
      </c>
      <c r="I25" s="2" t="s">
        <v>47</v>
      </c>
    </row>
    <row r="26" spans="1:9">
      <c r="A26" s="2">
        <v>22</v>
      </c>
      <c r="B26" s="2" t="s">
        <v>70</v>
      </c>
      <c r="C26" s="65">
        <v>246.1</v>
      </c>
      <c r="D26" s="66">
        <v>238.7</v>
      </c>
      <c r="E26" s="66">
        <v>240.5</v>
      </c>
      <c r="F26" s="66">
        <v>242.3</v>
      </c>
      <c r="G26" s="66">
        <v>244</v>
      </c>
      <c r="H26" s="66">
        <v>245.7</v>
      </c>
      <c r="I26" s="2" t="s">
        <v>47</v>
      </c>
    </row>
    <row r="27" spans="1:9">
      <c r="A27" s="2">
        <v>23</v>
      </c>
      <c r="B27" s="2" t="s">
        <v>71</v>
      </c>
      <c r="C27" s="65"/>
      <c r="D27" s="66">
        <v>2.4</v>
      </c>
      <c r="E27" s="66">
        <v>2.4</v>
      </c>
      <c r="F27" s="66">
        <v>2.4</v>
      </c>
      <c r="G27" s="66">
        <v>2.4</v>
      </c>
      <c r="H27" s="66">
        <v>2.4</v>
      </c>
      <c r="I27" s="2" t="s">
        <v>47</v>
      </c>
    </row>
    <row r="28" spans="1:9">
      <c r="A28" s="2">
        <v>24</v>
      </c>
      <c r="B28" s="2" t="s">
        <v>72</v>
      </c>
      <c r="C28" s="65"/>
      <c r="D28" s="66">
        <v>241.1</v>
      </c>
      <c r="E28" s="66">
        <v>242.9</v>
      </c>
      <c r="F28" s="66">
        <v>244.7</v>
      </c>
      <c r="G28" s="66">
        <v>246.4</v>
      </c>
      <c r="H28" s="66">
        <v>248.1</v>
      </c>
      <c r="I28" s="2" t="s">
        <v>47</v>
      </c>
    </row>
    <row r="29" spans="1:9">
      <c r="A29" s="2">
        <v>25</v>
      </c>
      <c r="B29" s="2" t="s">
        <v>73</v>
      </c>
      <c r="C29" s="65"/>
      <c r="D29" s="66">
        <v>234.7</v>
      </c>
      <c r="E29" s="66">
        <v>224</v>
      </c>
      <c r="F29" s="66">
        <v>213.8</v>
      </c>
      <c r="G29" s="66">
        <v>204</v>
      </c>
      <c r="H29" s="66">
        <v>194.6</v>
      </c>
      <c r="I29" s="2" t="s">
        <v>47</v>
      </c>
    </row>
    <row r="30" spans="1:9">
      <c r="A30" s="2">
        <v>26</v>
      </c>
      <c r="B30" s="2" t="s">
        <v>66</v>
      </c>
      <c r="C30" s="65"/>
      <c r="D30" s="66"/>
      <c r="E30" s="66"/>
      <c r="F30" s="66"/>
      <c r="G30" s="66"/>
      <c r="H30" s="70">
        <v>1071.0999999999999</v>
      </c>
    </row>
    <row r="32" spans="1:9">
      <c r="A32" s="2" t="s">
        <v>940</v>
      </c>
    </row>
    <row r="33" spans="1:1">
      <c r="A33" s="2" t="s">
        <v>941</v>
      </c>
    </row>
  </sheetData>
  <phoneticPr fontId="1" type="noConversion"/>
  <pageMargins left="0.75" right="0.75" top="1" bottom="1" header="0.5" footer="0.5"/>
  <pageSetup paperSize="9" scale="7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5FFFF"/>
    <pageSetUpPr fitToPage="1"/>
  </sheetPr>
  <dimension ref="A1:AE147"/>
  <sheetViews>
    <sheetView workbookViewId="0">
      <selection sqref="A1:XFD1048576"/>
    </sheetView>
  </sheetViews>
  <sheetFormatPr defaultColWidth="8.85546875" defaultRowHeight="12.75"/>
  <cols>
    <col min="1" max="4" width="8.85546875" customWidth="1"/>
    <col min="5" max="5" width="32" customWidth="1"/>
    <col min="6" max="6" width="10.85546875" customWidth="1"/>
    <col min="7" max="10" width="8.85546875" customWidth="1"/>
    <col min="11" max="11" width="11.140625" customWidth="1"/>
    <col min="12" max="15" width="8.85546875" customWidth="1"/>
    <col min="16" max="16" width="11" customWidth="1"/>
    <col min="17" max="20" width="8.85546875" customWidth="1"/>
    <col min="21" max="21" width="11.42578125" customWidth="1"/>
    <col min="22" max="25" width="8.85546875" customWidth="1"/>
    <col min="26" max="26" width="11" customWidth="1"/>
    <col min="27" max="30" width="8.85546875" customWidth="1"/>
    <col min="31" max="31" width="12.28515625" customWidth="1"/>
  </cols>
  <sheetData>
    <row r="1" spans="1:31">
      <c r="A1" s="72" t="s">
        <v>74</v>
      </c>
      <c r="B1" s="72"/>
      <c r="F1" t="s">
        <v>47</v>
      </c>
      <c r="G1" s="73" t="s">
        <v>985</v>
      </c>
      <c r="I1" t="s">
        <v>47</v>
      </c>
      <c r="K1" t="s">
        <v>47</v>
      </c>
      <c r="L1" t="s">
        <v>47</v>
      </c>
      <c r="N1" t="s">
        <v>47</v>
      </c>
      <c r="P1" t="s">
        <v>47</v>
      </c>
      <c r="Q1" t="s">
        <v>47</v>
      </c>
      <c r="S1" t="s">
        <v>47</v>
      </c>
      <c r="U1" t="s">
        <v>47</v>
      </c>
      <c r="V1" t="s">
        <v>47</v>
      </c>
      <c r="X1" t="s">
        <v>47</v>
      </c>
      <c r="Z1" t="s">
        <v>47</v>
      </c>
      <c r="AA1" t="s">
        <v>47</v>
      </c>
      <c r="AC1" t="s">
        <v>47</v>
      </c>
      <c r="AE1" t="s">
        <v>47</v>
      </c>
    </row>
    <row r="2" spans="1:31">
      <c r="A2" s="72"/>
      <c r="B2" s="72"/>
    </row>
    <row r="3" spans="1:31">
      <c r="A3" s="72" t="s">
        <v>75</v>
      </c>
      <c r="B3" s="72"/>
    </row>
    <row r="4" spans="1:31">
      <c r="A4" s="72"/>
      <c r="B4" s="72"/>
    </row>
    <row r="5" spans="1:31">
      <c r="A5" s="72"/>
      <c r="B5" s="72" t="s">
        <v>76</v>
      </c>
    </row>
    <row r="6" spans="1:31" ht="13.5" thickBot="1"/>
    <row r="7" spans="1:31" s="74" customFormat="1" ht="15" customHeight="1" thickBot="1">
      <c r="B7" s="1488" t="s">
        <v>77</v>
      </c>
      <c r="C7" s="1489"/>
      <c r="D7" s="1489"/>
      <c r="E7" s="1490"/>
      <c r="F7" s="1497" t="s">
        <v>78</v>
      </c>
      <c r="G7" s="1500" t="s">
        <v>79</v>
      </c>
      <c r="H7" s="1500"/>
      <c r="I7" s="1500"/>
      <c r="J7" s="1500"/>
      <c r="K7" s="1501"/>
      <c r="L7" s="1500" t="s">
        <v>80</v>
      </c>
      <c r="M7" s="1500"/>
      <c r="N7" s="1500"/>
      <c r="O7" s="1500"/>
      <c r="P7" s="1501"/>
      <c r="Q7" s="1502" t="s">
        <v>81</v>
      </c>
      <c r="R7" s="1500"/>
      <c r="S7" s="1500"/>
      <c r="T7" s="1500"/>
      <c r="U7" s="1501"/>
      <c r="V7" s="1502" t="s">
        <v>82</v>
      </c>
      <c r="W7" s="1500"/>
      <c r="X7" s="1500"/>
      <c r="Y7" s="1500"/>
      <c r="Z7" s="1501"/>
      <c r="AA7" s="1502" t="s">
        <v>44</v>
      </c>
      <c r="AB7" s="1500"/>
      <c r="AC7" s="1500"/>
      <c r="AD7" s="1500"/>
      <c r="AE7" s="1501"/>
    </row>
    <row r="8" spans="1:31" ht="38.25">
      <c r="B8" s="1491"/>
      <c r="C8" s="1492"/>
      <c r="D8" s="1492"/>
      <c r="E8" s="1493"/>
      <c r="F8" s="1498"/>
      <c r="G8" s="1492" t="s">
        <v>83</v>
      </c>
      <c r="H8" s="1492"/>
      <c r="I8" s="1491" t="s">
        <v>84</v>
      </c>
      <c r="J8" s="1492"/>
      <c r="K8" s="75" t="s">
        <v>85</v>
      </c>
      <c r="L8" s="1492" t="s">
        <v>83</v>
      </c>
      <c r="M8" s="1492"/>
      <c r="N8" s="1491" t="s">
        <v>84</v>
      </c>
      <c r="O8" s="1493"/>
      <c r="P8" s="76" t="s">
        <v>85</v>
      </c>
      <c r="Q8" s="1492" t="s">
        <v>83</v>
      </c>
      <c r="R8" s="1492"/>
      <c r="S8" s="1491" t="s">
        <v>84</v>
      </c>
      <c r="T8" s="1492"/>
      <c r="U8" s="75" t="s">
        <v>85</v>
      </c>
      <c r="V8" s="1492" t="s">
        <v>83</v>
      </c>
      <c r="W8" s="1492"/>
      <c r="X8" s="1491" t="s">
        <v>84</v>
      </c>
      <c r="Y8" s="1493"/>
      <c r="Z8" s="76" t="s">
        <v>85</v>
      </c>
      <c r="AA8" s="1492" t="s">
        <v>83</v>
      </c>
      <c r="AB8" s="1492"/>
      <c r="AC8" s="1491" t="s">
        <v>84</v>
      </c>
      <c r="AD8" s="1493"/>
      <c r="AE8" s="76" t="s">
        <v>86</v>
      </c>
    </row>
    <row r="9" spans="1:31" s="74" customFormat="1" ht="15.75" customHeight="1" thickBot="1">
      <c r="B9" s="1494"/>
      <c r="C9" s="1495"/>
      <c r="D9" s="1495"/>
      <c r="E9" s="1496"/>
      <c r="F9" s="1499"/>
      <c r="G9" s="77" t="s">
        <v>87</v>
      </c>
      <c r="H9" s="78" t="s">
        <v>88</v>
      </c>
      <c r="I9" s="79" t="s">
        <v>87</v>
      </c>
      <c r="J9" s="80" t="s">
        <v>88</v>
      </c>
      <c r="K9" s="81" t="s">
        <v>79</v>
      </c>
      <c r="L9" s="77" t="s">
        <v>87</v>
      </c>
      <c r="M9" s="78" t="s">
        <v>88</v>
      </c>
      <c r="N9" s="79" t="s">
        <v>87</v>
      </c>
      <c r="O9" s="82" t="s">
        <v>88</v>
      </c>
      <c r="P9" s="83" t="s">
        <v>80</v>
      </c>
      <c r="Q9" s="77" t="s">
        <v>87</v>
      </c>
      <c r="R9" s="78" t="s">
        <v>88</v>
      </c>
      <c r="S9" s="79" t="s">
        <v>87</v>
      </c>
      <c r="T9" s="80" t="s">
        <v>88</v>
      </c>
      <c r="U9" s="81" t="s">
        <v>81</v>
      </c>
      <c r="V9" s="77" t="s">
        <v>87</v>
      </c>
      <c r="W9" s="78" t="s">
        <v>88</v>
      </c>
      <c r="X9" s="79" t="s">
        <v>87</v>
      </c>
      <c r="Y9" s="82" t="s">
        <v>88</v>
      </c>
      <c r="Z9" s="83" t="s">
        <v>82</v>
      </c>
      <c r="AA9" s="77" t="s">
        <v>87</v>
      </c>
      <c r="AB9" s="78" t="s">
        <v>88</v>
      </c>
      <c r="AC9" s="79" t="s">
        <v>87</v>
      </c>
      <c r="AD9" s="82" t="s">
        <v>88</v>
      </c>
      <c r="AE9" s="83" t="s">
        <v>44</v>
      </c>
    </row>
    <row r="10" spans="1:31" s="74" customFormat="1" ht="15.75" customHeight="1">
      <c r="B10" s="84"/>
      <c r="C10" s="85" t="s">
        <v>89</v>
      </c>
      <c r="D10" s="85"/>
      <c r="E10" s="86"/>
      <c r="F10" s="87"/>
      <c r="G10" s="88"/>
      <c r="H10" s="89"/>
      <c r="I10" s="88"/>
      <c r="J10" s="90"/>
      <c r="K10" s="87"/>
      <c r="L10" s="88"/>
      <c r="M10" s="89"/>
      <c r="N10" s="88"/>
      <c r="O10" s="90"/>
      <c r="P10" s="87"/>
      <c r="Q10" s="88"/>
      <c r="R10" s="89"/>
      <c r="S10" s="88"/>
      <c r="T10" s="90"/>
      <c r="U10" s="87"/>
      <c r="V10" s="88"/>
      <c r="W10" s="89"/>
      <c r="X10" s="88"/>
      <c r="Y10" s="89"/>
      <c r="Z10" s="87"/>
      <c r="AA10" s="88"/>
      <c r="AB10" s="89"/>
      <c r="AC10" s="88"/>
      <c r="AD10" s="89"/>
      <c r="AE10" s="87"/>
    </row>
    <row r="11" spans="1:31" s="74" customFormat="1" ht="15.75" customHeight="1">
      <c r="B11" s="84"/>
      <c r="C11" s="86"/>
      <c r="D11" s="85" t="s">
        <v>90</v>
      </c>
      <c r="E11" s="86"/>
      <c r="F11" s="91"/>
      <c r="G11" s="92"/>
      <c r="H11" s="93"/>
      <c r="I11" s="92"/>
      <c r="J11" s="94"/>
      <c r="K11" s="91"/>
      <c r="L11" s="92"/>
      <c r="M11" s="93"/>
      <c r="N11" s="92"/>
      <c r="O11" s="94"/>
      <c r="P11" s="91"/>
      <c r="Q11" s="92"/>
      <c r="R11" s="93"/>
      <c r="S11" s="92"/>
      <c r="T11" s="94"/>
      <c r="U11" s="95"/>
      <c r="V11" s="92"/>
      <c r="W11" s="93"/>
      <c r="X11" s="92"/>
      <c r="Y11" s="93"/>
      <c r="Z11" s="91"/>
      <c r="AA11" s="92"/>
      <c r="AB11" s="93"/>
      <c r="AC11" s="92"/>
      <c r="AD11" s="93"/>
      <c r="AE11" s="91"/>
    </row>
    <row r="12" spans="1:31" s="74" customFormat="1" ht="15.75" customHeight="1">
      <c r="B12" s="96"/>
      <c r="C12" s="86"/>
      <c r="D12" s="86"/>
      <c r="E12" s="86" t="s">
        <v>91</v>
      </c>
      <c r="F12" s="97">
        <v>5988</v>
      </c>
      <c r="G12" s="98">
        <v>14</v>
      </c>
      <c r="H12" s="99">
        <v>4</v>
      </c>
      <c r="I12" s="98">
        <v>215</v>
      </c>
      <c r="J12" s="99">
        <v>2</v>
      </c>
      <c r="K12" s="97">
        <v>6187</v>
      </c>
      <c r="L12" s="98">
        <v>30</v>
      </c>
      <c r="M12" s="99">
        <v>6</v>
      </c>
      <c r="N12" s="98">
        <v>10</v>
      </c>
      <c r="O12" s="99">
        <v>3</v>
      </c>
      <c r="P12" s="97">
        <v>6164</v>
      </c>
      <c r="Q12" s="98">
        <v>51</v>
      </c>
      <c r="R12" s="99">
        <v>4</v>
      </c>
      <c r="S12" s="98">
        <v>9</v>
      </c>
      <c r="T12" s="99">
        <v>2</v>
      </c>
      <c r="U12" s="100">
        <v>6120</v>
      </c>
      <c r="V12" s="98">
        <v>47.7</v>
      </c>
      <c r="W12" s="99">
        <v>36.300000000000004</v>
      </c>
      <c r="X12" s="98">
        <v>8.4</v>
      </c>
      <c r="Y12" s="99">
        <v>14.4</v>
      </c>
      <c r="Z12" s="97">
        <v>6058.8</v>
      </c>
      <c r="AA12" s="98">
        <v>39.6</v>
      </c>
      <c r="AB12" s="99">
        <v>72.099999999999994</v>
      </c>
      <c r="AC12" s="98">
        <v>7.2</v>
      </c>
      <c r="AD12" s="99">
        <v>43.7</v>
      </c>
      <c r="AE12" s="97">
        <v>5998</v>
      </c>
    </row>
    <row r="13" spans="1:31" s="74" customFormat="1" ht="15.75" customHeight="1">
      <c r="B13" s="96"/>
      <c r="C13" s="86"/>
      <c r="D13" s="86"/>
      <c r="E13" s="86" t="s">
        <v>92</v>
      </c>
      <c r="F13" s="97">
        <v>236522</v>
      </c>
      <c r="G13" s="98">
        <v>0</v>
      </c>
      <c r="H13" s="99">
        <v>677</v>
      </c>
      <c r="I13" s="98">
        <v>56</v>
      </c>
      <c r="J13" s="101">
        <v>95</v>
      </c>
      <c r="K13" s="97">
        <v>235996</v>
      </c>
      <c r="L13" s="98">
        <v>0</v>
      </c>
      <c r="M13" s="99">
        <v>704</v>
      </c>
      <c r="N13" s="98">
        <v>23</v>
      </c>
      <c r="O13" s="101">
        <v>460</v>
      </c>
      <c r="P13" s="97">
        <v>235775</v>
      </c>
      <c r="Q13" s="98">
        <v>0</v>
      </c>
      <c r="R13" s="99">
        <v>827</v>
      </c>
      <c r="S13" s="98">
        <v>1017</v>
      </c>
      <c r="T13" s="101">
        <v>1434</v>
      </c>
      <c r="U13" s="100">
        <v>237399</v>
      </c>
      <c r="V13" s="98">
        <v>0</v>
      </c>
      <c r="W13" s="99">
        <v>2681</v>
      </c>
      <c r="X13" s="98">
        <v>945</v>
      </c>
      <c r="Y13" s="99">
        <v>820</v>
      </c>
      <c r="Z13" s="97">
        <v>236483</v>
      </c>
      <c r="AA13" s="98">
        <v>0</v>
      </c>
      <c r="AB13" s="99">
        <v>2454</v>
      </c>
      <c r="AC13" s="98">
        <v>814</v>
      </c>
      <c r="AD13" s="99">
        <v>1457</v>
      </c>
      <c r="AE13" s="97">
        <v>236300</v>
      </c>
    </row>
    <row r="14" spans="1:31" s="74" customFormat="1" ht="15.75" customHeight="1">
      <c r="B14" s="96"/>
      <c r="C14" s="86"/>
      <c r="D14" s="86"/>
      <c r="E14" s="86"/>
      <c r="F14" s="102"/>
      <c r="G14" s="103"/>
      <c r="H14" s="104"/>
      <c r="I14" s="103"/>
      <c r="J14" s="105"/>
      <c r="K14" s="102"/>
      <c r="L14" s="103"/>
      <c r="M14" s="104"/>
      <c r="N14" s="103"/>
      <c r="O14" s="105"/>
      <c r="P14" s="102"/>
      <c r="Q14" s="103"/>
      <c r="R14" s="104"/>
      <c r="S14" s="103"/>
      <c r="T14" s="105"/>
      <c r="U14" s="106"/>
      <c r="V14" s="103"/>
      <c r="W14" s="104"/>
      <c r="X14" s="103"/>
      <c r="Y14" s="104"/>
      <c r="Z14" s="102"/>
      <c r="AA14" s="103"/>
      <c r="AB14" s="104"/>
      <c r="AC14" s="103"/>
      <c r="AD14" s="104"/>
      <c r="AE14" s="102"/>
    </row>
    <row r="15" spans="1:31" s="74" customFormat="1" ht="15.75" customHeight="1">
      <c r="B15" s="96"/>
      <c r="C15" s="86"/>
      <c r="D15" s="85" t="s">
        <v>93</v>
      </c>
      <c r="E15" s="86"/>
      <c r="F15" s="102"/>
      <c r="G15" s="103"/>
      <c r="H15" s="104"/>
      <c r="I15" s="103"/>
      <c r="J15" s="105"/>
      <c r="K15" s="102"/>
      <c r="L15" s="103"/>
      <c r="M15" s="104"/>
      <c r="N15" s="103"/>
      <c r="O15" s="105"/>
      <c r="P15" s="102"/>
      <c r="Q15" s="103"/>
      <c r="R15" s="104"/>
      <c r="S15" s="103"/>
      <c r="T15" s="105"/>
      <c r="U15" s="106"/>
      <c r="V15" s="103"/>
      <c r="W15" s="104"/>
      <c r="X15" s="103"/>
      <c r="Y15" s="104"/>
      <c r="Z15" s="102"/>
      <c r="AA15" s="103"/>
      <c r="AB15" s="104"/>
      <c r="AC15" s="103"/>
      <c r="AD15" s="104"/>
      <c r="AE15" s="102"/>
    </row>
    <row r="16" spans="1:31" s="74" customFormat="1" ht="15.75" customHeight="1">
      <c r="B16" s="96"/>
      <c r="C16" s="86"/>
      <c r="D16" s="86"/>
      <c r="E16" s="86" t="s">
        <v>94</v>
      </c>
      <c r="F16" s="97">
        <v>199126</v>
      </c>
      <c r="G16" s="98">
        <v>134</v>
      </c>
      <c r="H16" s="99">
        <v>0</v>
      </c>
      <c r="I16" s="98">
        <v>61</v>
      </c>
      <c r="J16" s="101">
        <v>0</v>
      </c>
      <c r="K16" s="97">
        <v>199053</v>
      </c>
      <c r="L16" s="98">
        <v>781</v>
      </c>
      <c r="M16" s="99">
        <v>0</v>
      </c>
      <c r="N16" s="98">
        <v>54</v>
      </c>
      <c r="O16" s="101">
        <v>0</v>
      </c>
      <c r="P16" s="97">
        <v>198326</v>
      </c>
      <c r="Q16" s="98">
        <v>1955</v>
      </c>
      <c r="R16" s="99">
        <v>1092</v>
      </c>
      <c r="S16" s="98">
        <v>914</v>
      </c>
      <c r="T16" s="101">
        <v>1092</v>
      </c>
      <c r="U16" s="100">
        <v>197285</v>
      </c>
      <c r="V16" s="98">
        <v>1828</v>
      </c>
      <c r="W16" s="99">
        <v>616</v>
      </c>
      <c r="X16" s="98">
        <v>852</v>
      </c>
      <c r="Y16" s="99">
        <v>176</v>
      </c>
      <c r="Z16" s="97">
        <v>195869</v>
      </c>
      <c r="AA16" s="98">
        <v>1517</v>
      </c>
      <c r="AB16" s="99">
        <v>1167</v>
      </c>
      <c r="AC16" s="98">
        <v>719</v>
      </c>
      <c r="AD16" s="99">
        <v>593</v>
      </c>
      <c r="AE16" s="97">
        <v>194497</v>
      </c>
    </row>
    <row r="17" spans="2:31" s="74" customFormat="1" ht="15.75" customHeight="1">
      <c r="B17" s="96"/>
      <c r="C17" s="86"/>
      <c r="D17" s="86"/>
      <c r="E17" s="86"/>
      <c r="F17" s="102"/>
      <c r="G17" s="103"/>
      <c r="H17" s="104"/>
      <c r="I17" s="103"/>
      <c r="J17" s="105"/>
      <c r="K17" s="102"/>
      <c r="L17" s="103"/>
      <c r="M17" s="104"/>
      <c r="N17" s="103"/>
      <c r="O17" s="105"/>
      <c r="P17" s="102"/>
      <c r="Q17" s="103"/>
      <c r="R17" s="104"/>
      <c r="S17" s="103"/>
      <c r="T17" s="105"/>
      <c r="U17" s="106"/>
      <c r="V17" s="103"/>
      <c r="W17" s="104"/>
      <c r="X17" s="103"/>
      <c r="Y17" s="104"/>
      <c r="Z17" s="102"/>
      <c r="AA17" s="103"/>
      <c r="AB17" s="104"/>
      <c r="AC17" s="103"/>
      <c r="AD17" s="104"/>
      <c r="AE17" s="102"/>
    </row>
    <row r="18" spans="2:31" s="74" customFormat="1" ht="15.75" customHeight="1">
      <c r="B18" s="96"/>
      <c r="C18" s="86"/>
      <c r="D18" s="85" t="s">
        <v>95</v>
      </c>
      <c r="E18" s="86"/>
      <c r="F18" s="102"/>
      <c r="G18" s="103"/>
      <c r="H18" s="104"/>
      <c r="I18" s="103"/>
      <c r="J18" s="105"/>
      <c r="K18" s="102"/>
      <c r="L18" s="103"/>
      <c r="M18" s="104"/>
      <c r="N18" s="103"/>
      <c r="O18" s="105"/>
      <c r="P18" s="102"/>
      <c r="Q18" s="103"/>
      <c r="R18" s="104"/>
      <c r="S18" s="103"/>
      <c r="T18" s="105"/>
      <c r="U18" s="106"/>
      <c r="V18" s="103"/>
      <c r="W18" s="104"/>
      <c r="X18" s="103"/>
      <c r="Y18" s="104"/>
      <c r="Z18" s="102"/>
      <c r="AA18" s="103"/>
      <c r="AB18" s="104"/>
      <c r="AC18" s="103"/>
      <c r="AD18" s="104"/>
      <c r="AE18" s="102"/>
    </row>
    <row r="19" spans="2:31" s="74" customFormat="1" ht="15.75" customHeight="1">
      <c r="B19" s="96"/>
      <c r="C19" s="86"/>
      <c r="D19" s="85"/>
      <c r="E19" s="86" t="s">
        <v>96</v>
      </c>
      <c r="F19" s="97">
        <v>4061</v>
      </c>
      <c r="G19" s="98">
        <v>0</v>
      </c>
      <c r="H19" s="99">
        <v>6</v>
      </c>
      <c r="I19" s="98">
        <v>0</v>
      </c>
      <c r="J19" s="101">
        <v>0</v>
      </c>
      <c r="K19" s="97">
        <v>4055</v>
      </c>
      <c r="L19" s="98">
        <v>0</v>
      </c>
      <c r="M19" s="99">
        <v>24</v>
      </c>
      <c r="N19" s="98">
        <v>0</v>
      </c>
      <c r="O19" s="101">
        <v>0</v>
      </c>
      <c r="P19" s="97">
        <v>4031</v>
      </c>
      <c r="Q19" s="98">
        <v>0</v>
      </c>
      <c r="R19" s="99">
        <v>37</v>
      </c>
      <c r="S19" s="98">
        <v>0</v>
      </c>
      <c r="T19" s="101">
        <v>0</v>
      </c>
      <c r="U19" s="100">
        <v>3994</v>
      </c>
      <c r="V19" s="98">
        <v>0</v>
      </c>
      <c r="W19" s="99">
        <v>43</v>
      </c>
      <c r="X19" s="98">
        <v>0</v>
      </c>
      <c r="Y19" s="99">
        <v>0</v>
      </c>
      <c r="Z19" s="97">
        <v>3951</v>
      </c>
      <c r="AA19" s="98">
        <v>0</v>
      </c>
      <c r="AB19" s="99">
        <v>48</v>
      </c>
      <c r="AC19" s="98">
        <v>0</v>
      </c>
      <c r="AD19" s="99">
        <v>0</v>
      </c>
      <c r="AE19" s="97">
        <v>3903</v>
      </c>
    </row>
    <row r="20" spans="2:31" s="74" customFormat="1" ht="15.75" customHeight="1">
      <c r="B20" s="96"/>
      <c r="C20" s="86"/>
      <c r="D20" s="85"/>
      <c r="E20" s="86" t="s">
        <v>97</v>
      </c>
      <c r="F20" s="97">
        <v>3759.5</v>
      </c>
      <c r="G20" s="98">
        <v>0</v>
      </c>
      <c r="H20" s="99">
        <v>0</v>
      </c>
      <c r="I20" s="98">
        <v>648</v>
      </c>
      <c r="J20" s="101">
        <v>24</v>
      </c>
      <c r="K20" s="97">
        <v>4431.5</v>
      </c>
      <c r="L20" s="98">
        <v>0</v>
      </c>
      <c r="M20" s="99">
        <v>0</v>
      </c>
      <c r="N20" s="98">
        <v>50</v>
      </c>
      <c r="O20" s="101">
        <v>286</v>
      </c>
      <c r="P20" s="97">
        <v>4767.5</v>
      </c>
      <c r="Q20" s="98">
        <v>0</v>
      </c>
      <c r="R20" s="99">
        <v>0</v>
      </c>
      <c r="S20" s="98">
        <v>301.39999999999998</v>
      </c>
      <c r="T20" s="101">
        <v>56</v>
      </c>
      <c r="U20" s="100">
        <v>5124.8999999999996</v>
      </c>
      <c r="V20" s="98">
        <v>0</v>
      </c>
      <c r="W20" s="99">
        <v>1.3</v>
      </c>
      <c r="X20" s="98">
        <v>281.89999999999998</v>
      </c>
      <c r="Y20" s="99">
        <v>73</v>
      </c>
      <c r="Z20" s="97">
        <v>5478.4999999999991</v>
      </c>
      <c r="AA20" s="98">
        <v>0</v>
      </c>
      <c r="AB20" s="99">
        <v>0.6</v>
      </c>
      <c r="AC20" s="98">
        <v>233.7</v>
      </c>
      <c r="AD20" s="99">
        <v>71.099999999999994</v>
      </c>
      <c r="AE20" s="97">
        <v>5782.6999999999989</v>
      </c>
    </row>
    <row r="21" spans="2:31" s="74" customFormat="1" ht="15.75" customHeight="1">
      <c r="B21" s="96"/>
      <c r="C21" s="86"/>
      <c r="D21" s="85"/>
      <c r="E21" s="86" t="s">
        <v>98</v>
      </c>
      <c r="F21" s="97">
        <v>16295</v>
      </c>
      <c r="G21" s="98">
        <v>0</v>
      </c>
      <c r="H21" s="99">
        <v>0</v>
      </c>
      <c r="I21" s="98">
        <v>0</v>
      </c>
      <c r="J21" s="101">
        <v>0</v>
      </c>
      <c r="K21" s="97">
        <v>16295</v>
      </c>
      <c r="L21" s="98">
        <v>0</v>
      </c>
      <c r="M21" s="99">
        <v>30</v>
      </c>
      <c r="N21" s="98">
        <v>0</v>
      </c>
      <c r="O21" s="101">
        <v>0</v>
      </c>
      <c r="P21" s="97">
        <v>16265</v>
      </c>
      <c r="Q21" s="98">
        <v>0</v>
      </c>
      <c r="R21" s="99">
        <v>44</v>
      </c>
      <c r="S21" s="98">
        <v>0</v>
      </c>
      <c r="T21" s="101">
        <v>0</v>
      </c>
      <c r="U21" s="100">
        <v>16221</v>
      </c>
      <c r="V21" s="98">
        <v>0</v>
      </c>
      <c r="W21" s="99">
        <v>3.9</v>
      </c>
      <c r="X21" s="98">
        <v>0</v>
      </c>
      <c r="Y21" s="99">
        <v>0</v>
      </c>
      <c r="Z21" s="97">
        <v>16217.1</v>
      </c>
      <c r="AA21" s="98">
        <v>0</v>
      </c>
      <c r="AB21" s="99">
        <v>1.5999999999999999</v>
      </c>
      <c r="AC21" s="98">
        <v>0</v>
      </c>
      <c r="AD21" s="99">
        <v>0</v>
      </c>
      <c r="AE21" s="97">
        <v>16215.5</v>
      </c>
    </row>
    <row r="22" spans="2:31" s="74" customFormat="1" ht="15.75" customHeight="1">
      <c r="B22" s="96"/>
      <c r="C22" s="86"/>
      <c r="D22" s="85"/>
      <c r="E22" s="86" t="s">
        <v>99</v>
      </c>
      <c r="F22" s="97">
        <v>2131108</v>
      </c>
      <c r="G22" s="98">
        <v>55</v>
      </c>
      <c r="H22" s="99">
        <v>680</v>
      </c>
      <c r="I22" s="98">
        <v>27797</v>
      </c>
      <c r="J22" s="101">
        <v>680</v>
      </c>
      <c r="K22" s="97">
        <v>2158850</v>
      </c>
      <c r="L22" s="98">
        <v>0</v>
      </c>
      <c r="M22" s="99">
        <v>1068</v>
      </c>
      <c r="N22" s="98">
        <v>23048</v>
      </c>
      <c r="O22" s="101">
        <v>1486</v>
      </c>
      <c r="P22" s="97">
        <v>2182316</v>
      </c>
      <c r="Q22" s="98">
        <v>0</v>
      </c>
      <c r="R22" s="99">
        <v>10699</v>
      </c>
      <c r="S22" s="98">
        <v>18463</v>
      </c>
      <c r="T22" s="101">
        <v>1653</v>
      </c>
      <c r="U22" s="100">
        <v>2191733</v>
      </c>
      <c r="V22" s="98">
        <v>0</v>
      </c>
      <c r="W22" s="99">
        <v>107</v>
      </c>
      <c r="X22" s="98">
        <v>17278</v>
      </c>
      <c r="Y22" s="99">
        <v>1811</v>
      </c>
      <c r="Z22" s="97">
        <v>2210715</v>
      </c>
      <c r="AA22" s="98">
        <v>0</v>
      </c>
      <c r="AB22" s="99">
        <v>40</v>
      </c>
      <c r="AC22" s="98">
        <v>14289</v>
      </c>
      <c r="AD22" s="99">
        <v>1032</v>
      </c>
      <c r="AE22" s="97">
        <v>2225996</v>
      </c>
    </row>
    <row r="23" spans="2:31" s="74" customFormat="1" ht="15.75" customHeight="1">
      <c r="B23" s="96"/>
      <c r="C23" s="86"/>
      <c r="D23" s="86"/>
      <c r="E23" s="86"/>
      <c r="F23" s="102"/>
      <c r="G23" s="103"/>
      <c r="H23" s="104"/>
      <c r="I23" s="103"/>
      <c r="J23" s="105"/>
      <c r="K23" s="102"/>
      <c r="L23" s="103"/>
      <c r="M23" s="104"/>
      <c r="N23" s="103"/>
      <c r="O23" s="105"/>
      <c r="P23" s="102"/>
      <c r="Q23" s="103"/>
      <c r="R23" s="104"/>
      <c r="S23" s="103"/>
      <c r="T23" s="105"/>
      <c r="U23" s="106"/>
      <c r="V23" s="103"/>
      <c r="W23" s="104"/>
      <c r="X23" s="103"/>
      <c r="Y23" s="104"/>
      <c r="Z23" s="102"/>
      <c r="AA23" s="103"/>
      <c r="AB23" s="104"/>
      <c r="AC23" s="103"/>
      <c r="AD23" s="104"/>
      <c r="AE23" s="102"/>
    </row>
    <row r="24" spans="2:31" s="74" customFormat="1" ht="15.75" customHeight="1">
      <c r="B24" s="96"/>
      <c r="C24" s="86"/>
      <c r="D24" s="85" t="s">
        <v>100</v>
      </c>
      <c r="E24" s="86"/>
      <c r="F24" s="102"/>
      <c r="G24" s="103"/>
      <c r="H24" s="104"/>
      <c r="I24" s="103"/>
      <c r="J24" s="105"/>
      <c r="K24" s="102"/>
      <c r="L24" s="103"/>
      <c r="M24" s="104"/>
      <c r="N24" s="103"/>
      <c r="O24" s="105"/>
      <c r="P24" s="102"/>
      <c r="Q24" s="103"/>
      <c r="R24" s="104"/>
      <c r="S24" s="103"/>
      <c r="T24" s="105"/>
      <c r="U24" s="106"/>
      <c r="V24" s="103"/>
      <c r="W24" s="104"/>
      <c r="X24" s="103"/>
      <c r="Y24" s="104"/>
      <c r="Z24" s="102"/>
      <c r="AA24" s="103"/>
      <c r="AB24" s="104"/>
      <c r="AC24" s="103"/>
      <c r="AD24" s="104"/>
      <c r="AE24" s="102"/>
    </row>
    <row r="25" spans="2:31" s="74" customFormat="1" ht="15.75" customHeight="1">
      <c r="B25" s="96"/>
      <c r="C25" s="86"/>
      <c r="D25" s="85"/>
      <c r="E25" s="86" t="s">
        <v>101</v>
      </c>
      <c r="F25" s="97">
        <v>4508</v>
      </c>
      <c r="G25" s="98">
        <v>43</v>
      </c>
      <c r="H25" s="99">
        <v>13</v>
      </c>
      <c r="I25" s="98">
        <v>230</v>
      </c>
      <c r="J25" s="101">
        <v>13</v>
      </c>
      <c r="K25" s="97">
        <v>4695</v>
      </c>
      <c r="L25" s="98">
        <v>0</v>
      </c>
      <c r="M25" s="99">
        <v>73</v>
      </c>
      <c r="N25" s="98">
        <v>417</v>
      </c>
      <c r="O25" s="101">
        <v>81</v>
      </c>
      <c r="P25" s="97">
        <v>5120</v>
      </c>
      <c r="Q25" s="98">
        <v>0</v>
      </c>
      <c r="R25" s="99">
        <v>65</v>
      </c>
      <c r="S25" s="98">
        <v>134</v>
      </c>
      <c r="T25" s="101">
        <v>87</v>
      </c>
      <c r="U25" s="100">
        <v>5276</v>
      </c>
      <c r="V25" s="98">
        <v>0</v>
      </c>
      <c r="W25" s="99">
        <v>253</v>
      </c>
      <c r="X25" s="98">
        <v>125</v>
      </c>
      <c r="Y25" s="99">
        <v>138</v>
      </c>
      <c r="Z25" s="97">
        <v>5286</v>
      </c>
      <c r="AA25" s="98">
        <v>0</v>
      </c>
      <c r="AB25" s="99">
        <v>278</v>
      </c>
      <c r="AC25" s="98">
        <v>105</v>
      </c>
      <c r="AD25" s="99">
        <v>125</v>
      </c>
      <c r="AE25" s="97">
        <v>5238</v>
      </c>
    </row>
    <row r="26" spans="2:31" s="74" customFormat="1" ht="15.75" customHeight="1">
      <c r="B26" s="96"/>
      <c r="C26" s="86"/>
      <c r="D26" s="85"/>
      <c r="E26" s="86" t="s">
        <v>102</v>
      </c>
      <c r="F26" s="97">
        <v>10805</v>
      </c>
      <c r="G26" s="98">
        <v>0</v>
      </c>
      <c r="H26" s="99">
        <v>0</v>
      </c>
      <c r="I26" s="98">
        <v>0</v>
      </c>
      <c r="J26" s="101">
        <v>0</v>
      </c>
      <c r="K26" s="97">
        <v>10805</v>
      </c>
      <c r="L26" s="98">
        <v>111</v>
      </c>
      <c r="M26" s="99">
        <v>0</v>
      </c>
      <c r="N26" s="98">
        <v>0</v>
      </c>
      <c r="O26" s="101">
        <v>0</v>
      </c>
      <c r="P26" s="97">
        <v>10694</v>
      </c>
      <c r="Q26" s="98">
        <v>201</v>
      </c>
      <c r="R26" s="99">
        <v>54</v>
      </c>
      <c r="S26" s="98">
        <v>100</v>
      </c>
      <c r="T26" s="101">
        <v>54</v>
      </c>
      <c r="U26" s="100">
        <v>10593</v>
      </c>
      <c r="V26" s="98">
        <v>188</v>
      </c>
      <c r="W26" s="99">
        <v>0</v>
      </c>
      <c r="X26" s="98">
        <v>94</v>
      </c>
      <c r="Y26" s="99">
        <v>0</v>
      </c>
      <c r="Z26" s="97">
        <v>10499</v>
      </c>
      <c r="AA26" s="98">
        <v>156</v>
      </c>
      <c r="AB26" s="99">
        <v>0</v>
      </c>
      <c r="AC26" s="98">
        <v>77</v>
      </c>
      <c r="AD26" s="99">
        <v>0</v>
      </c>
      <c r="AE26" s="97">
        <v>10420</v>
      </c>
    </row>
    <row r="27" spans="2:31" s="74" customFormat="1" ht="15.75" customHeight="1">
      <c r="B27" s="96"/>
      <c r="C27" s="86"/>
      <c r="D27" s="85"/>
      <c r="E27" s="86" t="s">
        <v>103</v>
      </c>
      <c r="F27" s="97">
        <v>0</v>
      </c>
      <c r="G27" s="98">
        <v>0</v>
      </c>
      <c r="H27" s="99">
        <v>0</v>
      </c>
      <c r="I27" s="98">
        <v>0</v>
      </c>
      <c r="J27" s="101">
        <v>0</v>
      </c>
      <c r="K27" s="97">
        <v>0</v>
      </c>
      <c r="L27" s="98">
        <v>0</v>
      </c>
      <c r="M27" s="99">
        <v>0</v>
      </c>
      <c r="N27" s="98">
        <v>0</v>
      </c>
      <c r="O27" s="101">
        <v>0</v>
      </c>
      <c r="P27" s="97">
        <v>0</v>
      </c>
      <c r="Q27" s="98">
        <v>0</v>
      </c>
      <c r="R27" s="99">
        <v>0</v>
      </c>
      <c r="S27" s="98">
        <v>0</v>
      </c>
      <c r="T27" s="101">
        <v>0</v>
      </c>
      <c r="U27" s="100">
        <v>0</v>
      </c>
      <c r="V27" s="98">
        <v>0</v>
      </c>
      <c r="W27" s="99">
        <v>0</v>
      </c>
      <c r="X27" s="98">
        <v>0</v>
      </c>
      <c r="Y27" s="99">
        <v>0</v>
      </c>
      <c r="Z27" s="97">
        <v>0</v>
      </c>
      <c r="AA27" s="98">
        <v>0</v>
      </c>
      <c r="AB27" s="99">
        <v>0</v>
      </c>
      <c r="AC27" s="98">
        <v>0</v>
      </c>
      <c r="AD27" s="99">
        <v>0</v>
      </c>
      <c r="AE27" s="97">
        <v>0</v>
      </c>
    </row>
    <row r="28" spans="2:31" s="74" customFormat="1" ht="15.75" customHeight="1">
      <c r="B28" s="96"/>
      <c r="C28" s="86"/>
      <c r="D28" s="85"/>
      <c r="E28" s="86" t="s">
        <v>104</v>
      </c>
      <c r="F28" s="97">
        <v>20522</v>
      </c>
      <c r="G28" s="98">
        <v>0</v>
      </c>
      <c r="H28" s="99">
        <v>275</v>
      </c>
      <c r="I28" s="98">
        <v>341</v>
      </c>
      <c r="J28" s="101">
        <v>281</v>
      </c>
      <c r="K28" s="97">
        <v>20869</v>
      </c>
      <c r="L28" s="98">
        <v>0</v>
      </c>
      <c r="M28" s="99">
        <v>576</v>
      </c>
      <c r="N28" s="98">
        <v>124</v>
      </c>
      <c r="O28" s="101">
        <v>465</v>
      </c>
      <c r="P28" s="97">
        <v>20882</v>
      </c>
      <c r="Q28" s="98">
        <v>0</v>
      </c>
      <c r="R28" s="99">
        <v>713</v>
      </c>
      <c r="S28" s="98">
        <v>155</v>
      </c>
      <c r="T28" s="101">
        <v>582</v>
      </c>
      <c r="U28" s="100">
        <v>20906</v>
      </c>
      <c r="V28" s="98">
        <v>0</v>
      </c>
      <c r="W28" s="99">
        <v>295</v>
      </c>
      <c r="X28" s="98">
        <v>145</v>
      </c>
      <c r="Y28" s="99">
        <v>398.7</v>
      </c>
      <c r="Z28" s="97">
        <v>21154.7</v>
      </c>
      <c r="AA28" s="98">
        <v>0</v>
      </c>
      <c r="AB28" s="99">
        <v>296</v>
      </c>
      <c r="AC28" s="98">
        <v>121</v>
      </c>
      <c r="AD28" s="99">
        <v>418.5</v>
      </c>
      <c r="AE28" s="97">
        <v>21398.2</v>
      </c>
    </row>
    <row r="29" spans="2:31" s="74" customFormat="1" ht="15.75" customHeight="1">
      <c r="B29" s="96"/>
      <c r="C29" s="86"/>
      <c r="D29" s="85"/>
      <c r="E29" s="86" t="s">
        <v>105</v>
      </c>
      <c r="F29" s="97">
        <v>34104</v>
      </c>
      <c r="G29" s="98">
        <v>0</v>
      </c>
      <c r="H29" s="99">
        <v>0</v>
      </c>
      <c r="I29" s="98">
        <v>31</v>
      </c>
      <c r="J29" s="101">
        <v>0</v>
      </c>
      <c r="K29" s="97">
        <v>34135</v>
      </c>
      <c r="L29" s="98">
        <v>0</v>
      </c>
      <c r="M29" s="99">
        <v>63</v>
      </c>
      <c r="N29" s="98">
        <v>429</v>
      </c>
      <c r="O29" s="101">
        <v>0</v>
      </c>
      <c r="P29" s="97">
        <v>34501</v>
      </c>
      <c r="Q29" s="98">
        <v>590</v>
      </c>
      <c r="R29" s="99">
        <v>117</v>
      </c>
      <c r="S29" s="98">
        <v>444</v>
      </c>
      <c r="T29" s="101">
        <v>117</v>
      </c>
      <c r="U29" s="100">
        <v>34355</v>
      </c>
      <c r="V29" s="98">
        <v>552</v>
      </c>
      <c r="W29" s="99">
        <v>0</v>
      </c>
      <c r="X29" s="98">
        <v>415</v>
      </c>
      <c r="Y29" s="99">
        <v>0</v>
      </c>
      <c r="Z29" s="97">
        <v>34218</v>
      </c>
      <c r="AA29" s="98">
        <v>458</v>
      </c>
      <c r="AB29" s="99">
        <v>0</v>
      </c>
      <c r="AC29" s="98">
        <v>344</v>
      </c>
      <c r="AD29" s="99">
        <v>0</v>
      </c>
      <c r="AE29" s="97">
        <v>34104</v>
      </c>
    </row>
    <row r="30" spans="2:31" s="74" customFormat="1" ht="15.75" customHeight="1">
      <c r="B30" s="96"/>
      <c r="C30" s="86"/>
      <c r="D30" s="85"/>
      <c r="E30" s="86" t="s">
        <v>106</v>
      </c>
      <c r="F30" s="97">
        <v>0</v>
      </c>
      <c r="G30" s="98">
        <v>0</v>
      </c>
      <c r="H30" s="99">
        <v>0</v>
      </c>
      <c r="I30" s="98">
        <v>0</v>
      </c>
      <c r="J30" s="101">
        <v>0</v>
      </c>
      <c r="K30" s="97">
        <v>0</v>
      </c>
      <c r="L30" s="98">
        <v>0</v>
      </c>
      <c r="M30" s="99">
        <v>0</v>
      </c>
      <c r="N30" s="98">
        <v>0</v>
      </c>
      <c r="O30" s="101">
        <v>0</v>
      </c>
      <c r="P30" s="97">
        <v>0</v>
      </c>
      <c r="Q30" s="98">
        <v>0</v>
      </c>
      <c r="R30" s="99">
        <v>0</v>
      </c>
      <c r="S30" s="98">
        <v>0</v>
      </c>
      <c r="T30" s="101">
        <v>0</v>
      </c>
      <c r="U30" s="100">
        <v>0</v>
      </c>
      <c r="V30" s="98">
        <v>0</v>
      </c>
      <c r="W30" s="99">
        <v>0</v>
      </c>
      <c r="X30" s="98">
        <v>0</v>
      </c>
      <c r="Y30" s="99">
        <v>0</v>
      </c>
      <c r="Z30" s="97">
        <v>0</v>
      </c>
      <c r="AA30" s="98">
        <v>0</v>
      </c>
      <c r="AB30" s="99">
        <v>0</v>
      </c>
      <c r="AC30" s="98">
        <v>0</v>
      </c>
      <c r="AD30" s="99">
        <v>0</v>
      </c>
      <c r="AE30" s="97">
        <v>0</v>
      </c>
    </row>
    <row r="31" spans="2:31" s="74" customFormat="1" ht="15.75" customHeight="1" thickBot="1">
      <c r="B31" s="107"/>
      <c r="C31" s="108"/>
      <c r="D31" s="108"/>
      <c r="E31" s="108"/>
      <c r="F31" s="109"/>
      <c r="G31" s="110"/>
      <c r="H31" s="111"/>
      <c r="I31" s="110"/>
      <c r="J31" s="112"/>
      <c r="K31" s="113"/>
      <c r="L31" s="110"/>
      <c r="M31" s="111"/>
      <c r="N31" s="110"/>
      <c r="O31" s="112"/>
      <c r="P31" s="113"/>
      <c r="Q31" s="110"/>
      <c r="R31" s="111"/>
      <c r="S31" s="110"/>
      <c r="T31" s="112"/>
      <c r="U31" s="114"/>
      <c r="V31" s="110"/>
      <c r="W31" s="111"/>
      <c r="X31" s="110"/>
      <c r="Y31" s="111"/>
      <c r="Z31" s="113"/>
      <c r="AA31" s="110"/>
      <c r="AB31" s="111"/>
      <c r="AC31" s="110"/>
      <c r="AD31" s="111"/>
      <c r="AE31" s="113"/>
    </row>
    <row r="32" spans="2:31" s="74" customFormat="1" ht="15.75" customHeight="1">
      <c r="B32" s="115"/>
      <c r="C32" s="116" t="s">
        <v>107</v>
      </c>
      <c r="D32" s="116"/>
      <c r="E32" s="117"/>
      <c r="F32" s="102"/>
      <c r="G32" s="103"/>
      <c r="H32" s="104"/>
      <c r="I32" s="103"/>
      <c r="J32" s="105"/>
      <c r="K32" s="102"/>
      <c r="L32" s="103"/>
      <c r="M32" s="104"/>
      <c r="N32" s="103"/>
      <c r="O32" s="105"/>
      <c r="P32" s="102"/>
      <c r="Q32" s="103"/>
      <c r="R32" s="104"/>
      <c r="S32" s="103"/>
      <c r="T32" s="105"/>
      <c r="U32" s="106"/>
      <c r="V32" s="103"/>
      <c r="W32" s="104"/>
      <c r="X32" s="103"/>
      <c r="Y32" s="104"/>
      <c r="Z32" s="102"/>
      <c r="AA32" s="103"/>
      <c r="AB32" s="104"/>
      <c r="AC32" s="103"/>
      <c r="AD32" s="104"/>
      <c r="AE32" s="102"/>
    </row>
    <row r="33" spans="2:31" s="74" customFormat="1" ht="15.75" customHeight="1">
      <c r="B33" s="96"/>
      <c r="C33" s="86"/>
      <c r="D33" s="85" t="s">
        <v>90</v>
      </c>
      <c r="E33" s="86"/>
      <c r="F33" s="102"/>
      <c r="G33" s="103"/>
      <c r="H33" s="104"/>
      <c r="I33" s="103"/>
      <c r="J33" s="105"/>
      <c r="K33" s="102"/>
      <c r="L33" s="103"/>
      <c r="M33" s="104"/>
      <c r="N33" s="103"/>
      <c r="O33" s="105"/>
      <c r="P33" s="102"/>
      <c r="Q33" s="103"/>
      <c r="R33" s="104"/>
      <c r="S33" s="103"/>
      <c r="T33" s="105"/>
      <c r="U33" s="106"/>
      <c r="V33" s="103"/>
      <c r="W33" s="104"/>
      <c r="X33" s="103"/>
      <c r="Y33" s="104"/>
      <c r="Z33" s="102"/>
      <c r="AA33" s="103"/>
      <c r="AB33" s="104"/>
      <c r="AC33" s="103"/>
      <c r="AD33" s="104"/>
      <c r="AE33" s="102"/>
    </row>
    <row r="34" spans="2:31" s="74" customFormat="1" ht="15.75" customHeight="1">
      <c r="B34" s="96"/>
      <c r="C34" s="86"/>
      <c r="D34" s="85"/>
      <c r="E34" s="86" t="s">
        <v>108</v>
      </c>
      <c r="F34" s="97">
        <v>14594</v>
      </c>
      <c r="G34" s="98">
        <v>2</v>
      </c>
      <c r="H34" s="99">
        <v>14</v>
      </c>
      <c r="I34" s="98">
        <v>13</v>
      </c>
      <c r="J34" s="101">
        <v>14</v>
      </c>
      <c r="K34" s="97">
        <v>14605</v>
      </c>
      <c r="L34" s="98">
        <v>68</v>
      </c>
      <c r="M34" s="99">
        <v>7</v>
      </c>
      <c r="N34" s="98">
        <v>43</v>
      </c>
      <c r="O34" s="101">
        <v>7</v>
      </c>
      <c r="P34" s="97">
        <v>14580</v>
      </c>
      <c r="Q34" s="98">
        <v>46</v>
      </c>
      <c r="R34" s="99">
        <v>252</v>
      </c>
      <c r="S34" s="98">
        <v>4</v>
      </c>
      <c r="T34" s="101">
        <v>252</v>
      </c>
      <c r="U34" s="100">
        <v>14538</v>
      </c>
      <c r="V34" s="98">
        <v>17.3</v>
      </c>
      <c r="W34" s="99">
        <v>250.6</v>
      </c>
      <c r="X34" s="98">
        <v>1.2</v>
      </c>
      <c r="Y34" s="99">
        <v>220.1</v>
      </c>
      <c r="Z34" s="97">
        <v>14491.4</v>
      </c>
      <c r="AA34" s="98">
        <v>30.9</v>
      </c>
      <c r="AB34" s="99">
        <v>270</v>
      </c>
      <c r="AC34" s="98">
        <v>1.2</v>
      </c>
      <c r="AD34" s="99">
        <v>238</v>
      </c>
      <c r="AE34" s="97">
        <v>14429.7</v>
      </c>
    </row>
    <row r="35" spans="2:31" s="74" customFormat="1" ht="15.75" customHeight="1">
      <c r="B35" s="96"/>
      <c r="C35" s="86"/>
      <c r="D35" s="85"/>
      <c r="E35" s="86" t="s">
        <v>109</v>
      </c>
      <c r="F35" s="97">
        <v>0</v>
      </c>
      <c r="G35" s="98">
        <v>0</v>
      </c>
      <c r="H35" s="99">
        <v>0</v>
      </c>
      <c r="I35" s="98">
        <v>0</v>
      </c>
      <c r="J35" s="101">
        <v>0</v>
      </c>
      <c r="K35" s="97">
        <v>0</v>
      </c>
      <c r="L35" s="98">
        <v>0</v>
      </c>
      <c r="M35" s="99">
        <v>0</v>
      </c>
      <c r="N35" s="98">
        <v>0</v>
      </c>
      <c r="O35" s="101">
        <v>0</v>
      </c>
      <c r="P35" s="97">
        <v>0</v>
      </c>
      <c r="Q35" s="98">
        <v>0</v>
      </c>
      <c r="R35" s="99">
        <v>0</v>
      </c>
      <c r="S35" s="98">
        <v>0</v>
      </c>
      <c r="T35" s="101">
        <v>0</v>
      </c>
      <c r="U35" s="100">
        <v>0</v>
      </c>
      <c r="V35" s="98">
        <v>0</v>
      </c>
      <c r="W35" s="99">
        <v>0</v>
      </c>
      <c r="X35" s="98">
        <v>0</v>
      </c>
      <c r="Y35" s="99">
        <v>0</v>
      </c>
      <c r="Z35" s="97">
        <v>0</v>
      </c>
      <c r="AA35" s="98">
        <v>0</v>
      </c>
      <c r="AB35" s="99">
        <v>0</v>
      </c>
      <c r="AC35" s="98">
        <v>0</v>
      </c>
      <c r="AD35" s="99">
        <v>0</v>
      </c>
      <c r="AE35" s="97">
        <v>0</v>
      </c>
    </row>
    <row r="36" spans="2:31" s="74" customFormat="1" ht="15.75" customHeight="1">
      <c r="B36" s="96"/>
      <c r="C36" s="86"/>
      <c r="D36" s="86"/>
      <c r="E36" s="86" t="s">
        <v>110</v>
      </c>
      <c r="F36" s="97">
        <v>0</v>
      </c>
      <c r="G36" s="98">
        <v>0</v>
      </c>
      <c r="H36" s="99">
        <v>0</v>
      </c>
      <c r="I36" s="98">
        <v>0</v>
      </c>
      <c r="J36" s="101">
        <v>0</v>
      </c>
      <c r="K36" s="97">
        <v>0</v>
      </c>
      <c r="L36" s="98">
        <v>0</v>
      </c>
      <c r="M36" s="99">
        <v>0</v>
      </c>
      <c r="N36" s="98">
        <v>0</v>
      </c>
      <c r="O36" s="101">
        <v>0</v>
      </c>
      <c r="P36" s="97">
        <v>0</v>
      </c>
      <c r="Q36" s="98">
        <v>0</v>
      </c>
      <c r="R36" s="99">
        <v>0</v>
      </c>
      <c r="S36" s="98">
        <v>0</v>
      </c>
      <c r="T36" s="101">
        <v>0</v>
      </c>
      <c r="U36" s="100">
        <v>0</v>
      </c>
      <c r="V36" s="98">
        <v>0</v>
      </c>
      <c r="W36" s="99">
        <v>0</v>
      </c>
      <c r="X36" s="98">
        <v>0</v>
      </c>
      <c r="Y36" s="99">
        <v>0</v>
      </c>
      <c r="Z36" s="97">
        <v>0</v>
      </c>
      <c r="AA36" s="98">
        <v>0</v>
      </c>
      <c r="AB36" s="99">
        <v>0</v>
      </c>
      <c r="AC36" s="98">
        <v>0</v>
      </c>
      <c r="AD36" s="99">
        <v>0</v>
      </c>
      <c r="AE36" s="97">
        <v>0</v>
      </c>
    </row>
    <row r="37" spans="2:31" s="74" customFormat="1" ht="15.75" customHeight="1">
      <c r="B37" s="96"/>
      <c r="C37" s="86"/>
      <c r="D37" s="86"/>
      <c r="E37" s="86" t="s">
        <v>111</v>
      </c>
      <c r="F37" s="97">
        <v>0</v>
      </c>
      <c r="G37" s="98">
        <v>0</v>
      </c>
      <c r="H37" s="99">
        <v>0</v>
      </c>
      <c r="I37" s="98">
        <v>0</v>
      </c>
      <c r="J37" s="101">
        <v>0</v>
      </c>
      <c r="K37" s="97">
        <v>0</v>
      </c>
      <c r="L37" s="98">
        <v>0</v>
      </c>
      <c r="M37" s="99">
        <v>0</v>
      </c>
      <c r="N37" s="98">
        <v>0</v>
      </c>
      <c r="O37" s="101">
        <v>0</v>
      </c>
      <c r="P37" s="97">
        <v>0</v>
      </c>
      <c r="Q37" s="98">
        <v>0</v>
      </c>
      <c r="R37" s="99">
        <v>0</v>
      </c>
      <c r="S37" s="98">
        <v>0</v>
      </c>
      <c r="T37" s="101">
        <v>0</v>
      </c>
      <c r="U37" s="100">
        <v>0</v>
      </c>
      <c r="V37" s="98">
        <v>0</v>
      </c>
      <c r="W37" s="99">
        <v>0</v>
      </c>
      <c r="X37" s="98">
        <v>0</v>
      </c>
      <c r="Y37" s="99">
        <v>0</v>
      </c>
      <c r="Z37" s="97">
        <v>0</v>
      </c>
      <c r="AA37" s="98">
        <v>0</v>
      </c>
      <c r="AB37" s="99">
        <v>0</v>
      </c>
      <c r="AC37" s="98">
        <v>0</v>
      </c>
      <c r="AD37" s="99">
        <v>0</v>
      </c>
      <c r="AE37" s="97">
        <v>0</v>
      </c>
    </row>
    <row r="38" spans="2:31" s="74" customFormat="1" ht="15.75" customHeight="1">
      <c r="B38" s="96"/>
      <c r="C38" s="86"/>
      <c r="D38" s="86"/>
      <c r="E38" s="86"/>
      <c r="F38" s="102"/>
      <c r="G38" s="103"/>
      <c r="H38" s="104"/>
      <c r="I38" s="103"/>
      <c r="J38" s="105"/>
      <c r="K38" s="102"/>
      <c r="L38" s="103"/>
      <c r="M38" s="104"/>
      <c r="N38" s="103"/>
      <c r="O38" s="105"/>
      <c r="P38" s="102"/>
      <c r="Q38" s="103"/>
      <c r="R38" s="104"/>
      <c r="S38" s="103"/>
      <c r="T38" s="105"/>
      <c r="U38" s="106"/>
      <c r="V38" s="103"/>
      <c r="W38" s="104"/>
      <c r="X38" s="103"/>
      <c r="Y38" s="104"/>
      <c r="Z38" s="102"/>
      <c r="AA38" s="103"/>
      <c r="AB38" s="104"/>
      <c r="AC38" s="103"/>
      <c r="AD38" s="104"/>
      <c r="AE38" s="102"/>
    </row>
    <row r="39" spans="2:31" s="74" customFormat="1" ht="15.75" customHeight="1">
      <c r="B39" s="96"/>
      <c r="C39" s="86"/>
      <c r="D39" s="85" t="s">
        <v>93</v>
      </c>
      <c r="E39" s="86"/>
      <c r="F39" s="102"/>
      <c r="G39" s="103"/>
      <c r="H39" s="104"/>
      <c r="I39" s="103"/>
      <c r="J39" s="105"/>
      <c r="K39" s="102"/>
      <c r="L39" s="103"/>
      <c r="M39" s="104"/>
      <c r="N39" s="103"/>
      <c r="O39" s="105"/>
      <c r="P39" s="102"/>
      <c r="Q39" s="103"/>
      <c r="R39" s="104"/>
      <c r="S39" s="103"/>
      <c r="T39" s="105"/>
      <c r="U39" s="106"/>
      <c r="V39" s="103"/>
      <c r="W39" s="104"/>
      <c r="X39" s="103"/>
      <c r="Y39" s="104"/>
      <c r="Z39" s="102"/>
      <c r="AA39" s="103"/>
      <c r="AB39" s="104"/>
      <c r="AC39" s="103"/>
      <c r="AD39" s="104"/>
      <c r="AE39" s="102"/>
    </row>
    <row r="40" spans="2:31" s="74" customFormat="1" ht="15.75" customHeight="1">
      <c r="B40" s="96"/>
      <c r="C40" s="86"/>
      <c r="D40" s="117"/>
      <c r="E40" s="86" t="s">
        <v>112</v>
      </c>
      <c r="F40" s="97">
        <v>209466</v>
      </c>
      <c r="G40" s="98">
        <v>23</v>
      </c>
      <c r="H40" s="99">
        <v>137</v>
      </c>
      <c r="I40" s="98">
        <v>148</v>
      </c>
      <c r="J40" s="101">
        <v>137</v>
      </c>
      <c r="K40" s="97">
        <v>209591</v>
      </c>
      <c r="L40" s="98">
        <v>808</v>
      </c>
      <c r="M40" s="99">
        <v>94</v>
      </c>
      <c r="N40" s="98">
        <v>573</v>
      </c>
      <c r="O40" s="101">
        <v>94</v>
      </c>
      <c r="P40" s="97">
        <v>209356</v>
      </c>
      <c r="Q40" s="98">
        <v>1577</v>
      </c>
      <c r="R40" s="99">
        <v>660</v>
      </c>
      <c r="S40" s="98">
        <v>991</v>
      </c>
      <c r="T40" s="101">
        <v>660</v>
      </c>
      <c r="U40" s="100">
        <v>208770</v>
      </c>
      <c r="V40" s="98">
        <v>592</v>
      </c>
      <c r="W40" s="99">
        <v>1779.2</v>
      </c>
      <c r="X40" s="98">
        <v>402</v>
      </c>
      <c r="Y40" s="99">
        <v>1474.8</v>
      </c>
      <c r="Z40" s="97">
        <v>208275.59999999998</v>
      </c>
      <c r="AA40" s="98">
        <v>1060</v>
      </c>
      <c r="AB40" s="99">
        <v>2050.3000000000002</v>
      </c>
      <c r="AC40" s="98">
        <v>835</v>
      </c>
      <c r="AD40" s="99">
        <v>1730.7</v>
      </c>
      <c r="AE40" s="97">
        <v>207731</v>
      </c>
    </row>
    <row r="41" spans="2:31" s="74" customFormat="1" ht="15.75" customHeight="1">
      <c r="B41" s="96"/>
      <c r="C41" s="86"/>
      <c r="D41" s="85"/>
      <c r="E41" s="86" t="s">
        <v>113</v>
      </c>
      <c r="F41" s="97">
        <v>0</v>
      </c>
      <c r="G41" s="98">
        <v>0</v>
      </c>
      <c r="H41" s="99">
        <v>0</v>
      </c>
      <c r="I41" s="98">
        <v>0</v>
      </c>
      <c r="J41" s="101">
        <v>0</v>
      </c>
      <c r="K41" s="97">
        <v>0</v>
      </c>
      <c r="L41" s="98">
        <v>0</v>
      </c>
      <c r="M41" s="99">
        <v>0</v>
      </c>
      <c r="N41" s="98">
        <v>0</v>
      </c>
      <c r="O41" s="101">
        <v>0</v>
      </c>
      <c r="P41" s="97">
        <v>0</v>
      </c>
      <c r="Q41" s="98">
        <v>0</v>
      </c>
      <c r="R41" s="99">
        <v>0</v>
      </c>
      <c r="S41" s="98">
        <v>0</v>
      </c>
      <c r="T41" s="101">
        <v>0</v>
      </c>
      <c r="U41" s="100">
        <v>0</v>
      </c>
      <c r="V41" s="98">
        <v>0</v>
      </c>
      <c r="W41" s="99">
        <v>0</v>
      </c>
      <c r="X41" s="98">
        <v>0</v>
      </c>
      <c r="Y41" s="99">
        <v>0</v>
      </c>
      <c r="Z41" s="97">
        <v>0</v>
      </c>
      <c r="AA41" s="98">
        <v>0</v>
      </c>
      <c r="AB41" s="99">
        <v>0</v>
      </c>
      <c r="AC41" s="98">
        <v>0</v>
      </c>
      <c r="AD41" s="99">
        <v>0</v>
      </c>
      <c r="AE41" s="97">
        <v>0</v>
      </c>
    </row>
    <row r="42" spans="2:31" s="74" customFormat="1" ht="15.75" customHeight="1">
      <c r="B42" s="96"/>
      <c r="C42" s="86"/>
      <c r="D42" s="86"/>
      <c r="E42" s="86"/>
      <c r="F42" s="102"/>
      <c r="G42" s="103"/>
      <c r="H42" s="104"/>
      <c r="I42" s="103"/>
      <c r="J42" s="105"/>
      <c r="K42" s="102"/>
      <c r="L42" s="103"/>
      <c r="M42" s="104"/>
      <c r="N42" s="103"/>
      <c r="O42" s="105"/>
      <c r="P42" s="102"/>
      <c r="Q42" s="103"/>
      <c r="R42" s="104"/>
      <c r="S42" s="103"/>
      <c r="T42" s="105"/>
      <c r="U42" s="106"/>
      <c r="V42" s="103"/>
      <c r="W42" s="104"/>
      <c r="X42" s="103"/>
      <c r="Y42" s="104"/>
      <c r="Z42" s="102"/>
      <c r="AA42" s="103"/>
      <c r="AB42" s="104"/>
      <c r="AC42" s="103"/>
      <c r="AD42" s="104"/>
      <c r="AE42" s="102"/>
    </row>
    <row r="43" spans="2:31" s="74" customFormat="1" ht="15.75" customHeight="1">
      <c r="B43" s="96"/>
      <c r="C43" s="86"/>
      <c r="D43" s="85" t="s">
        <v>114</v>
      </c>
      <c r="E43" s="86"/>
      <c r="F43" s="102"/>
      <c r="G43" s="103"/>
      <c r="H43" s="104"/>
      <c r="I43" s="103"/>
      <c r="J43" s="105"/>
      <c r="K43" s="102"/>
      <c r="L43" s="103"/>
      <c r="M43" s="104"/>
      <c r="N43" s="103"/>
      <c r="O43" s="105"/>
      <c r="P43" s="102"/>
      <c r="Q43" s="103"/>
      <c r="R43" s="104"/>
      <c r="S43" s="103"/>
      <c r="T43" s="105"/>
      <c r="U43" s="106"/>
      <c r="V43" s="103"/>
      <c r="W43" s="104"/>
      <c r="X43" s="103"/>
      <c r="Y43" s="104"/>
      <c r="Z43" s="102"/>
      <c r="AA43" s="103"/>
      <c r="AB43" s="104"/>
      <c r="AC43" s="103"/>
      <c r="AD43" s="104"/>
      <c r="AE43" s="102"/>
    </row>
    <row r="44" spans="2:31" s="74" customFormat="1" ht="15.75" customHeight="1">
      <c r="B44" s="96"/>
      <c r="C44" s="86"/>
      <c r="D44" s="85"/>
      <c r="E44" s="86" t="s">
        <v>115</v>
      </c>
      <c r="F44" s="97">
        <v>11712</v>
      </c>
      <c r="G44" s="98">
        <v>0</v>
      </c>
      <c r="H44" s="99">
        <v>1</v>
      </c>
      <c r="I44" s="98">
        <v>91</v>
      </c>
      <c r="J44" s="101">
        <v>19</v>
      </c>
      <c r="K44" s="97">
        <v>11821</v>
      </c>
      <c r="L44" s="98">
        <v>0</v>
      </c>
      <c r="M44" s="99">
        <v>73</v>
      </c>
      <c r="N44" s="98">
        <v>134</v>
      </c>
      <c r="O44" s="101">
        <v>76</v>
      </c>
      <c r="P44" s="97">
        <v>11958</v>
      </c>
      <c r="Q44" s="98">
        <v>0</v>
      </c>
      <c r="R44" s="99">
        <v>5</v>
      </c>
      <c r="S44" s="98">
        <v>89</v>
      </c>
      <c r="T44" s="101">
        <v>43</v>
      </c>
      <c r="U44" s="100">
        <v>12085</v>
      </c>
      <c r="V44" s="98">
        <v>0</v>
      </c>
      <c r="W44" s="99">
        <v>10.7</v>
      </c>
      <c r="X44" s="98">
        <v>32.799999999999997</v>
      </c>
      <c r="Y44" s="99">
        <v>77.099999999999994</v>
      </c>
      <c r="Z44" s="97">
        <v>12184.199999999999</v>
      </c>
      <c r="AA44" s="98">
        <v>0</v>
      </c>
      <c r="AB44" s="99">
        <v>6.1</v>
      </c>
      <c r="AC44" s="98">
        <v>64.8</v>
      </c>
      <c r="AD44" s="99">
        <v>51.2</v>
      </c>
      <c r="AE44" s="97">
        <v>12294.099999999999</v>
      </c>
    </row>
    <row r="45" spans="2:31" s="74" customFormat="1" ht="15.75" customHeight="1">
      <c r="B45" s="96"/>
      <c r="C45" s="86"/>
      <c r="D45" s="85"/>
      <c r="E45" s="86" t="s">
        <v>116</v>
      </c>
      <c r="F45" s="97">
        <v>0</v>
      </c>
      <c r="G45" s="98">
        <v>0</v>
      </c>
      <c r="H45" s="99">
        <v>0</v>
      </c>
      <c r="I45" s="98">
        <v>0</v>
      </c>
      <c r="J45" s="101">
        <v>0</v>
      </c>
      <c r="K45" s="97">
        <v>0</v>
      </c>
      <c r="L45" s="98">
        <v>0</v>
      </c>
      <c r="M45" s="99">
        <v>0</v>
      </c>
      <c r="N45" s="98">
        <v>0</v>
      </c>
      <c r="O45" s="101">
        <v>0</v>
      </c>
      <c r="P45" s="97">
        <v>0</v>
      </c>
      <c r="Q45" s="98">
        <v>0</v>
      </c>
      <c r="R45" s="99">
        <v>0</v>
      </c>
      <c r="S45" s="98">
        <v>0</v>
      </c>
      <c r="T45" s="101">
        <v>0</v>
      </c>
      <c r="U45" s="100">
        <v>0</v>
      </c>
      <c r="V45" s="98">
        <v>0</v>
      </c>
      <c r="W45" s="99">
        <v>0</v>
      </c>
      <c r="X45" s="98">
        <v>0</v>
      </c>
      <c r="Y45" s="99">
        <v>0</v>
      </c>
      <c r="Z45" s="97">
        <v>0</v>
      </c>
      <c r="AA45" s="98">
        <v>0</v>
      </c>
      <c r="AB45" s="99">
        <v>0</v>
      </c>
      <c r="AC45" s="98">
        <v>0</v>
      </c>
      <c r="AD45" s="99">
        <v>0</v>
      </c>
      <c r="AE45" s="97">
        <v>0</v>
      </c>
    </row>
    <row r="46" spans="2:31" s="74" customFormat="1" ht="15.75" customHeight="1">
      <c r="B46" s="96"/>
      <c r="C46" s="86"/>
      <c r="D46" s="85"/>
      <c r="E46" s="86"/>
      <c r="F46" s="102"/>
      <c r="G46" s="103"/>
      <c r="H46" s="104"/>
      <c r="I46" s="103"/>
      <c r="J46" s="105"/>
      <c r="K46" s="102"/>
      <c r="L46" s="103"/>
      <c r="M46" s="104"/>
      <c r="N46" s="103"/>
      <c r="O46" s="105"/>
      <c r="P46" s="102"/>
      <c r="Q46" s="103"/>
      <c r="R46" s="104"/>
      <c r="S46" s="103"/>
      <c r="T46" s="105"/>
      <c r="U46" s="106"/>
      <c r="V46" s="103"/>
      <c r="W46" s="104"/>
      <c r="X46" s="103"/>
      <c r="Y46" s="104"/>
      <c r="Z46" s="102"/>
      <c r="AA46" s="103"/>
      <c r="AB46" s="104"/>
      <c r="AC46" s="103"/>
      <c r="AD46" s="104"/>
      <c r="AE46" s="102"/>
    </row>
    <row r="47" spans="2:31" s="74" customFormat="1" ht="15.75" customHeight="1">
      <c r="B47" s="96"/>
      <c r="C47" s="86"/>
      <c r="D47" s="85" t="s">
        <v>117</v>
      </c>
      <c r="E47" s="86"/>
      <c r="F47" s="102"/>
      <c r="G47" s="103"/>
      <c r="H47" s="104"/>
      <c r="I47" s="103"/>
      <c r="J47" s="105"/>
      <c r="K47" s="102"/>
      <c r="L47" s="103"/>
      <c r="M47" s="104"/>
      <c r="N47" s="103"/>
      <c r="O47" s="105"/>
      <c r="P47" s="102"/>
      <c r="Q47" s="103"/>
      <c r="R47" s="104"/>
      <c r="S47" s="103"/>
      <c r="T47" s="105"/>
      <c r="U47" s="106"/>
      <c r="V47" s="103"/>
      <c r="W47" s="104"/>
      <c r="X47" s="103"/>
      <c r="Y47" s="104"/>
      <c r="Z47" s="102"/>
      <c r="AA47" s="103"/>
      <c r="AB47" s="104"/>
      <c r="AC47" s="103"/>
      <c r="AD47" s="104"/>
      <c r="AE47" s="102"/>
    </row>
    <row r="48" spans="2:31" s="74" customFormat="1" ht="15.75" customHeight="1">
      <c r="B48" s="96"/>
      <c r="C48" s="86"/>
      <c r="D48" s="85"/>
      <c r="E48" s="86" t="s">
        <v>118</v>
      </c>
      <c r="F48" s="97">
        <v>0</v>
      </c>
      <c r="G48" s="98">
        <v>0</v>
      </c>
      <c r="H48" s="99">
        <v>0</v>
      </c>
      <c r="I48" s="98">
        <v>0</v>
      </c>
      <c r="J48" s="101">
        <v>0</v>
      </c>
      <c r="K48" s="97">
        <v>0</v>
      </c>
      <c r="L48" s="98">
        <v>0</v>
      </c>
      <c r="M48" s="99">
        <v>0</v>
      </c>
      <c r="N48" s="98">
        <v>0</v>
      </c>
      <c r="O48" s="101">
        <v>0</v>
      </c>
      <c r="P48" s="97">
        <v>0</v>
      </c>
      <c r="Q48" s="98">
        <v>0</v>
      </c>
      <c r="R48" s="99">
        <v>0</v>
      </c>
      <c r="S48" s="98">
        <v>0</v>
      </c>
      <c r="T48" s="101">
        <v>0</v>
      </c>
      <c r="U48" s="100">
        <v>0</v>
      </c>
      <c r="V48" s="98">
        <v>0</v>
      </c>
      <c r="W48" s="99">
        <v>0</v>
      </c>
      <c r="X48" s="98">
        <v>0</v>
      </c>
      <c r="Y48" s="99">
        <v>0</v>
      </c>
      <c r="Z48" s="97">
        <v>0</v>
      </c>
      <c r="AA48" s="98">
        <v>0</v>
      </c>
      <c r="AB48" s="99">
        <v>0</v>
      </c>
      <c r="AC48" s="98">
        <v>0</v>
      </c>
      <c r="AD48" s="99">
        <v>0</v>
      </c>
      <c r="AE48" s="97">
        <v>0</v>
      </c>
    </row>
    <row r="49" spans="2:31" s="74" customFormat="1" ht="15.75" customHeight="1">
      <c r="B49" s="96"/>
      <c r="C49" s="86"/>
      <c r="D49" s="85"/>
      <c r="E49" s="86"/>
      <c r="F49" s="102"/>
      <c r="G49" s="103"/>
      <c r="H49" s="104"/>
      <c r="I49" s="103"/>
      <c r="J49" s="105"/>
      <c r="K49" s="102"/>
      <c r="L49" s="103"/>
      <c r="M49" s="104"/>
      <c r="N49" s="103"/>
      <c r="O49" s="105"/>
      <c r="P49" s="102"/>
      <c r="Q49" s="103"/>
      <c r="R49" s="104"/>
      <c r="S49" s="103"/>
      <c r="T49" s="105"/>
      <c r="U49" s="106"/>
      <c r="V49" s="103"/>
      <c r="W49" s="104"/>
      <c r="X49" s="103"/>
      <c r="Y49" s="104"/>
      <c r="Z49" s="102"/>
      <c r="AA49" s="103"/>
      <c r="AB49" s="104"/>
      <c r="AC49" s="103"/>
      <c r="AD49" s="104"/>
      <c r="AE49" s="102"/>
    </row>
    <row r="50" spans="2:31" s="74" customFormat="1" ht="15.75" customHeight="1">
      <c r="B50" s="96"/>
      <c r="C50" s="86"/>
      <c r="D50" s="85" t="s">
        <v>100</v>
      </c>
      <c r="E50" s="86"/>
      <c r="F50" s="102"/>
      <c r="G50" s="103"/>
      <c r="H50" s="104"/>
      <c r="I50" s="103"/>
      <c r="J50" s="105"/>
      <c r="K50" s="102"/>
      <c r="L50" s="103"/>
      <c r="M50" s="104"/>
      <c r="N50" s="103"/>
      <c r="O50" s="105"/>
      <c r="P50" s="102"/>
      <c r="Q50" s="103"/>
      <c r="R50" s="104"/>
      <c r="S50" s="103"/>
      <c r="T50" s="105"/>
      <c r="U50" s="106"/>
      <c r="V50" s="103"/>
      <c r="W50" s="104"/>
      <c r="X50" s="103"/>
      <c r="Y50" s="104"/>
      <c r="Z50" s="102"/>
      <c r="AA50" s="103"/>
      <c r="AB50" s="104"/>
      <c r="AC50" s="103"/>
      <c r="AD50" s="104"/>
      <c r="AE50" s="102"/>
    </row>
    <row r="51" spans="2:31" s="74" customFormat="1" ht="15.75" customHeight="1">
      <c r="B51" s="96"/>
      <c r="C51" s="86"/>
      <c r="D51" s="85"/>
      <c r="E51" s="86" t="s">
        <v>119</v>
      </c>
      <c r="F51" s="97">
        <v>1660</v>
      </c>
      <c r="G51" s="98">
        <v>0</v>
      </c>
      <c r="H51" s="99">
        <v>28</v>
      </c>
      <c r="I51" s="98">
        <v>0</v>
      </c>
      <c r="J51" s="101">
        <v>34</v>
      </c>
      <c r="K51" s="97">
        <v>1666</v>
      </c>
      <c r="L51" s="98">
        <v>0</v>
      </c>
      <c r="M51" s="99">
        <v>4</v>
      </c>
      <c r="N51" s="98">
        <v>1</v>
      </c>
      <c r="O51" s="101">
        <v>44</v>
      </c>
      <c r="P51" s="97">
        <v>1707</v>
      </c>
      <c r="Q51" s="98">
        <v>0</v>
      </c>
      <c r="R51" s="99">
        <v>39</v>
      </c>
      <c r="S51" s="98">
        <v>0</v>
      </c>
      <c r="T51" s="101">
        <v>60</v>
      </c>
      <c r="U51" s="100">
        <v>1728</v>
      </c>
      <c r="V51" s="98">
        <v>0</v>
      </c>
      <c r="W51" s="99">
        <v>0</v>
      </c>
      <c r="X51" s="98">
        <v>0</v>
      </c>
      <c r="Y51" s="99">
        <v>26</v>
      </c>
      <c r="Z51" s="97">
        <v>1754</v>
      </c>
      <c r="AA51" s="98">
        <v>0</v>
      </c>
      <c r="AB51" s="99">
        <v>0</v>
      </c>
      <c r="AC51" s="98">
        <v>0</v>
      </c>
      <c r="AD51" s="99">
        <v>25</v>
      </c>
      <c r="AE51" s="97">
        <v>1779</v>
      </c>
    </row>
    <row r="52" spans="2:31" s="74" customFormat="1" ht="15.75" customHeight="1">
      <c r="B52" s="96"/>
      <c r="C52" s="86"/>
      <c r="D52" s="85"/>
      <c r="E52" s="86" t="s">
        <v>120</v>
      </c>
      <c r="F52" s="97">
        <v>10293</v>
      </c>
      <c r="G52" s="98">
        <v>0</v>
      </c>
      <c r="H52" s="99">
        <v>1</v>
      </c>
      <c r="I52" s="98">
        <v>37</v>
      </c>
      <c r="J52" s="101">
        <v>0</v>
      </c>
      <c r="K52" s="97">
        <v>10329</v>
      </c>
      <c r="L52" s="98">
        <v>0</v>
      </c>
      <c r="M52" s="99">
        <v>228</v>
      </c>
      <c r="N52" s="98">
        <v>3</v>
      </c>
      <c r="O52" s="101">
        <v>11</v>
      </c>
      <c r="P52" s="97">
        <v>10115</v>
      </c>
      <c r="Q52" s="98">
        <v>0</v>
      </c>
      <c r="R52" s="99">
        <v>463</v>
      </c>
      <c r="S52" s="98">
        <v>0</v>
      </c>
      <c r="T52" s="101">
        <v>177</v>
      </c>
      <c r="U52" s="100">
        <v>9829</v>
      </c>
      <c r="V52" s="98">
        <v>0</v>
      </c>
      <c r="W52" s="99">
        <v>8</v>
      </c>
      <c r="X52" s="98">
        <v>0</v>
      </c>
      <c r="Y52" s="99">
        <v>36</v>
      </c>
      <c r="Z52" s="97">
        <v>9857</v>
      </c>
      <c r="AA52" s="98">
        <v>0</v>
      </c>
      <c r="AB52" s="99">
        <v>12</v>
      </c>
      <c r="AC52" s="98">
        <v>0</v>
      </c>
      <c r="AD52" s="99">
        <v>30</v>
      </c>
      <c r="AE52" s="97">
        <v>9875</v>
      </c>
    </row>
    <row r="53" spans="2:31" s="74" customFormat="1" ht="15.75" customHeight="1">
      <c r="B53" s="96"/>
      <c r="C53" s="86"/>
      <c r="D53" s="85"/>
      <c r="E53" s="86" t="s">
        <v>121</v>
      </c>
      <c r="F53" s="97">
        <v>773</v>
      </c>
      <c r="G53" s="98">
        <v>0</v>
      </c>
      <c r="H53" s="99">
        <v>0</v>
      </c>
      <c r="I53" s="98">
        <v>0</v>
      </c>
      <c r="J53" s="101">
        <v>2</v>
      </c>
      <c r="K53" s="97">
        <v>775</v>
      </c>
      <c r="L53" s="98">
        <v>0</v>
      </c>
      <c r="M53" s="99">
        <v>13</v>
      </c>
      <c r="N53" s="98">
        <v>0</v>
      </c>
      <c r="O53" s="101">
        <v>21</v>
      </c>
      <c r="P53" s="97">
        <v>783</v>
      </c>
      <c r="Q53" s="98">
        <v>0</v>
      </c>
      <c r="R53" s="99">
        <v>0</v>
      </c>
      <c r="S53" s="98">
        <v>0</v>
      </c>
      <c r="T53" s="101">
        <v>103</v>
      </c>
      <c r="U53" s="100">
        <v>886</v>
      </c>
      <c r="V53" s="98">
        <v>0</v>
      </c>
      <c r="W53" s="99">
        <v>382</v>
      </c>
      <c r="X53" s="98">
        <v>0</v>
      </c>
      <c r="Y53" s="99">
        <v>412</v>
      </c>
      <c r="Z53" s="97">
        <v>916</v>
      </c>
      <c r="AA53" s="98">
        <v>0</v>
      </c>
      <c r="AB53" s="99">
        <v>235</v>
      </c>
      <c r="AC53" s="98">
        <v>0</v>
      </c>
      <c r="AD53" s="99">
        <v>254</v>
      </c>
      <c r="AE53" s="97">
        <v>935</v>
      </c>
    </row>
    <row r="54" spans="2:31" s="74" customFormat="1" ht="15.75" customHeight="1">
      <c r="B54" s="96"/>
      <c r="C54" s="86"/>
      <c r="D54" s="85"/>
      <c r="E54" s="86" t="s">
        <v>122</v>
      </c>
      <c r="F54" s="97">
        <v>10115</v>
      </c>
      <c r="G54" s="98">
        <v>0</v>
      </c>
      <c r="H54" s="99">
        <v>137</v>
      </c>
      <c r="I54" s="98">
        <v>1</v>
      </c>
      <c r="J54" s="101">
        <v>169</v>
      </c>
      <c r="K54" s="97">
        <v>10148</v>
      </c>
      <c r="L54" s="98">
        <v>0</v>
      </c>
      <c r="M54" s="99">
        <v>353</v>
      </c>
      <c r="N54" s="98">
        <v>1</v>
      </c>
      <c r="O54" s="101">
        <v>0</v>
      </c>
      <c r="P54" s="97">
        <v>9796</v>
      </c>
      <c r="Q54" s="98">
        <v>0</v>
      </c>
      <c r="R54" s="99">
        <v>629</v>
      </c>
      <c r="S54" s="98">
        <v>0</v>
      </c>
      <c r="T54" s="101">
        <v>1</v>
      </c>
      <c r="U54" s="100">
        <v>9168</v>
      </c>
      <c r="V54" s="98">
        <v>0</v>
      </c>
      <c r="W54" s="99">
        <v>232</v>
      </c>
      <c r="X54" s="98">
        <v>0</v>
      </c>
      <c r="Y54" s="99">
        <v>1</v>
      </c>
      <c r="Z54" s="97">
        <v>8937</v>
      </c>
      <c r="AA54" s="98">
        <v>0</v>
      </c>
      <c r="AB54" s="99">
        <v>184</v>
      </c>
      <c r="AC54" s="98">
        <v>0</v>
      </c>
      <c r="AD54" s="99">
        <v>1</v>
      </c>
      <c r="AE54" s="97">
        <v>8754</v>
      </c>
    </row>
    <row r="55" spans="2:31" s="74" customFormat="1" ht="15.75" customHeight="1">
      <c r="B55" s="96"/>
      <c r="C55" s="86"/>
      <c r="D55" s="85"/>
      <c r="E55" s="86" t="s">
        <v>123</v>
      </c>
      <c r="F55" s="97">
        <v>11364</v>
      </c>
      <c r="G55" s="98">
        <v>16</v>
      </c>
      <c r="H55" s="99">
        <v>6</v>
      </c>
      <c r="I55" s="98">
        <v>355</v>
      </c>
      <c r="J55" s="101">
        <v>6</v>
      </c>
      <c r="K55" s="97">
        <v>11703</v>
      </c>
      <c r="L55" s="98">
        <v>0</v>
      </c>
      <c r="M55" s="99">
        <v>113</v>
      </c>
      <c r="N55" s="98">
        <v>357</v>
      </c>
      <c r="O55" s="101">
        <v>343</v>
      </c>
      <c r="P55" s="97">
        <v>12290</v>
      </c>
      <c r="Q55" s="98">
        <v>0</v>
      </c>
      <c r="R55" s="99">
        <v>236</v>
      </c>
      <c r="S55" s="98">
        <v>590</v>
      </c>
      <c r="T55" s="101">
        <v>140</v>
      </c>
      <c r="U55" s="100">
        <v>12784</v>
      </c>
      <c r="V55" s="98">
        <v>0</v>
      </c>
      <c r="W55" s="99">
        <v>63</v>
      </c>
      <c r="X55" s="98">
        <v>254</v>
      </c>
      <c r="Y55" s="99">
        <v>268</v>
      </c>
      <c r="Z55" s="97">
        <v>13243</v>
      </c>
      <c r="AA55" s="98">
        <v>0</v>
      </c>
      <c r="AB55" s="99">
        <v>60</v>
      </c>
      <c r="AC55" s="98">
        <v>576</v>
      </c>
      <c r="AD55" s="99">
        <v>232</v>
      </c>
      <c r="AE55" s="97">
        <v>13991</v>
      </c>
    </row>
    <row r="56" spans="2:31" s="74" customFormat="1" ht="15.75" customHeight="1">
      <c r="B56" s="96"/>
      <c r="C56" s="86"/>
      <c r="D56" s="85"/>
      <c r="E56" s="86" t="s">
        <v>124</v>
      </c>
      <c r="F56" s="97">
        <v>11757</v>
      </c>
      <c r="G56" s="98">
        <v>0</v>
      </c>
      <c r="H56" s="99">
        <v>209</v>
      </c>
      <c r="I56" s="98">
        <v>0</v>
      </c>
      <c r="J56" s="101">
        <v>249</v>
      </c>
      <c r="K56" s="97">
        <v>11797</v>
      </c>
      <c r="L56" s="98">
        <v>58</v>
      </c>
      <c r="M56" s="99">
        <v>264</v>
      </c>
      <c r="N56" s="98">
        <v>0</v>
      </c>
      <c r="O56" s="101">
        <v>264</v>
      </c>
      <c r="P56" s="97">
        <v>11739</v>
      </c>
      <c r="Q56" s="98">
        <v>230</v>
      </c>
      <c r="R56" s="99">
        <v>360</v>
      </c>
      <c r="S56" s="98">
        <v>33</v>
      </c>
      <c r="T56" s="101">
        <v>360</v>
      </c>
      <c r="U56" s="100">
        <v>11542</v>
      </c>
      <c r="V56" s="98">
        <v>86</v>
      </c>
      <c r="W56" s="99">
        <v>0</v>
      </c>
      <c r="X56" s="98">
        <v>10</v>
      </c>
      <c r="Y56" s="99">
        <v>0</v>
      </c>
      <c r="Z56" s="97">
        <v>11466</v>
      </c>
      <c r="AA56" s="98">
        <v>155</v>
      </c>
      <c r="AB56" s="99">
        <v>0</v>
      </c>
      <c r="AC56" s="98">
        <v>10</v>
      </c>
      <c r="AD56" s="99">
        <v>0</v>
      </c>
      <c r="AE56" s="97">
        <v>11321</v>
      </c>
    </row>
    <row r="57" spans="2:31" s="74" customFormat="1" ht="15.75" customHeight="1">
      <c r="B57" s="96"/>
      <c r="C57" s="86"/>
      <c r="D57" s="85"/>
      <c r="E57" s="86" t="s">
        <v>125</v>
      </c>
      <c r="F57" s="97">
        <v>0</v>
      </c>
      <c r="G57" s="98">
        <v>0</v>
      </c>
      <c r="H57" s="99">
        <v>0</v>
      </c>
      <c r="I57" s="98">
        <v>0</v>
      </c>
      <c r="J57" s="101">
        <v>0</v>
      </c>
      <c r="K57" s="97">
        <v>0</v>
      </c>
      <c r="L57" s="98">
        <v>0</v>
      </c>
      <c r="M57" s="99">
        <v>0</v>
      </c>
      <c r="N57" s="98">
        <v>0</v>
      </c>
      <c r="O57" s="101">
        <v>0</v>
      </c>
      <c r="P57" s="97">
        <v>0</v>
      </c>
      <c r="Q57" s="98">
        <v>0</v>
      </c>
      <c r="R57" s="99">
        <v>0</v>
      </c>
      <c r="S57" s="98">
        <v>0</v>
      </c>
      <c r="T57" s="101">
        <v>0</v>
      </c>
      <c r="U57" s="100">
        <v>0</v>
      </c>
      <c r="V57" s="98">
        <v>0</v>
      </c>
      <c r="W57" s="99">
        <v>0</v>
      </c>
      <c r="X57" s="98">
        <v>0</v>
      </c>
      <c r="Y57" s="99">
        <v>0</v>
      </c>
      <c r="Z57" s="97">
        <v>0</v>
      </c>
      <c r="AA57" s="98">
        <v>0</v>
      </c>
      <c r="AB57" s="99">
        <v>0</v>
      </c>
      <c r="AC57" s="98">
        <v>0</v>
      </c>
      <c r="AD57" s="99">
        <v>0</v>
      </c>
      <c r="AE57" s="97">
        <v>0</v>
      </c>
    </row>
    <row r="58" spans="2:31" s="74" customFormat="1" ht="15.75" customHeight="1">
      <c r="B58" s="96"/>
      <c r="C58" s="86"/>
      <c r="D58" s="86"/>
      <c r="E58" s="86" t="s">
        <v>126</v>
      </c>
      <c r="F58" s="97">
        <v>0</v>
      </c>
      <c r="G58" s="98">
        <v>0</v>
      </c>
      <c r="H58" s="99">
        <v>0</v>
      </c>
      <c r="I58" s="98">
        <v>0</v>
      </c>
      <c r="J58" s="101">
        <v>0</v>
      </c>
      <c r="K58" s="97">
        <v>0</v>
      </c>
      <c r="L58" s="98">
        <v>0</v>
      </c>
      <c r="M58" s="99">
        <v>0</v>
      </c>
      <c r="N58" s="98">
        <v>0</v>
      </c>
      <c r="O58" s="101">
        <v>0</v>
      </c>
      <c r="P58" s="97">
        <v>0</v>
      </c>
      <c r="Q58" s="98">
        <v>0</v>
      </c>
      <c r="R58" s="99">
        <v>0</v>
      </c>
      <c r="S58" s="98">
        <v>0</v>
      </c>
      <c r="T58" s="101">
        <v>0</v>
      </c>
      <c r="U58" s="100">
        <v>0</v>
      </c>
      <c r="V58" s="98">
        <v>0</v>
      </c>
      <c r="W58" s="99">
        <v>0</v>
      </c>
      <c r="X58" s="98">
        <v>0</v>
      </c>
      <c r="Y58" s="99">
        <v>0</v>
      </c>
      <c r="Z58" s="97">
        <v>0</v>
      </c>
      <c r="AA58" s="98">
        <v>0</v>
      </c>
      <c r="AB58" s="99">
        <v>0</v>
      </c>
      <c r="AC58" s="98">
        <v>0</v>
      </c>
      <c r="AD58" s="99">
        <v>0</v>
      </c>
      <c r="AE58" s="97">
        <v>0</v>
      </c>
    </row>
    <row r="59" spans="2:31" s="74" customFormat="1" ht="15.75" customHeight="1">
      <c r="B59" s="96"/>
      <c r="C59" s="86"/>
      <c r="D59" s="86"/>
      <c r="E59" s="86" t="s">
        <v>127</v>
      </c>
      <c r="F59" s="97">
        <v>0</v>
      </c>
      <c r="G59" s="98">
        <v>0</v>
      </c>
      <c r="H59" s="99">
        <v>0</v>
      </c>
      <c r="I59" s="98">
        <v>0</v>
      </c>
      <c r="J59" s="101">
        <v>0</v>
      </c>
      <c r="K59" s="97">
        <v>0</v>
      </c>
      <c r="L59" s="98">
        <v>0</v>
      </c>
      <c r="M59" s="99">
        <v>0</v>
      </c>
      <c r="N59" s="98">
        <v>0</v>
      </c>
      <c r="O59" s="101">
        <v>0</v>
      </c>
      <c r="P59" s="97">
        <v>0</v>
      </c>
      <c r="Q59" s="98">
        <v>0</v>
      </c>
      <c r="R59" s="99">
        <v>0</v>
      </c>
      <c r="S59" s="98">
        <v>0</v>
      </c>
      <c r="T59" s="101">
        <v>0</v>
      </c>
      <c r="U59" s="100">
        <v>0</v>
      </c>
      <c r="V59" s="98">
        <v>0</v>
      </c>
      <c r="W59" s="99">
        <v>0</v>
      </c>
      <c r="X59" s="98">
        <v>0</v>
      </c>
      <c r="Y59" s="99">
        <v>0</v>
      </c>
      <c r="Z59" s="97">
        <v>0</v>
      </c>
      <c r="AA59" s="98">
        <v>0</v>
      </c>
      <c r="AB59" s="99">
        <v>0</v>
      </c>
      <c r="AC59" s="98">
        <v>0</v>
      </c>
      <c r="AD59" s="99">
        <v>0</v>
      </c>
      <c r="AE59" s="97">
        <v>0</v>
      </c>
    </row>
    <row r="60" spans="2:31" s="74" customFormat="1" ht="15.75" customHeight="1">
      <c r="B60" s="96"/>
      <c r="C60" s="86"/>
      <c r="D60" s="85"/>
      <c r="E60" s="86" t="s">
        <v>128</v>
      </c>
      <c r="F60" s="97">
        <v>0</v>
      </c>
      <c r="G60" s="98">
        <v>0</v>
      </c>
      <c r="H60" s="99">
        <v>0</v>
      </c>
      <c r="I60" s="98">
        <v>0</v>
      </c>
      <c r="J60" s="101">
        <v>0</v>
      </c>
      <c r="K60" s="97">
        <v>0</v>
      </c>
      <c r="L60" s="98">
        <v>0</v>
      </c>
      <c r="M60" s="99">
        <v>0</v>
      </c>
      <c r="N60" s="98">
        <v>0</v>
      </c>
      <c r="O60" s="101">
        <v>0</v>
      </c>
      <c r="P60" s="97">
        <v>0</v>
      </c>
      <c r="Q60" s="98">
        <v>0</v>
      </c>
      <c r="R60" s="99">
        <v>0</v>
      </c>
      <c r="S60" s="98">
        <v>0</v>
      </c>
      <c r="T60" s="101">
        <v>0</v>
      </c>
      <c r="U60" s="100">
        <v>0</v>
      </c>
      <c r="V60" s="98">
        <v>0</v>
      </c>
      <c r="W60" s="99">
        <v>0</v>
      </c>
      <c r="X60" s="98">
        <v>0</v>
      </c>
      <c r="Y60" s="99">
        <v>0</v>
      </c>
      <c r="Z60" s="97">
        <v>0</v>
      </c>
      <c r="AA60" s="98">
        <v>0</v>
      </c>
      <c r="AB60" s="99">
        <v>0</v>
      </c>
      <c r="AC60" s="98">
        <v>0</v>
      </c>
      <c r="AD60" s="99">
        <v>0</v>
      </c>
      <c r="AE60" s="97">
        <v>0</v>
      </c>
    </row>
    <row r="61" spans="2:31" s="74" customFormat="1" ht="15.75" customHeight="1">
      <c r="B61" s="96"/>
      <c r="C61" s="86"/>
      <c r="D61" s="85"/>
      <c r="E61" s="86" t="s">
        <v>129</v>
      </c>
      <c r="F61" s="97">
        <v>0</v>
      </c>
      <c r="G61" s="98">
        <v>0</v>
      </c>
      <c r="H61" s="99">
        <v>0</v>
      </c>
      <c r="I61" s="98">
        <v>0</v>
      </c>
      <c r="J61" s="101">
        <v>0</v>
      </c>
      <c r="K61" s="97">
        <v>0</v>
      </c>
      <c r="L61" s="98">
        <v>0</v>
      </c>
      <c r="M61" s="99">
        <v>0</v>
      </c>
      <c r="N61" s="98">
        <v>0</v>
      </c>
      <c r="O61" s="101">
        <v>0</v>
      </c>
      <c r="P61" s="97">
        <v>0</v>
      </c>
      <c r="Q61" s="98">
        <v>0</v>
      </c>
      <c r="R61" s="99">
        <v>0</v>
      </c>
      <c r="S61" s="98">
        <v>0</v>
      </c>
      <c r="T61" s="101">
        <v>0</v>
      </c>
      <c r="U61" s="100">
        <v>0</v>
      </c>
      <c r="V61" s="98">
        <v>0</v>
      </c>
      <c r="W61" s="99">
        <v>0</v>
      </c>
      <c r="X61" s="98">
        <v>0</v>
      </c>
      <c r="Y61" s="99">
        <v>0</v>
      </c>
      <c r="Z61" s="97">
        <v>0</v>
      </c>
      <c r="AA61" s="98">
        <v>0</v>
      </c>
      <c r="AB61" s="99">
        <v>0</v>
      </c>
      <c r="AC61" s="98">
        <v>0</v>
      </c>
      <c r="AD61" s="99">
        <v>0</v>
      </c>
      <c r="AE61" s="97">
        <v>0</v>
      </c>
    </row>
    <row r="62" spans="2:31" s="74" customFormat="1" ht="15.75" customHeight="1">
      <c r="B62" s="96"/>
      <c r="C62" s="86"/>
      <c r="D62" s="85"/>
      <c r="E62" s="86" t="s">
        <v>130</v>
      </c>
      <c r="F62" s="97">
        <v>0</v>
      </c>
      <c r="G62" s="98">
        <v>0</v>
      </c>
      <c r="H62" s="99">
        <v>0</v>
      </c>
      <c r="I62" s="98">
        <v>0</v>
      </c>
      <c r="J62" s="101">
        <v>0</v>
      </c>
      <c r="K62" s="97">
        <v>0</v>
      </c>
      <c r="L62" s="98">
        <v>0</v>
      </c>
      <c r="M62" s="99">
        <v>0</v>
      </c>
      <c r="N62" s="98">
        <v>0</v>
      </c>
      <c r="O62" s="101">
        <v>0</v>
      </c>
      <c r="P62" s="97">
        <v>0</v>
      </c>
      <c r="Q62" s="98">
        <v>0</v>
      </c>
      <c r="R62" s="99">
        <v>0</v>
      </c>
      <c r="S62" s="98">
        <v>0</v>
      </c>
      <c r="T62" s="101">
        <v>0</v>
      </c>
      <c r="U62" s="100">
        <v>0</v>
      </c>
      <c r="V62" s="98">
        <v>0</v>
      </c>
      <c r="W62" s="99">
        <v>0</v>
      </c>
      <c r="X62" s="98">
        <v>0</v>
      </c>
      <c r="Y62" s="99">
        <v>0</v>
      </c>
      <c r="Z62" s="97">
        <v>0</v>
      </c>
      <c r="AA62" s="98">
        <v>0</v>
      </c>
      <c r="AB62" s="99">
        <v>0</v>
      </c>
      <c r="AC62" s="98">
        <v>0</v>
      </c>
      <c r="AD62" s="99">
        <v>0</v>
      </c>
      <c r="AE62" s="97">
        <v>0</v>
      </c>
    </row>
    <row r="63" spans="2:31" s="74" customFormat="1" ht="15.75" customHeight="1">
      <c r="B63" s="96"/>
      <c r="C63" s="86"/>
      <c r="D63" s="85"/>
      <c r="E63" s="86" t="s">
        <v>131</v>
      </c>
      <c r="F63" s="97">
        <v>0</v>
      </c>
      <c r="G63" s="98">
        <v>0</v>
      </c>
      <c r="H63" s="99">
        <v>0</v>
      </c>
      <c r="I63" s="98">
        <v>0</v>
      </c>
      <c r="J63" s="101">
        <v>0</v>
      </c>
      <c r="K63" s="97">
        <v>0</v>
      </c>
      <c r="L63" s="98">
        <v>0</v>
      </c>
      <c r="M63" s="99">
        <v>0</v>
      </c>
      <c r="N63" s="98">
        <v>0</v>
      </c>
      <c r="O63" s="101">
        <v>0</v>
      </c>
      <c r="P63" s="97">
        <v>0</v>
      </c>
      <c r="Q63" s="98">
        <v>0</v>
      </c>
      <c r="R63" s="99">
        <v>0</v>
      </c>
      <c r="S63" s="98">
        <v>0</v>
      </c>
      <c r="T63" s="101">
        <v>0</v>
      </c>
      <c r="U63" s="100">
        <v>0</v>
      </c>
      <c r="V63" s="98">
        <v>0</v>
      </c>
      <c r="W63" s="99">
        <v>0</v>
      </c>
      <c r="X63" s="98">
        <v>0</v>
      </c>
      <c r="Y63" s="99">
        <v>0</v>
      </c>
      <c r="Z63" s="97">
        <v>0</v>
      </c>
      <c r="AA63" s="98">
        <v>0</v>
      </c>
      <c r="AB63" s="99">
        <v>0</v>
      </c>
      <c r="AC63" s="98">
        <v>0</v>
      </c>
      <c r="AD63" s="99">
        <v>0</v>
      </c>
      <c r="AE63" s="97">
        <v>0</v>
      </c>
    </row>
    <row r="64" spans="2:31" s="74" customFormat="1" ht="15.75" customHeight="1">
      <c r="B64" s="96"/>
      <c r="C64" s="86"/>
      <c r="D64" s="85"/>
      <c r="E64" s="86" t="s">
        <v>132</v>
      </c>
      <c r="F64" s="97">
        <v>0</v>
      </c>
      <c r="G64" s="98">
        <v>0</v>
      </c>
      <c r="H64" s="99">
        <v>0</v>
      </c>
      <c r="I64" s="98">
        <v>0</v>
      </c>
      <c r="J64" s="101">
        <v>0</v>
      </c>
      <c r="K64" s="97">
        <v>0</v>
      </c>
      <c r="L64" s="98">
        <v>0</v>
      </c>
      <c r="M64" s="99">
        <v>0</v>
      </c>
      <c r="N64" s="98">
        <v>0</v>
      </c>
      <c r="O64" s="101">
        <v>0</v>
      </c>
      <c r="P64" s="97">
        <v>0</v>
      </c>
      <c r="Q64" s="98">
        <v>0</v>
      </c>
      <c r="R64" s="99">
        <v>0</v>
      </c>
      <c r="S64" s="98">
        <v>0</v>
      </c>
      <c r="T64" s="101">
        <v>0</v>
      </c>
      <c r="U64" s="100">
        <v>0</v>
      </c>
      <c r="V64" s="98">
        <v>0</v>
      </c>
      <c r="W64" s="99">
        <v>0</v>
      </c>
      <c r="X64" s="98">
        <v>0</v>
      </c>
      <c r="Y64" s="99">
        <v>0</v>
      </c>
      <c r="Z64" s="97">
        <v>0</v>
      </c>
      <c r="AA64" s="98">
        <v>0</v>
      </c>
      <c r="AB64" s="99">
        <v>0</v>
      </c>
      <c r="AC64" s="98">
        <v>0</v>
      </c>
      <c r="AD64" s="99">
        <v>0</v>
      </c>
      <c r="AE64" s="97">
        <v>0</v>
      </c>
    </row>
    <row r="65" spans="2:31" s="74" customFormat="1" ht="15.75" customHeight="1">
      <c r="B65" s="96"/>
      <c r="C65" s="86"/>
      <c r="D65" s="85"/>
      <c r="E65" s="86"/>
      <c r="F65" s="102"/>
      <c r="G65" s="103"/>
      <c r="H65" s="104"/>
      <c r="I65" s="103"/>
      <c r="J65" s="105"/>
      <c r="K65" s="102"/>
      <c r="L65" s="103"/>
      <c r="M65" s="104"/>
      <c r="N65" s="103"/>
      <c r="O65" s="105"/>
      <c r="P65" s="102"/>
      <c r="Q65" s="103"/>
      <c r="R65" s="104"/>
      <c r="S65" s="103"/>
      <c r="T65" s="105"/>
      <c r="U65" s="106"/>
      <c r="V65" s="103"/>
      <c r="W65" s="104"/>
      <c r="X65" s="103"/>
      <c r="Y65" s="104"/>
      <c r="Z65" s="102"/>
      <c r="AA65" s="103"/>
      <c r="AB65" s="104"/>
      <c r="AC65" s="103"/>
      <c r="AD65" s="104"/>
      <c r="AE65" s="102"/>
    </row>
    <row r="66" spans="2:31" s="74" customFormat="1" ht="15.75" customHeight="1">
      <c r="B66" s="96"/>
      <c r="C66" s="86"/>
      <c r="D66" s="85" t="s">
        <v>133</v>
      </c>
      <c r="E66" s="86"/>
      <c r="F66" s="102"/>
      <c r="G66" s="103"/>
      <c r="H66" s="104"/>
      <c r="I66" s="103"/>
      <c r="J66" s="105"/>
      <c r="K66" s="102"/>
      <c r="L66" s="103"/>
      <c r="M66" s="104"/>
      <c r="N66" s="103"/>
      <c r="O66" s="105"/>
      <c r="P66" s="102"/>
      <c r="Q66" s="103"/>
      <c r="R66" s="104"/>
      <c r="S66" s="103"/>
      <c r="T66" s="105"/>
      <c r="U66" s="106"/>
      <c r="V66" s="103"/>
      <c r="W66" s="104"/>
      <c r="X66" s="103"/>
      <c r="Y66" s="104"/>
      <c r="Z66" s="102"/>
      <c r="AA66" s="103"/>
      <c r="AB66" s="104"/>
      <c r="AC66" s="103"/>
      <c r="AD66" s="104"/>
      <c r="AE66" s="102"/>
    </row>
    <row r="67" spans="2:31" s="74" customFormat="1" ht="15.75" customHeight="1">
      <c r="B67" s="96"/>
      <c r="C67" s="86"/>
      <c r="D67" s="85"/>
      <c r="E67" s="86" t="s">
        <v>134</v>
      </c>
      <c r="F67" s="97">
        <v>33900</v>
      </c>
      <c r="G67" s="98">
        <v>254</v>
      </c>
      <c r="H67" s="99">
        <v>38</v>
      </c>
      <c r="I67" s="98">
        <v>411</v>
      </c>
      <c r="J67" s="101">
        <v>58</v>
      </c>
      <c r="K67" s="97">
        <v>34077</v>
      </c>
      <c r="L67" s="98">
        <v>0</v>
      </c>
      <c r="M67" s="99">
        <v>109</v>
      </c>
      <c r="N67" s="98">
        <v>404</v>
      </c>
      <c r="O67" s="101">
        <v>129</v>
      </c>
      <c r="P67" s="97">
        <v>34501</v>
      </c>
      <c r="Q67" s="98">
        <v>519</v>
      </c>
      <c r="R67" s="99">
        <v>188</v>
      </c>
      <c r="S67" s="98">
        <v>592</v>
      </c>
      <c r="T67" s="101">
        <v>188</v>
      </c>
      <c r="U67" s="100">
        <v>34574</v>
      </c>
      <c r="V67" s="98">
        <v>195</v>
      </c>
      <c r="W67" s="99">
        <v>133</v>
      </c>
      <c r="X67" s="98">
        <v>253</v>
      </c>
      <c r="Y67" s="99">
        <v>136</v>
      </c>
      <c r="Z67" s="97">
        <v>34635</v>
      </c>
      <c r="AA67" s="98">
        <v>349</v>
      </c>
      <c r="AB67" s="99">
        <v>133</v>
      </c>
      <c r="AC67" s="98">
        <v>572</v>
      </c>
      <c r="AD67" s="99">
        <v>127</v>
      </c>
      <c r="AE67" s="97">
        <v>34852</v>
      </c>
    </row>
    <row r="68" spans="2:31" s="74" customFormat="1" ht="15.75" customHeight="1">
      <c r="B68" s="96"/>
      <c r="C68" s="86"/>
      <c r="D68" s="85"/>
      <c r="E68" s="86" t="s">
        <v>135</v>
      </c>
      <c r="F68" s="97">
        <v>15050</v>
      </c>
      <c r="G68" s="98">
        <v>34</v>
      </c>
      <c r="H68" s="99">
        <v>20</v>
      </c>
      <c r="I68" s="98">
        <v>325</v>
      </c>
      <c r="J68" s="101">
        <v>10</v>
      </c>
      <c r="K68" s="97">
        <v>15331</v>
      </c>
      <c r="L68" s="98">
        <v>63</v>
      </c>
      <c r="M68" s="99">
        <v>47</v>
      </c>
      <c r="N68" s="98">
        <v>290</v>
      </c>
      <c r="O68" s="101">
        <v>47</v>
      </c>
      <c r="P68" s="97">
        <v>15558</v>
      </c>
      <c r="Q68" s="98">
        <v>280</v>
      </c>
      <c r="R68" s="99">
        <v>140</v>
      </c>
      <c r="S68" s="98">
        <v>305</v>
      </c>
      <c r="T68" s="101">
        <v>140</v>
      </c>
      <c r="U68" s="100">
        <v>15583</v>
      </c>
      <c r="V68" s="98">
        <v>105</v>
      </c>
      <c r="W68" s="99">
        <v>73</v>
      </c>
      <c r="X68" s="98">
        <v>130</v>
      </c>
      <c r="Y68" s="99">
        <v>89</v>
      </c>
      <c r="Z68" s="97">
        <v>15624</v>
      </c>
      <c r="AA68" s="98">
        <v>188</v>
      </c>
      <c r="AB68" s="99">
        <v>59</v>
      </c>
      <c r="AC68" s="98">
        <v>294</v>
      </c>
      <c r="AD68" s="99">
        <v>79</v>
      </c>
      <c r="AE68" s="97">
        <v>15750</v>
      </c>
    </row>
    <row r="69" spans="2:31" s="74" customFormat="1" ht="15.75" customHeight="1">
      <c r="B69" s="96"/>
      <c r="C69" s="86"/>
      <c r="D69" s="85"/>
      <c r="E69" s="86" t="s">
        <v>136</v>
      </c>
      <c r="F69" s="97">
        <v>0</v>
      </c>
      <c r="G69" s="98">
        <v>0</v>
      </c>
      <c r="H69" s="99">
        <v>0</v>
      </c>
      <c r="I69" s="98">
        <v>0</v>
      </c>
      <c r="J69" s="101">
        <v>0</v>
      </c>
      <c r="K69" s="97">
        <v>0</v>
      </c>
      <c r="L69" s="98">
        <v>0</v>
      </c>
      <c r="M69" s="99">
        <v>0</v>
      </c>
      <c r="N69" s="98">
        <v>0</v>
      </c>
      <c r="O69" s="101">
        <v>0</v>
      </c>
      <c r="P69" s="97">
        <v>0</v>
      </c>
      <c r="Q69" s="98">
        <v>0</v>
      </c>
      <c r="R69" s="99">
        <v>0</v>
      </c>
      <c r="S69" s="98">
        <v>0</v>
      </c>
      <c r="T69" s="101">
        <v>0</v>
      </c>
      <c r="U69" s="100">
        <v>0</v>
      </c>
      <c r="V69" s="98">
        <v>0</v>
      </c>
      <c r="W69" s="99">
        <v>0</v>
      </c>
      <c r="X69" s="98">
        <v>0</v>
      </c>
      <c r="Y69" s="99">
        <v>0</v>
      </c>
      <c r="Z69" s="97">
        <v>0</v>
      </c>
      <c r="AA69" s="98">
        <v>0</v>
      </c>
      <c r="AB69" s="99">
        <v>0</v>
      </c>
      <c r="AC69" s="98">
        <v>0</v>
      </c>
      <c r="AD69" s="99">
        <v>0</v>
      </c>
      <c r="AE69" s="97">
        <v>0</v>
      </c>
    </row>
    <row r="70" spans="2:31" s="74" customFormat="1" ht="15.75" customHeight="1">
      <c r="B70" s="96"/>
      <c r="C70" s="86"/>
      <c r="D70" s="85"/>
      <c r="E70" s="86" t="s">
        <v>137</v>
      </c>
      <c r="F70" s="97">
        <v>0</v>
      </c>
      <c r="G70" s="98">
        <v>0</v>
      </c>
      <c r="H70" s="99">
        <v>0</v>
      </c>
      <c r="I70" s="98">
        <v>0</v>
      </c>
      <c r="J70" s="101">
        <v>0</v>
      </c>
      <c r="K70" s="97">
        <v>0</v>
      </c>
      <c r="L70" s="98">
        <v>0</v>
      </c>
      <c r="M70" s="99">
        <v>0</v>
      </c>
      <c r="N70" s="98">
        <v>0</v>
      </c>
      <c r="O70" s="101">
        <v>0</v>
      </c>
      <c r="P70" s="97">
        <v>0</v>
      </c>
      <c r="Q70" s="98">
        <v>0</v>
      </c>
      <c r="R70" s="99">
        <v>0</v>
      </c>
      <c r="S70" s="98">
        <v>0</v>
      </c>
      <c r="T70" s="101">
        <v>0</v>
      </c>
      <c r="U70" s="100">
        <v>0</v>
      </c>
      <c r="V70" s="98">
        <v>0</v>
      </c>
      <c r="W70" s="99">
        <v>0</v>
      </c>
      <c r="X70" s="98">
        <v>0</v>
      </c>
      <c r="Y70" s="99">
        <v>0</v>
      </c>
      <c r="Z70" s="97">
        <v>0</v>
      </c>
      <c r="AA70" s="98">
        <v>0</v>
      </c>
      <c r="AB70" s="99">
        <v>0</v>
      </c>
      <c r="AC70" s="98">
        <v>0</v>
      </c>
      <c r="AD70" s="99">
        <v>0</v>
      </c>
      <c r="AE70" s="97">
        <v>0</v>
      </c>
    </row>
    <row r="71" spans="2:31" s="74" customFormat="1" ht="15.75" customHeight="1" thickBot="1">
      <c r="B71" s="107"/>
      <c r="C71" s="108"/>
      <c r="D71" s="108"/>
      <c r="E71" s="108"/>
      <c r="F71" s="109"/>
      <c r="G71" s="110"/>
      <c r="H71" s="111"/>
      <c r="I71" s="110"/>
      <c r="J71" s="112"/>
      <c r="K71" s="113"/>
      <c r="L71" s="110"/>
      <c r="M71" s="111"/>
      <c r="N71" s="110"/>
      <c r="O71" s="112"/>
      <c r="P71" s="113"/>
      <c r="Q71" s="110"/>
      <c r="R71" s="111"/>
      <c r="S71" s="110"/>
      <c r="T71" s="112"/>
      <c r="U71" s="114"/>
      <c r="V71" s="110"/>
      <c r="W71" s="111"/>
      <c r="X71" s="110"/>
      <c r="Y71" s="111"/>
      <c r="Z71" s="113"/>
      <c r="AA71" s="110"/>
      <c r="AB71" s="111"/>
      <c r="AC71" s="110"/>
      <c r="AD71" s="111"/>
      <c r="AE71" s="113"/>
    </row>
    <row r="72" spans="2:31" s="74" customFormat="1" ht="15.75" customHeight="1">
      <c r="B72" s="115"/>
      <c r="C72" s="116" t="s">
        <v>138</v>
      </c>
      <c r="D72" s="116"/>
      <c r="E72" s="117"/>
      <c r="F72" s="118"/>
      <c r="G72" s="119"/>
      <c r="H72" s="120"/>
      <c r="I72" s="119"/>
      <c r="J72" s="121"/>
      <c r="K72" s="118"/>
      <c r="L72" s="119"/>
      <c r="M72" s="120"/>
      <c r="N72" s="119"/>
      <c r="O72" s="121"/>
      <c r="P72" s="118"/>
      <c r="Q72" s="119"/>
      <c r="R72" s="120"/>
      <c r="S72" s="119"/>
      <c r="T72" s="121"/>
      <c r="U72" s="122"/>
      <c r="V72" s="119"/>
      <c r="W72" s="120"/>
      <c r="X72" s="119"/>
      <c r="Y72" s="120"/>
      <c r="Z72" s="118"/>
      <c r="AA72" s="119"/>
      <c r="AB72" s="120"/>
      <c r="AC72" s="119"/>
      <c r="AD72" s="120"/>
      <c r="AE72" s="118"/>
    </row>
    <row r="73" spans="2:31" s="74" customFormat="1" ht="15.75" customHeight="1">
      <c r="B73" s="96"/>
      <c r="C73" s="86"/>
      <c r="D73" s="85" t="s">
        <v>90</v>
      </c>
      <c r="E73" s="86"/>
      <c r="F73" s="102"/>
      <c r="G73" s="103"/>
      <c r="H73" s="104"/>
      <c r="I73" s="103"/>
      <c r="J73" s="105"/>
      <c r="K73" s="102"/>
      <c r="L73" s="103"/>
      <c r="M73" s="104"/>
      <c r="N73" s="103"/>
      <c r="O73" s="105"/>
      <c r="P73" s="102"/>
      <c r="Q73" s="103"/>
      <c r="R73" s="104"/>
      <c r="S73" s="103"/>
      <c r="T73" s="105"/>
      <c r="U73" s="106"/>
      <c r="V73" s="103"/>
      <c r="W73" s="104"/>
      <c r="X73" s="103"/>
      <c r="Y73" s="104"/>
      <c r="Z73" s="102"/>
      <c r="AA73" s="103"/>
      <c r="AB73" s="104"/>
      <c r="AC73" s="103"/>
      <c r="AD73" s="104"/>
      <c r="AE73" s="102"/>
    </row>
    <row r="74" spans="2:31" s="74" customFormat="1" ht="15.75" customHeight="1">
      <c r="B74" s="96"/>
      <c r="C74" s="86"/>
      <c r="D74" s="86"/>
      <c r="E74" s="86" t="s">
        <v>139</v>
      </c>
      <c r="F74" s="97">
        <v>1032</v>
      </c>
      <c r="G74" s="98">
        <v>0</v>
      </c>
      <c r="H74" s="99">
        <v>6</v>
      </c>
      <c r="I74" s="98">
        <v>5</v>
      </c>
      <c r="J74" s="101">
        <v>6</v>
      </c>
      <c r="K74" s="97">
        <v>1037</v>
      </c>
      <c r="L74" s="98">
        <v>8</v>
      </c>
      <c r="M74" s="99">
        <v>8</v>
      </c>
      <c r="N74" s="98">
        <v>6</v>
      </c>
      <c r="O74" s="101">
        <v>8</v>
      </c>
      <c r="P74" s="97">
        <v>1035</v>
      </c>
      <c r="Q74" s="98">
        <v>3</v>
      </c>
      <c r="R74" s="99">
        <v>8</v>
      </c>
      <c r="S74" s="98">
        <v>5</v>
      </c>
      <c r="T74" s="101">
        <v>8</v>
      </c>
      <c r="U74" s="100">
        <v>1037</v>
      </c>
      <c r="V74" s="98">
        <v>5</v>
      </c>
      <c r="W74" s="99">
        <v>3.1</v>
      </c>
      <c r="X74" s="98">
        <v>4.3</v>
      </c>
      <c r="Y74" s="99">
        <v>1.9000000000000001</v>
      </c>
      <c r="Z74" s="97">
        <v>1035.1000000000001</v>
      </c>
      <c r="AA74" s="98">
        <v>0.6</v>
      </c>
      <c r="AB74" s="99">
        <v>9.6999999999999993</v>
      </c>
      <c r="AC74" s="98">
        <v>0.7</v>
      </c>
      <c r="AD74" s="99">
        <v>3.5</v>
      </c>
      <c r="AE74" s="97">
        <v>1029.0000000000002</v>
      </c>
    </row>
    <row r="75" spans="2:31" s="74" customFormat="1" ht="15.75" customHeight="1">
      <c r="B75" s="96"/>
      <c r="C75" s="86"/>
      <c r="D75" s="85"/>
      <c r="E75" s="86" t="s">
        <v>140</v>
      </c>
      <c r="F75" s="97">
        <v>0</v>
      </c>
      <c r="G75" s="98">
        <v>0</v>
      </c>
      <c r="H75" s="99">
        <v>0</v>
      </c>
      <c r="I75" s="98">
        <v>0</v>
      </c>
      <c r="J75" s="101">
        <v>0</v>
      </c>
      <c r="K75" s="97">
        <v>0</v>
      </c>
      <c r="L75" s="98">
        <v>0</v>
      </c>
      <c r="M75" s="99">
        <v>0</v>
      </c>
      <c r="N75" s="98">
        <v>0</v>
      </c>
      <c r="O75" s="101">
        <v>0</v>
      </c>
      <c r="P75" s="97">
        <v>0</v>
      </c>
      <c r="Q75" s="98">
        <v>0</v>
      </c>
      <c r="R75" s="99">
        <v>0</v>
      </c>
      <c r="S75" s="98">
        <v>0</v>
      </c>
      <c r="T75" s="101">
        <v>0</v>
      </c>
      <c r="U75" s="100">
        <v>0</v>
      </c>
      <c r="V75" s="98">
        <v>0</v>
      </c>
      <c r="W75" s="99">
        <v>0</v>
      </c>
      <c r="X75" s="98">
        <v>0</v>
      </c>
      <c r="Y75" s="99">
        <v>0</v>
      </c>
      <c r="Z75" s="97">
        <v>0</v>
      </c>
      <c r="AA75" s="98">
        <v>0</v>
      </c>
      <c r="AB75" s="99">
        <v>0</v>
      </c>
      <c r="AC75" s="98">
        <v>0</v>
      </c>
      <c r="AD75" s="99">
        <v>0</v>
      </c>
      <c r="AE75" s="97">
        <v>0</v>
      </c>
    </row>
    <row r="76" spans="2:31" s="74" customFormat="1" ht="15.75" customHeight="1">
      <c r="B76" s="96"/>
      <c r="C76" s="86"/>
      <c r="D76" s="85"/>
      <c r="E76" s="86" t="s">
        <v>141</v>
      </c>
      <c r="F76" s="97">
        <v>801</v>
      </c>
      <c r="G76" s="98">
        <v>0</v>
      </c>
      <c r="H76" s="99">
        <v>0</v>
      </c>
      <c r="I76" s="98">
        <v>0</v>
      </c>
      <c r="J76" s="101">
        <v>0</v>
      </c>
      <c r="K76" s="97">
        <v>801</v>
      </c>
      <c r="L76" s="98">
        <v>8</v>
      </c>
      <c r="M76" s="99">
        <v>0</v>
      </c>
      <c r="N76" s="98">
        <v>0</v>
      </c>
      <c r="O76" s="101">
        <v>0</v>
      </c>
      <c r="P76" s="97">
        <v>793</v>
      </c>
      <c r="Q76" s="98">
        <v>0</v>
      </c>
      <c r="R76" s="99">
        <v>0</v>
      </c>
      <c r="S76" s="98">
        <v>0</v>
      </c>
      <c r="T76" s="101">
        <v>0</v>
      </c>
      <c r="U76" s="100">
        <v>793</v>
      </c>
      <c r="V76" s="98">
        <v>0</v>
      </c>
      <c r="W76" s="99">
        <v>0</v>
      </c>
      <c r="X76" s="98">
        <v>0</v>
      </c>
      <c r="Y76" s="99">
        <v>0</v>
      </c>
      <c r="Z76" s="97">
        <v>793</v>
      </c>
      <c r="AA76" s="98">
        <v>0</v>
      </c>
      <c r="AB76" s="99">
        <v>0</v>
      </c>
      <c r="AC76" s="98">
        <v>0</v>
      </c>
      <c r="AD76" s="99">
        <v>0</v>
      </c>
      <c r="AE76" s="97">
        <v>793</v>
      </c>
    </row>
    <row r="77" spans="2:31" s="74" customFormat="1" ht="15.75" customHeight="1">
      <c r="B77" s="96"/>
      <c r="C77" s="86"/>
      <c r="D77" s="85"/>
      <c r="E77" s="86" t="s">
        <v>142</v>
      </c>
      <c r="F77" s="97">
        <v>0</v>
      </c>
      <c r="G77" s="98">
        <v>0</v>
      </c>
      <c r="H77" s="99">
        <v>0</v>
      </c>
      <c r="I77" s="98">
        <v>0</v>
      </c>
      <c r="J77" s="101">
        <v>0</v>
      </c>
      <c r="K77" s="97">
        <v>0</v>
      </c>
      <c r="L77" s="98">
        <v>0</v>
      </c>
      <c r="M77" s="99">
        <v>0</v>
      </c>
      <c r="N77" s="98">
        <v>0</v>
      </c>
      <c r="O77" s="101">
        <v>0</v>
      </c>
      <c r="P77" s="97">
        <v>0</v>
      </c>
      <c r="Q77" s="98">
        <v>0</v>
      </c>
      <c r="R77" s="99">
        <v>0</v>
      </c>
      <c r="S77" s="98">
        <v>0</v>
      </c>
      <c r="T77" s="101">
        <v>0</v>
      </c>
      <c r="U77" s="100">
        <v>0</v>
      </c>
      <c r="V77" s="98">
        <v>0</v>
      </c>
      <c r="W77" s="99">
        <v>0</v>
      </c>
      <c r="X77" s="98">
        <v>0</v>
      </c>
      <c r="Y77" s="99">
        <v>0</v>
      </c>
      <c r="Z77" s="97">
        <v>0</v>
      </c>
      <c r="AA77" s="98">
        <v>0</v>
      </c>
      <c r="AB77" s="99">
        <v>0</v>
      </c>
      <c r="AC77" s="98">
        <v>0</v>
      </c>
      <c r="AD77" s="99">
        <v>0</v>
      </c>
      <c r="AE77" s="97">
        <v>0</v>
      </c>
    </row>
    <row r="78" spans="2:31" s="74" customFormat="1" ht="15.75" customHeight="1">
      <c r="B78" s="96"/>
      <c r="C78" s="86"/>
      <c r="D78" s="85"/>
      <c r="E78" s="86"/>
      <c r="F78" s="102"/>
      <c r="G78" s="103"/>
      <c r="H78" s="104"/>
      <c r="I78" s="103"/>
      <c r="J78" s="105"/>
      <c r="K78" s="102"/>
      <c r="L78" s="103"/>
      <c r="M78" s="104"/>
      <c r="N78" s="103"/>
      <c r="O78" s="105"/>
      <c r="P78" s="102"/>
      <c r="Q78" s="103"/>
      <c r="R78" s="104"/>
      <c r="S78" s="103"/>
      <c r="T78" s="105"/>
      <c r="U78" s="106"/>
      <c r="V78" s="103"/>
      <c r="W78" s="104"/>
      <c r="X78" s="103"/>
      <c r="Y78" s="104"/>
      <c r="Z78" s="102"/>
      <c r="AA78" s="103"/>
      <c r="AB78" s="104"/>
      <c r="AC78" s="103"/>
      <c r="AD78" s="104"/>
      <c r="AE78" s="102"/>
    </row>
    <row r="79" spans="2:31" s="74" customFormat="1" ht="15.75" customHeight="1">
      <c r="B79" s="96"/>
      <c r="C79" s="86"/>
      <c r="D79" s="85" t="s">
        <v>93</v>
      </c>
      <c r="E79" s="86"/>
      <c r="F79" s="102"/>
      <c r="G79" s="103"/>
      <c r="H79" s="104"/>
      <c r="I79" s="103"/>
      <c r="J79" s="105"/>
      <c r="K79" s="102"/>
      <c r="L79" s="103"/>
      <c r="M79" s="104"/>
      <c r="N79" s="103"/>
      <c r="O79" s="105"/>
      <c r="P79" s="102"/>
      <c r="Q79" s="103"/>
      <c r="R79" s="104"/>
      <c r="S79" s="103"/>
      <c r="T79" s="105"/>
      <c r="U79" s="106"/>
      <c r="V79" s="103"/>
      <c r="W79" s="104"/>
      <c r="X79" s="103"/>
      <c r="Y79" s="104"/>
      <c r="Z79" s="102"/>
      <c r="AA79" s="103"/>
      <c r="AB79" s="104"/>
      <c r="AC79" s="103"/>
      <c r="AD79" s="104"/>
      <c r="AE79" s="102"/>
    </row>
    <row r="80" spans="2:31" s="74" customFormat="1" ht="15.75" customHeight="1">
      <c r="B80" s="96"/>
      <c r="C80" s="86"/>
      <c r="D80" s="86"/>
      <c r="E80" s="86" t="s">
        <v>143</v>
      </c>
      <c r="F80" s="97">
        <v>7723</v>
      </c>
      <c r="G80" s="98">
        <v>0</v>
      </c>
      <c r="H80" s="99">
        <v>58</v>
      </c>
      <c r="I80" s="98">
        <v>45</v>
      </c>
      <c r="J80" s="101">
        <v>43</v>
      </c>
      <c r="K80" s="97">
        <v>7753</v>
      </c>
      <c r="L80" s="98">
        <v>0</v>
      </c>
      <c r="M80" s="99">
        <v>0</v>
      </c>
      <c r="N80" s="98">
        <v>0</v>
      </c>
      <c r="O80" s="101">
        <v>0</v>
      </c>
      <c r="P80" s="97">
        <v>7753</v>
      </c>
      <c r="Q80" s="98">
        <v>168</v>
      </c>
      <c r="R80" s="99">
        <v>448</v>
      </c>
      <c r="S80" s="98">
        <v>97</v>
      </c>
      <c r="T80" s="101">
        <v>158</v>
      </c>
      <c r="U80" s="100">
        <v>7392</v>
      </c>
      <c r="V80" s="98">
        <v>50</v>
      </c>
      <c r="W80" s="99">
        <v>35</v>
      </c>
      <c r="X80" s="98">
        <v>43</v>
      </c>
      <c r="Y80" s="99">
        <v>22.7</v>
      </c>
      <c r="Z80" s="97">
        <v>7372.7</v>
      </c>
      <c r="AA80" s="98">
        <v>6</v>
      </c>
      <c r="AB80" s="99">
        <v>98.8</v>
      </c>
      <c r="AC80" s="98">
        <v>7</v>
      </c>
      <c r="AD80" s="99">
        <v>36.5</v>
      </c>
      <c r="AE80" s="97">
        <v>7311.4</v>
      </c>
    </row>
    <row r="81" spans="2:31" s="74" customFormat="1" ht="15.75" customHeight="1">
      <c r="B81" s="96"/>
      <c r="C81" s="86"/>
      <c r="D81" s="86"/>
      <c r="E81" s="86" t="s">
        <v>144</v>
      </c>
      <c r="F81" s="97">
        <v>730</v>
      </c>
      <c r="G81" s="98">
        <v>5</v>
      </c>
      <c r="H81" s="99">
        <v>0</v>
      </c>
      <c r="I81" s="98">
        <v>0</v>
      </c>
      <c r="J81" s="101">
        <v>0</v>
      </c>
      <c r="K81" s="97">
        <v>725</v>
      </c>
      <c r="L81" s="98">
        <v>0</v>
      </c>
      <c r="M81" s="99">
        <v>0</v>
      </c>
      <c r="N81" s="98">
        <v>0</v>
      </c>
      <c r="O81" s="101">
        <v>0</v>
      </c>
      <c r="P81" s="97">
        <v>725</v>
      </c>
      <c r="Q81" s="98">
        <v>0</v>
      </c>
      <c r="R81" s="99">
        <v>0</v>
      </c>
      <c r="S81" s="98">
        <v>0</v>
      </c>
      <c r="T81" s="101">
        <v>0</v>
      </c>
      <c r="U81" s="100">
        <v>725</v>
      </c>
      <c r="V81" s="98">
        <v>0</v>
      </c>
      <c r="W81" s="99">
        <v>0</v>
      </c>
      <c r="X81" s="98">
        <v>0</v>
      </c>
      <c r="Y81" s="99">
        <v>0</v>
      </c>
      <c r="Z81" s="97">
        <v>725</v>
      </c>
      <c r="AA81" s="98">
        <v>0</v>
      </c>
      <c r="AB81" s="99">
        <v>0</v>
      </c>
      <c r="AC81" s="98">
        <v>0</v>
      </c>
      <c r="AD81" s="99">
        <v>0</v>
      </c>
      <c r="AE81" s="97">
        <v>725</v>
      </c>
    </row>
    <row r="82" spans="2:31" s="74" customFormat="1" ht="15.75" customHeight="1">
      <c r="B82" s="96"/>
      <c r="C82" s="86"/>
      <c r="D82" s="85"/>
      <c r="E82" s="86" t="s">
        <v>145</v>
      </c>
      <c r="F82" s="97">
        <v>8891</v>
      </c>
      <c r="G82" s="98">
        <v>0</v>
      </c>
      <c r="H82" s="99">
        <v>0</v>
      </c>
      <c r="I82" s="98">
        <v>0</v>
      </c>
      <c r="J82" s="101">
        <v>0</v>
      </c>
      <c r="K82" s="97">
        <v>8891</v>
      </c>
      <c r="L82" s="98">
        <v>0</v>
      </c>
      <c r="M82" s="99">
        <v>0</v>
      </c>
      <c r="N82" s="98">
        <v>0</v>
      </c>
      <c r="O82" s="101">
        <v>0</v>
      </c>
      <c r="P82" s="97">
        <v>8891</v>
      </c>
      <c r="Q82" s="98">
        <v>0</v>
      </c>
      <c r="R82" s="99">
        <v>0</v>
      </c>
      <c r="S82" s="98">
        <v>0</v>
      </c>
      <c r="T82" s="101">
        <v>0</v>
      </c>
      <c r="U82" s="100">
        <v>8891</v>
      </c>
      <c r="V82" s="98">
        <v>0</v>
      </c>
      <c r="W82" s="99">
        <v>0</v>
      </c>
      <c r="X82" s="98">
        <v>0</v>
      </c>
      <c r="Y82" s="99">
        <v>0</v>
      </c>
      <c r="Z82" s="97">
        <v>8891</v>
      </c>
      <c r="AA82" s="98">
        <v>0</v>
      </c>
      <c r="AB82" s="99">
        <v>0</v>
      </c>
      <c r="AC82" s="98">
        <v>0</v>
      </c>
      <c r="AD82" s="99">
        <v>0</v>
      </c>
      <c r="AE82" s="97">
        <v>8891</v>
      </c>
    </row>
    <row r="83" spans="2:31" s="74" customFormat="1" ht="15.75" customHeight="1">
      <c r="B83" s="96"/>
      <c r="C83" s="86"/>
      <c r="D83" s="85"/>
      <c r="E83" s="86" t="s">
        <v>146</v>
      </c>
      <c r="F83" s="97">
        <v>672</v>
      </c>
      <c r="G83" s="98">
        <v>0</v>
      </c>
      <c r="H83" s="99">
        <v>0</v>
      </c>
      <c r="I83" s="98">
        <v>0</v>
      </c>
      <c r="J83" s="101">
        <v>0</v>
      </c>
      <c r="K83" s="97">
        <v>672</v>
      </c>
      <c r="L83" s="98">
        <v>3</v>
      </c>
      <c r="M83" s="99">
        <v>0</v>
      </c>
      <c r="N83" s="98">
        <v>0</v>
      </c>
      <c r="O83" s="101">
        <v>0</v>
      </c>
      <c r="P83" s="97">
        <v>669</v>
      </c>
      <c r="Q83" s="98">
        <v>0</v>
      </c>
      <c r="R83" s="99">
        <v>0</v>
      </c>
      <c r="S83" s="98">
        <v>0</v>
      </c>
      <c r="T83" s="101">
        <v>0</v>
      </c>
      <c r="U83" s="100">
        <v>669</v>
      </c>
      <c r="V83" s="98">
        <v>0</v>
      </c>
      <c r="W83" s="99">
        <v>0</v>
      </c>
      <c r="X83" s="98">
        <v>0</v>
      </c>
      <c r="Y83" s="99">
        <v>0</v>
      </c>
      <c r="Z83" s="97">
        <v>669</v>
      </c>
      <c r="AA83" s="98">
        <v>0</v>
      </c>
      <c r="AB83" s="99">
        <v>0</v>
      </c>
      <c r="AC83" s="98">
        <v>0</v>
      </c>
      <c r="AD83" s="99">
        <v>0</v>
      </c>
      <c r="AE83" s="97">
        <v>669</v>
      </c>
    </row>
    <row r="84" spans="2:31" s="74" customFormat="1" ht="15.75" customHeight="1">
      <c r="B84" s="96"/>
      <c r="C84" s="86"/>
      <c r="D84" s="86"/>
      <c r="E84" s="86"/>
      <c r="F84" s="102"/>
      <c r="G84" s="103"/>
      <c r="H84" s="104"/>
      <c r="I84" s="103"/>
      <c r="J84" s="105"/>
      <c r="K84" s="102"/>
      <c r="L84" s="103"/>
      <c r="M84" s="104"/>
      <c r="N84" s="103"/>
      <c r="O84" s="105"/>
      <c r="P84" s="102"/>
      <c r="Q84" s="103"/>
      <c r="R84" s="104"/>
      <c r="S84" s="103"/>
      <c r="T84" s="105"/>
      <c r="U84" s="106"/>
      <c r="V84" s="103"/>
      <c r="W84" s="104"/>
      <c r="X84" s="103"/>
      <c r="Y84" s="104"/>
      <c r="Z84" s="102"/>
      <c r="AA84" s="103"/>
      <c r="AB84" s="104"/>
      <c r="AC84" s="103"/>
      <c r="AD84" s="104"/>
      <c r="AE84" s="102"/>
    </row>
    <row r="85" spans="2:31" s="74" customFormat="1" ht="15.75" customHeight="1">
      <c r="B85" s="84"/>
      <c r="C85" s="86"/>
      <c r="D85" s="85" t="s">
        <v>114</v>
      </c>
      <c r="E85" s="86"/>
      <c r="F85" s="102"/>
      <c r="G85" s="103"/>
      <c r="H85" s="104"/>
      <c r="I85" s="103"/>
      <c r="J85" s="105"/>
      <c r="K85" s="102"/>
      <c r="L85" s="103"/>
      <c r="M85" s="104"/>
      <c r="N85" s="103"/>
      <c r="O85" s="105"/>
      <c r="P85" s="102"/>
      <c r="Q85" s="103"/>
      <c r="R85" s="104"/>
      <c r="S85" s="103"/>
      <c r="T85" s="105"/>
      <c r="U85" s="106"/>
      <c r="V85" s="103"/>
      <c r="W85" s="104"/>
      <c r="X85" s="103"/>
      <c r="Y85" s="104"/>
      <c r="Z85" s="102"/>
      <c r="AA85" s="103"/>
      <c r="AB85" s="104"/>
      <c r="AC85" s="103"/>
      <c r="AD85" s="104"/>
      <c r="AE85" s="102"/>
    </row>
    <row r="86" spans="2:31" s="74" customFormat="1" ht="15.75" customHeight="1">
      <c r="B86" s="84"/>
      <c r="C86" s="86"/>
      <c r="D86" s="85"/>
      <c r="E86" s="86" t="s">
        <v>147</v>
      </c>
      <c r="F86" s="97">
        <v>219</v>
      </c>
      <c r="G86" s="98">
        <v>0</v>
      </c>
      <c r="H86" s="99">
        <v>0</v>
      </c>
      <c r="I86" s="98">
        <v>1</v>
      </c>
      <c r="J86" s="101">
        <v>2</v>
      </c>
      <c r="K86" s="97">
        <v>222</v>
      </c>
      <c r="L86" s="98">
        <v>1</v>
      </c>
      <c r="M86" s="99">
        <v>3</v>
      </c>
      <c r="N86" s="98">
        <v>3</v>
      </c>
      <c r="O86" s="101">
        <v>3</v>
      </c>
      <c r="P86" s="97">
        <v>224</v>
      </c>
      <c r="Q86" s="98">
        <v>0</v>
      </c>
      <c r="R86" s="99">
        <v>7</v>
      </c>
      <c r="S86" s="98">
        <v>6</v>
      </c>
      <c r="T86" s="101">
        <v>10</v>
      </c>
      <c r="U86" s="100">
        <v>233</v>
      </c>
      <c r="V86" s="98">
        <v>1.9</v>
      </c>
      <c r="W86" s="99">
        <v>19.2</v>
      </c>
      <c r="X86" s="98">
        <v>11.9</v>
      </c>
      <c r="Y86" s="99">
        <v>4.5</v>
      </c>
      <c r="Z86" s="97">
        <v>228.3</v>
      </c>
      <c r="AA86" s="98">
        <v>1.1000000000000001</v>
      </c>
      <c r="AB86" s="99">
        <v>12.3</v>
      </c>
      <c r="AC86" s="98">
        <v>4.4000000000000004</v>
      </c>
      <c r="AD86" s="99">
        <v>2.2000000000000002</v>
      </c>
      <c r="AE86" s="97">
        <v>221.5</v>
      </c>
    </row>
    <row r="87" spans="2:31" s="74" customFormat="1" ht="15.75" customHeight="1">
      <c r="B87" s="84"/>
      <c r="C87" s="86"/>
      <c r="D87" s="85"/>
      <c r="E87" s="86" t="s">
        <v>148</v>
      </c>
      <c r="F87" s="97">
        <v>130</v>
      </c>
      <c r="G87" s="98">
        <v>0</v>
      </c>
      <c r="H87" s="99">
        <v>0</v>
      </c>
      <c r="I87" s="98">
        <v>0</v>
      </c>
      <c r="J87" s="101">
        <v>0</v>
      </c>
      <c r="K87" s="97">
        <v>130</v>
      </c>
      <c r="L87" s="98">
        <v>2</v>
      </c>
      <c r="M87" s="99">
        <v>0</v>
      </c>
      <c r="N87" s="98">
        <v>0</v>
      </c>
      <c r="O87" s="101">
        <v>0</v>
      </c>
      <c r="P87" s="97">
        <v>128</v>
      </c>
      <c r="Q87" s="98">
        <v>6</v>
      </c>
      <c r="R87" s="99">
        <v>0</v>
      </c>
      <c r="S87" s="98">
        <v>0</v>
      </c>
      <c r="T87" s="101">
        <v>0</v>
      </c>
      <c r="U87" s="100">
        <v>122</v>
      </c>
      <c r="V87" s="98">
        <v>0</v>
      </c>
      <c r="W87" s="99">
        <v>0</v>
      </c>
      <c r="X87" s="98">
        <v>0</v>
      </c>
      <c r="Y87" s="99">
        <v>0</v>
      </c>
      <c r="Z87" s="97">
        <v>122</v>
      </c>
      <c r="AA87" s="98">
        <v>0</v>
      </c>
      <c r="AB87" s="99">
        <v>0</v>
      </c>
      <c r="AC87" s="98">
        <v>0</v>
      </c>
      <c r="AD87" s="99">
        <v>0</v>
      </c>
      <c r="AE87" s="97">
        <v>122</v>
      </c>
    </row>
    <row r="88" spans="2:31" s="74" customFormat="1" ht="15.75" customHeight="1">
      <c r="B88" s="84"/>
      <c r="C88" s="86"/>
      <c r="D88" s="85"/>
      <c r="E88" s="86" t="s">
        <v>149</v>
      </c>
      <c r="F88" s="97">
        <v>9</v>
      </c>
      <c r="G88" s="98">
        <v>0</v>
      </c>
      <c r="H88" s="99">
        <v>0</v>
      </c>
      <c r="I88" s="98">
        <v>0</v>
      </c>
      <c r="J88" s="101">
        <v>0</v>
      </c>
      <c r="K88" s="97">
        <v>9</v>
      </c>
      <c r="L88" s="98">
        <v>0</v>
      </c>
      <c r="M88" s="99">
        <v>0</v>
      </c>
      <c r="N88" s="98">
        <v>0</v>
      </c>
      <c r="O88" s="101">
        <v>0</v>
      </c>
      <c r="P88" s="97">
        <v>9</v>
      </c>
      <c r="Q88" s="98">
        <v>0</v>
      </c>
      <c r="R88" s="99">
        <v>0</v>
      </c>
      <c r="S88" s="98">
        <v>0</v>
      </c>
      <c r="T88" s="101">
        <v>0</v>
      </c>
      <c r="U88" s="100">
        <v>9</v>
      </c>
      <c r="V88" s="98">
        <v>0</v>
      </c>
      <c r="W88" s="99">
        <v>0</v>
      </c>
      <c r="X88" s="98">
        <v>0</v>
      </c>
      <c r="Y88" s="99">
        <v>0</v>
      </c>
      <c r="Z88" s="97">
        <v>9</v>
      </c>
      <c r="AA88" s="98">
        <v>0</v>
      </c>
      <c r="AB88" s="99">
        <v>0</v>
      </c>
      <c r="AC88" s="98">
        <v>0</v>
      </c>
      <c r="AD88" s="99">
        <v>0</v>
      </c>
      <c r="AE88" s="97">
        <v>9</v>
      </c>
    </row>
    <row r="89" spans="2:31" s="74" customFormat="1" ht="15.75" customHeight="1">
      <c r="B89" s="84"/>
      <c r="C89" s="86"/>
      <c r="D89" s="85"/>
      <c r="E89" s="86" t="s">
        <v>150</v>
      </c>
      <c r="F89" s="97">
        <v>8</v>
      </c>
      <c r="G89" s="98">
        <v>0</v>
      </c>
      <c r="H89" s="99">
        <v>0</v>
      </c>
      <c r="I89" s="98">
        <v>0</v>
      </c>
      <c r="J89" s="101">
        <v>0</v>
      </c>
      <c r="K89" s="97">
        <v>8</v>
      </c>
      <c r="L89" s="98">
        <v>0</v>
      </c>
      <c r="M89" s="99">
        <v>0</v>
      </c>
      <c r="N89" s="98">
        <v>0</v>
      </c>
      <c r="O89" s="101">
        <v>0</v>
      </c>
      <c r="P89" s="97">
        <v>8</v>
      </c>
      <c r="Q89" s="98">
        <v>0</v>
      </c>
      <c r="R89" s="99">
        <v>0</v>
      </c>
      <c r="S89" s="98">
        <v>0</v>
      </c>
      <c r="T89" s="101">
        <v>0</v>
      </c>
      <c r="U89" s="100">
        <v>8</v>
      </c>
      <c r="V89" s="98">
        <v>0</v>
      </c>
      <c r="W89" s="99">
        <v>0</v>
      </c>
      <c r="X89" s="98">
        <v>0</v>
      </c>
      <c r="Y89" s="99">
        <v>0</v>
      </c>
      <c r="Z89" s="97">
        <v>8</v>
      </c>
      <c r="AA89" s="98">
        <v>0</v>
      </c>
      <c r="AB89" s="99">
        <v>0</v>
      </c>
      <c r="AC89" s="98">
        <v>0</v>
      </c>
      <c r="AD89" s="99">
        <v>0</v>
      </c>
      <c r="AE89" s="97">
        <v>8</v>
      </c>
    </row>
    <row r="90" spans="2:31" s="74" customFormat="1" ht="15.75" customHeight="1">
      <c r="B90" s="84"/>
      <c r="C90" s="86"/>
      <c r="D90" s="85"/>
      <c r="E90" s="86" t="s">
        <v>151</v>
      </c>
      <c r="F90" s="97">
        <v>8</v>
      </c>
      <c r="G90" s="98">
        <v>0</v>
      </c>
      <c r="H90" s="99">
        <v>0</v>
      </c>
      <c r="I90" s="98">
        <v>0</v>
      </c>
      <c r="J90" s="101">
        <v>0</v>
      </c>
      <c r="K90" s="97">
        <v>8</v>
      </c>
      <c r="L90" s="98">
        <v>0</v>
      </c>
      <c r="M90" s="99">
        <v>0</v>
      </c>
      <c r="N90" s="98">
        <v>0</v>
      </c>
      <c r="O90" s="101">
        <v>0</v>
      </c>
      <c r="P90" s="97">
        <v>8</v>
      </c>
      <c r="Q90" s="98">
        <v>0</v>
      </c>
      <c r="R90" s="99">
        <v>0</v>
      </c>
      <c r="S90" s="98">
        <v>0</v>
      </c>
      <c r="T90" s="101">
        <v>0</v>
      </c>
      <c r="U90" s="100">
        <v>8</v>
      </c>
      <c r="V90" s="98">
        <v>0</v>
      </c>
      <c r="W90" s="99">
        <v>0</v>
      </c>
      <c r="X90" s="98">
        <v>0</v>
      </c>
      <c r="Y90" s="99">
        <v>0</v>
      </c>
      <c r="Z90" s="97">
        <v>8</v>
      </c>
      <c r="AA90" s="98">
        <v>0</v>
      </c>
      <c r="AB90" s="99">
        <v>0</v>
      </c>
      <c r="AC90" s="98">
        <v>0</v>
      </c>
      <c r="AD90" s="99">
        <v>0</v>
      </c>
      <c r="AE90" s="97">
        <v>8</v>
      </c>
    </row>
    <row r="91" spans="2:31" s="74" customFormat="1" ht="15.75" customHeight="1">
      <c r="B91" s="84"/>
      <c r="C91" s="86"/>
      <c r="D91" s="85"/>
      <c r="E91" s="86" t="s">
        <v>152</v>
      </c>
      <c r="F91" s="97">
        <v>0</v>
      </c>
      <c r="G91" s="98">
        <v>0</v>
      </c>
      <c r="H91" s="99">
        <v>0</v>
      </c>
      <c r="I91" s="98">
        <v>0</v>
      </c>
      <c r="J91" s="101">
        <v>0</v>
      </c>
      <c r="K91" s="97">
        <v>0</v>
      </c>
      <c r="L91" s="98">
        <v>0</v>
      </c>
      <c r="M91" s="99">
        <v>0</v>
      </c>
      <c r="N91" s="98">
        <v>0</v>
      </c>
      <c r="O91" s="101">
        <v>0</v>
      </c>
      <c r="P91" s="97">
        <v>0</v>
      </c>
      <c r="Q91" s="98">
        <v>0</v>
      </c>
      <c r="R91" s="99">
        <v>0</v>
      </c>
      <c r="S91" s="98">
        <v>0</v>
      </c>
      <c r="T91" s="101">
        <v>0</v>
      </c>
      <c r="U91" s="100">
        <v>0</v>
      </c>
      <c r="V91" s="98">
        <v>0</v>
      </c>
      <c r="W91" s="99">
        <v>0</v>
      </c>
      <c r="X91" s="98">
        <v>0</v>
      </c>
      <c r="Y91" s="99">
        <v>0</v>
      </c>
      <c r="Z91" s="97">
        <v>0</v>
      </c>
      <c r="AA91" s="98">
        <v>0</v>
      </c>
      <c r="AB91" s="99">
        <v>0</v>
      </c>
      <c r="AC91" s="98">
        <v>0</v>
      </c>
      <c r="AD91" s="99">
        <v>0</v>
      </c>
      <c r="AE91" s="97">
        <v>0</v>
      </c>
    </row>
    <row r="92" spans="2:31" s="74" customFormat="1" ht="15.75" customHeight="1">
      <c r="B92" s="84"/>
      <c r="C92" s="86"/>
      <c r="D92" s="86"/>
      <c r="E92" s="86"/>
      <c r="F92" s="102"/>
      <c r="G92" s="103"/>
      <c r="H92" s="104"/>
      <c r="I92" s="103"/>
      <c r="J92" s="105"/>
      <c r="K92" s="102"/>
      <c r="L92" s="103"/>
      <c r="M92" s="104"/>
      <c r="N92" s="103"/>
      <c r="O92" s="105"/>
      <c r="P92" s="102"/>
      <c r="Q92" s="103"/>
      <c r="R92" s="104"/>
      <c r="S92" s="103"/>
      <c r="T92" s="105"/>
      <c r="U92" s="106"/>
      <c r="V92" s="103"/>
      <c r="W92" s="104"/>
      <c r="X92" s="103"/>
      <c r="Y92" s="104"/>
      <c r="Z92" s="102"/>
      <c r="AA92" s="103"/>
      <c r="AB92" s="104"/>
      <c r="AC92" s="103"/>
      <c r="AD92" s="104"/>
      <c r="AE92" s="102"/>
    </row>
    <row r="93" spans="2:31" s="74" customFormat="1" ht="15.75" customHeight="1">
      <c r="B93" s="84"/>
      <c r="C93" s="86"/>
      <c r="D93" s="85" t="s">
        <v>117</v>
      </c>
      <c r="E93" s="86"/>
      <c r="F93" s="102"/>
      <c r="G93" s="103"/>
      <c r="H93" s="104"/>
      <c r="I93" s="103"/>
      <c r="J93" s="105"/>
      <c r="K93" s="102"/>
      <c r="L93" s="103"/>
      <c r="M93" s="104"/>
      <c r="N93" s="103"/>
      <c r="O93" s="105"/>
      <c r="P93" s="102"/>
      <c r="Q93" s="103"/>
      <c r="R93" s="104"/>
      <c r="S93" s="103"/>
      <c r="T93" s="105"/>
      <c r="U93" s="106"/>
      <c r="V93" s="103"/>
      <c r="W93" s="104"/>
      <c r="X93" s="103"/>
      <c r="Y93" s="104"/>
      <c r="Z93" s="102"/>
      <c r="AA93" s="103"/>
      <c r="AB93" s="104"/>
      <c r="AC93" s="103"/>
      <c r="AD93" s="104"/>
      <c r="AE93" s="102"/>
    </row>
    <row r="94" spans="2:31" s="74" customFormat="1" ht="15.75" customHeight="1">
      <c r="B94" s="84"/>
      <c r="C94" s="86"/>
      <c r="D94" s="86"/>
      <c r="E94" s="86" t="s">
        <v>153</v>
      </c>
      <c r="F94" s="97">
        <v>0</v>
      </c>
      <c r="G94" s="98">
        <v>0</v>
      </c>
      <c r="H94" s="99">
        <v>0</v>
      </c>
      <c r="I94" s="98">
        <v>0</v>
      </c>
      <c r="J94" s="101">
        <v>0</v>
      </c>
      <c r="K94" s="97">
        <v>0</v>
      </c>
      <c r="L94" s="98">
        <v>0</v>
      </c>
      <c r="M94" s="99">
        <v>0</v>
      </c>
      <c r="N94" s="98">
        <v>0</v>
      </c>
      <c r="O94" s="101">
        <v>0</v>
      </c>
      <c r="P94" s="97">
        <v>0</v>
      </c>
      <c r="Q94" s="98">
        <v>0</v>
      </c>
      <c r="R94" s="99">
        <v>0</v>
      </c>
      <c r="S94" s="98">
        <v>0</v>
      </c>
      <c r="T94" s="101">
        <v>0</v>
      </c>
      <c r="U94" s="100">
        <v>0</v>
      </c>
      <c r="V94" s="98" t="s">
        <v>986</v>
      </c>
      <c r="W94" s="99">
        <v>0</v>
      </c>
      <c r="X94" s="98" t="s">
        <v>986</v>
      </c>
      <c r="Y94" s="99">
        <v>0</v>
      </c>
      <c r="Z94" s="97">
        <v>0</v>
      </c>
      <c r="AA94" s="98" t="s">
        <v>986</v>
      </c>
      <c r="AB94" s="99">
        <v>0</v>
      </c>
      <c r="AC94" s="98" t="s">
        <v>986</v>
      </c>
      <c r="AD94" s="99">
        <v>0</v>
      </c>
      <c r="AE94" s="97">
        <v>0</v>
      </c>
    </row>
    <row r="95" spans="2:31" s="74" customFormat="1" ht="15.75" customHeight="1">
      <c r="B95" s="84"/>
      <c r="C95" s="86"/>
      <c r="D95" s="85"/>
      <c r="E95" s="86"/>
      <c r="F95" s="102"/>
      <c r="G95" s="103"/>
      <c r="H95" s="104"/>
      <c r="I95" s="103"/>
      <c r="J95" s="105"/>
      <c r="K95" s="102"/>
      <c r="L95" s="103"/>
      <c r="M95" s="104"/>
      <c r="N95" s="103"/>
      <c r="O95" s="105"/>
      <c r="P95" s="102"/>
      <c r="Q95" s="103"/>
      <c r="R95" s="104"/>
      <c r="S95" s="103"/>
      <c r="T95" s="105"/>
      <c r="U95" s="106"/>
      <c r="V95" s="103"/>
      <c r="W95" s="104"/>
      <c r="X95" s="103"/>
      <c r="Y95" s="104"/>
      <c r="Z95" s="102"/>
      <c r="AA95" s="103"/>
      <c r="AB95" s="104"/>
      <c r="AC95" s="103"/>
      <c r="AD95" s="104"/>
      <c r="AE95" s="102"/>
    </row>
    <row r="96" spans="2:31" s="74" customFormat="1" ht="15.75" customHeight="1">
      <c r="B96" s="84"/>
      <c r="C96" s="86"/>
      <c r="D96" s="85" t="s">
        <v>100</v>
      </c>
      <c r="E96" s="86"/>
      <c r="F96" s="102"/>
      <c r="G96" s="103"/>
      <c r="H96" s="104"/>
      <c r="I96" s="103"/>
      <c r="J96" s="105"/>
      <c r="K96" s="102"/>
      <c r="L96" s="103"/>
      <c r="M96" s="104"/>
      <c r="N96" s="103"/>
      <c r="O96" s="105"/>
      <c r="P96" s="102"/>
      <c r="Q96" s="103"/>
      <c r="R96" s="104"/>
      <c r="S96" s="103"/>
      <c r="T96" s="105"/>
      <c r="U96" s="106"/>
      <c r="V96" s="103"/>
      <c r="W96" s="104"/>
      <c r="X96" s="103"/>
      <c r="Y96" s="104"/>
      <c r="Z96" s="102"/>
      <c r="AA96" s="103"/>
      <c r="AB96" s="104"/>
      <c r="AC96" s="103"/>
      <c r="AD96" s="104"/>
      <c r="AE96" s="102"/>
    </row>
    <row r="97" spans="2:31" s="74" customFormat="1" ht="15.75" customHeight="1">
      <c r="B97" s="84"/>
      <c r="C97" s="86"/>
      <c r="D97" s="85"/>
      <c r="E97" s="117" t="s">
        <v>154</v>
      </c>
      <c r="F97" s="97">
        <v>85</v>
      </c>
      <c r="G97" s="98">
        <v>0</v>
      </c>
      <c r="H97" s="99">
        <v>0</v>
      </c>
      <c r="I97" s="98">
        <v>0</v>
      </c>
      <c r="J97" s="101">
        <v>0</v>
      </c>
      <c r="K97" s="97">
        <v>85</v>
      </c>
      <c r="L97" s="98">
        <v>0</v>
      </c>
      <c r="M97" s="99">
        <v>0</v>
      </c>
      <c r="N97" s="98">
        <v>0</v>
      </c>
      <c r="O97" s="101">
        <v>0</v>
      </c>
      <c r="P97" s="97">
        <v>85</v>
      </c>
      <c r="Q97" s="98">
        <v>0</v>
      </c>
      <c r="R97" s="99">
        <v>0</v>
      </c>
      <c r="S97" s="98">
        <v>0</v>
      </c>
      <c r="T97" s="101">
        <v>0</v>
      </c>
      <c r="U97" s="100">
        <v>85</v>
      </c>
      <c r="V97" s="98">
        <v>0</v>
      </c>
      <c r="W97" s="99">
        <v>10</v>
      </c>
      <c r="X97" s="98">
        <v>0</v>
      </c>
      <c r="Y97" s="99">
        <v>10</v>
      </c>
      <c r="Z97" s="97">
        <v>85</v>
      </c>
      <c r="AA97" s="98">
        <v>0</v>
      </c>
      <c r="AB97" s="99">
        <v>4</v>
      </c>
      <c r="AC97" s="98">
        <v>3</v>
      </c>
      <c r="AD97" s="99">
        <v>4</v>
      </c>
      <c r="AE97" s="97">
        <v>88</v>
      </c>
    </row>
    <row r="98" spans="2:31" s="74" customFormat="1" ht="15.75" customHeight="1">
      <c r="B98" s="84"/>
      <c r="C98" s="86"/>
      <c r="D98" s="85"/>
      <c r="E98" s="117" t="s">
        <v>155</v>
      </c>
      <c r="F98" s="97">
        <v>307</v>
      </c>
      <c r="G98" s="98">
        <v>0</v>
      </c>
      <c r="H98" s="99">
        <v>0</v>
      </c>
      <c r="I98" s="98">
        <v>1</v>
      </c>
      <c r="J98" s="101">
        <v>0</v>
      </c>
      <c r="K98" s="97">
        <v>308</v>
      </c>
      <c r="L98" s="98">
        <v>4</v>
      </c>
      <c r="M98" s="99">
        <v>3</v>
      </c>
      <c r="N98" s="98">
        <v>1</v>
      </c>
      <c r="O98" s="101">
        <v>3</v>
      </c>
      <c r="P98" s="97">
        <v>305</v>
      </c>
      <c r="Q98" s="98">
        <v>0</v>
      </c>
      <c r="R98" s="99">
        <v>0</v>
      </c>
      <c r="S98" s="98">
        <v>0</v>
      </c>
      <c r="T98" s="101">
        <v>0</v>
      </c>
      <c r="U98" s="100">
        <v>305</v>
      </c>
      <c r="V98" s="98">
        <v>0</v>
      </c>
      <c r="W98" s="99">
        <v>18</v>
      </c>
      <c r="X98" s="98">
        <v>0</v>
      </c>
      <c r="Y98" s="99">
        <v>18</v>
      </c>
      <c r="Z98" s="97">
        <v>305</v>
      </c>
      <c r="AA98" s="98">
        <v>0</v>
      </c>
      <c r="AB98" s="99">
        <v>9</v>
      </c>
      <c r="AC98" s="98">
        <v>0</v>
      </c>
      <c r="AD98" s="99">
        <v>9</v>
      </c>
      <c r="AE98" s="97">
        <v>305</v>
      </c>
    </row>
    <row r="99" spans="2:31" s="74" customFormat="1" ht="15.75" customHeight="1">
      <c r="B99" s="84"/>
      <c r="C99" s="86"/>
      <c r="D99" s="85"/>
      <c r="E99" s="117" t="s">
        <v>156</v>
      </c>
      <c r="F99" s="97">
        <v>0</v>
      </c>
      <c r="G99" s="98">
        <v>0</v>
      </c>
      <c r="H99" s="99">
        <v>0</v>
      </c>
      <c r="I99" s="98">
        <v>0</v>
      </c>
      <c r="J99" s="101">
        <v>0</v>
      </c>
      <c r="K99" s="97">
        <v>0</v>
      </c>
      <c r="L99" s="98">
        <v>0</v>
      </c>
      <c r="M99" s="99">
        <v>0</v>
      </c>
      <c r="N99" s="98">
        <v>0</v>
      </c>
      <c r="O99" s="101">
        <v>0</v>
      </c>
      <c r="P99" s="97">
        <v>0</v>
      </c>
      <c r="Q99" s="98">
        <v>0</v>
      </c>
      <c r="R99" s="99">
        <v>0</v>
      </c>
      <c r="S99" s="98">
        <v>0</v>
      </c>
      <c r="T99" s="101">
        <v>0</v>
      </c>
      <c r="U99" s="100">
        <v>0</v>
      </c>
      <c r="V99" s="98">
        <v>0</v>
      </c>
      <c r="W99" s="99">
        <v>0</v>
      </c>
      <c r="X99" s="98">
        <v>0</v>
      </c>
      <c r="Y99" s="99">
        <v>0</v>
      </c>
      <c r="Z99" s="97">
        <v>0</v>
      </c>
      <c r="AA99" s="98">
        <v>0</v>
      </c>
      <c r="AB99" s="99">
        <v>0</v>
      </c>
      <c r="AC99" s="98">
        <v>0</v>
      </c>
      <c r="AD99" s="99">
        <v>0</v>
      </c>
      <c r="AE99" s="97">
        <v>0</v>
      </c>
    </row>
    <row r="100" spans="2:31" s="74" customFormat="1" ht="15.75" customHeight="1">
      <c r="B100" s="84"/>
      <c r="C100" s="86"/>
      <c r="D100" s="85"/>
      <c r="E100" s="117" t="s">
        <v>157</v>
      </c>
      <c r="F100" s="97">
        <v>0</v>
      </c>
      <c r="G100" s="98">
        <v>0</v>
      </c>
      <c r="H100" s="99">
        <v>0</v>
      </c>
      <c r="I100" s="98">
        <v>0</v>
      </c>
      <c r="J100" s="101">
        <v>0</v>
      </c>
      <c r="K100" s="97">
        <v>0</v>
      </c>
      <c r="L100" s="98">
        <v>0</v>
      </c>
      <c r="M100" s="99">
        <v>0</v>
      </c>
      <c r="N100" s="98">
        <v>0</v>
      </c>
      <c r="O100" s="101">
        <v>0</v>
      </c>
      <c r="P100" s="97">
        <v>0</v>
      </c>
      <c r="Q100" s="98">
        <v>0</v>
      </c>
      <c r="R100" s="99">
        <v>0</v>
      </c>
      <c r="S100" s="98">
        <v>0</v>
      </c>
      <c r="T100" s="101">
        <v>0</v>
      </c>
      <c r="U100" s="100">
        <v>0</v>
      </c>
      <c r="V100" s="98">
        <v>0</v>
      </c>
      <c r="W100" s="99">
        <v>0</v>
      </c>
      <c r="X100" s="98">
        <v>0</v>
      </c>
      <c r="Y100" s="99">
        <v>0</v>
      </c>
      <c r="Z100" s="97">
        <v>0</v>
      </c>
      <c r="AA100" s="98">
        <v>0</v>
      </c>
      <c r="AB100" s="99">
        <v>0</v>
      </c>
      <c r="AC100" s="98">
        <v>0</v>
      </c>
      <c r="AD100" s="99">
        <v>0</v>
      </c>
      <c r="AE100" s="97">
        <v>0</v>
      </c>
    </row>
    <row r="101" spans="2:31" s="74" customFormat="1" ht="15.75" customHeight="1">
      <c r="B101" s="84"/>
      <c r="C101" s="86"/>
      <c r="D101" s="85"/>
      <c r="E101" s="117" t="s">
        <v>158</v>
      </c>
      <c r="F101" s="97">
        <v>0</v>
      </c>
      <c r="G101" s="98">
        <v>0</v>
      </c>
      <c r="H101" s="99">
        <v>0</v>
      </c>
      <c r="I101" s="98">
        <v>0</v>
      </c>
      <c r="J101" s="101">
        <v>0</v>
      </c>
      <c r="K101" s="97">
        <v>0</v>
      </c>
      <c r="L101" s="98">
        <v>0</v>
      </c>
      <c r="M101" s="99">
        <v>0</v>
      </c>
      <c r="N101" s="98">
        <v>0</v>
      </c>
      <c r="O101" s="101">
        <v>0</v>
      </c>
      <c r="P101" s="97">
        <v>0</v>
      </c>
      <c r="Q101" s="98">
        <v>0</v>
      </c>
      <c r="R101" s="99">
        <v>0</v>
      </c>
      <c r="S101" s="98">
        <v>0</v>
      </c>
      <c r="T101" s="101">
        <v>0</v>
      </c>
      <c r="U101" s="100">
        <v>0</v>
      </c>
      <c r="V101" s="98">
        <v>0</v>
      </c>
      <c r="W101" s="99">
        <v>0</v>
      </c>
      <c r="X101" s="98">
        <v>0</v>
      </c>
      <c r="Y101" s="99">
        <v>0</v>
      </c>
      <c r="Z101" s="97">
        <v>0</v>
      </c>
      <c r="AA101" s="98">
        <v>0</v>
      </c>
      <c r="AB101" s="99">
        <v>0</v>
      </c>
      <c r="AC101" s="98">
        <v>0</v>
      </c>
      <c r="AD101" s="99">
        <v>0</v>
      </c>
      <c r="AE101" s="97">
        <v>0</v>
      </c>
    </row>
    <row r="102" spans="2:31" s="74" customFormat="1" ht="15.75" customHeight="1">
      <c r="B102" s="84"/>
      <c r="C102" s="86"/>
      <c r="D102" s="85"/>
      <c r="E102" s="117" t="s">
        <v>159</v>
      </c>
      <c r="F102" s="97">
        <v>1438</v>
      </c>
      <c r="G102" s="98">
        <v>0</v>
      </c>
      <c r="H102" s="99">
        <v>0</v>
      </c>
      <c r="I102" s="98">
        <v>0</v>
      </c>
      <c r="J102" s="101">
        <v>0</v>
      </c>
      <c r="K102" s="97">
        <v>1438</v>
      </c>
      <c r="L102" s="98">
        <v>0</v>
      </c>
      <c r="M102" s="99">
        <v>0</v>
      </c>
      <c r="N102" s="98">
        <v>0</v>
      </c>
      <c r="O102" s="101">
        <v>0</v>
      </c>
      <c r="P102" s="97">
        <v>1438</v>
      </c>
      <c r="Q102" s="98">
        <v>0</v>
      </c>
      <c r="R102" s="99">
        <v>0</v>
      </c>
      <c r="S102" s="98">
        <v>0</v>
      </c>
      <c r="T102" s="101">
        <v>6</v>
      </c>
      <c r="U102" s="100">
        <v>1444</v>
      </c>
      <c r="V102" s="98">
        <v>0</v>
      </c>
      <c r="W102" s="99">
        <v>0</v>
      </c>
      <c r="X102" s="98">
        <v>0</v>
      </c>
      <c r="Y102" s="99">
        <v>0</v>
      </c>
      <c r="Z102" s="97">
        <v>1444</v>
      </c>
      <c r="AA102" s="98">
        <v>0</v>
      </c>
      <c r="AB102" s="99">
        <v>0</v>
      </c>
      <c r="AC102" s="98">
        <v>0</v>
      </c>
      <c r="AD102" s="99">
        <v>0</v>
      </c>
      <c r="AE102" s="97">
        <v>1444</v>
      </c>
    </row>
    <row r="103" spans="2:31" s="74" customFormat="1" ht="15.75" customHeight="1">
      <c r="B103" s="84"/>
      <c r="C103" s="86"/>
      <c r="D103" s="85"/>
      <c r="E103" s="117" t="s">
        <v>160</v>
      </c>
      <c r="F103" s="97">
        <v>71</v>
      </c>
      <c r="G103" s="98">
        <v>0</v>
      </c>
      <c r="H103" s="99">
        <v>0</v>
      </c>
      <c r="I103" s="98">
        <v>0</v>
      </c>
      <c r="J103" s="101">
        <v>0</v>
      </c>
      <c r="K103" s="97">
        <v>71</v>
      </c>
      <c r="L103" s="98">
        <v>0</v>
      </c>
      <c r="M103" s="99">
        <v>0</v>
      </c>
      <c r="N103" s="98">
        <v>0</v>
      </c>
      <c r="O103" s="101">
        <v>1</v>
      </c>
      <c r="P103" s="97">
        <v>72</v>
      </c>
      <c r="Q103" s="98">
        <v>0</v>
      </c>
      <c r="R103" s="99">
        <v>0</v>
      </c>
      <c r="S103" s="98">
        <v>0</v>
      </c>
      <c r="T103" s="101">
        <v>5</v>
      </c>
      <c r="U103" s="100">
        <v>77</v>
      </c>
      <c r="V103" s="98">
        <v>0</v>
      </c>
      <c r="W103" s="99">
        <v>0</v>
      </c>
      <c r="X103" s="98">
        <v>0</v>
      </c>
      <c r="Y103" s="99">
        <v>0</v>
      </c>
      <c r="Z103" s="97">
        <v>77</v>
      </c>
      <c r="AA103" s="98">
        <v>0</v>
      </c>
      <c r="AB103" s="99">
        <v>0</v>
      </c>
      <c r="AC103" s="98">
        <v>0</v>
      </c>
      <c r="AD103" s="99">
        <v>0</v>
      </c>
      <c r="AE103" s="97">
        <v>77</v>
      </c>
    </row>
    <row r="104" spans="2:31" s="74" customFormat="1" ht="15.75" customHeight="1">
      <c r="B104" s="84"/>
      <c r="C104" s="86"/>
      <c r="D104" s="85"/>
      <c r="E104" s="117" t="s">
        <v>161</v>
      </c>
      <c r="F104" s="97">
        <v>561</v>
      </c>
      <c r="G104" s="98">
        <v>0</v>
      </c>
      <c r="H104" s="99">
        <v>0</v>
      </c>
      <c r="I104" s="98">
        <v>0</v>
      </c>
      <c r="J104" s="101">
        <v>0</v>
      </c>
      <c r="K104" s="97">
        <v>561</v>
      </c>
      <c r="L104" s="98">
        <v>0</v>
      </c>
      <c r="M104" s="99">
        <v>0</v>
      </c>
      <c r="N104" s="98">
        <v>0</v>
      </c>
      <c r="O104" s="101">
        <v>0</v>
      </c>
      <c r="P104" s="97">
        <v>561</v>
      </c>
      <c r="Q104" s="98">
        <v>0</v>
      </c>
      <c r="R104" s="99">
        <v>0</v>
      </c>
      <c r="S104" s="98">
        <v>0</v>
      </c>
      <c r="T104" s="101">
        <v>14</v>
      </c>
      <c r="U104" s="100">
        <v>575</v>
      </c>
      <c r="V104" s="98">
        <v>0</v>
      </c>
      <c r="W104" s="99">
        <v>0</v>
      </c>
      <c r="X104" s="98">
        <v>0</v>
      </c>
      <c r="Y104" s="99">
        <v>0</v>
      </c>
      <c r="Z104" s="97">
        <v>575</v>
      </c>
      <c r="AA104" s="98">
        <v>0</v>
      </c>
      <c r="AB104" s="99">
        <v>0</v>
      </c>
      <c r="AC104" s="98">
        <v>0</v>
      </c>
      <c r="AD104" s="99">
        <v>0</v>
      </c>
      <c r="AE104" s="97">
        <v>575</v>
      </c>
    </row>
    <row r="105" spans="2:31" s="74" customFormat="1" ht="15.75" customHeight="1">
      <c r="B105" s="84"/>
      <c r="C105" s="86"/>
      <c r="D105" s="85"/>
      <c r="E105" s="86"/>
      <c r="F105" s="102"/>
      <c r="G105" s="103"/>
      <c r="H105" s="104"/>
      <c r="I105" s="103"/>
      <c r="J105" s="105"/>
      <c r="K105" s="102"/>
      <c r="L105" s="103"/>
      <c r="M105" s="104"/>
      <c r="N105" s="103"/>
      <c r="O105" s="105"/>
      <c r="P105" s="102"/>
      <c r="Q105" s="103"/>
      <c r="R105" s="104"/>
      <c r="S105" s="103"/>
      <c r="T105" s="105"/>
      <c r="U105" s="106"/>
      <c r="V105" s="103"/>
      <c r="W105" s="104"/>
      <c r="X105" s="103"/>
      <c r="Y105" s="104"/>
      <c r="Z105" s="102"/>
      <c r="AA105" s="103"/>
      <c r="AB105" s="104"/>
      <c r="AC105" s="103"/>
      <c r="AD105" s="104"/>
      <c r="AE105" s="102"/>
    </row>
    <row r="106" spans="2:31" s="74" customFormat="1" ht="15.75" customHeight="1">
      <c r="B106" s="84"/>
      <c r="C106" s="86"/>
      <c r="D106" s="85" t="s">
        <v>133</v>
      </c>
      <c r="E106" s="86"/>
      <c r="F106" s="102"/>
      <c r="G106" s="103"/>
      <c r="H106" s="104"/>
      <c r="I106" s="103"/>
      <c r="J106" s="105"/>
      <c r="K106" s="102"/>
      <c r="L106" s="103"/>
      <c r="M106" s="104"/>
      <c r="N106" s="103"/>
      <c r="O106" s="105"/>
      <c r="P106" s="102"/>
      <c r="Q106" s="103"/>
      <c r="R106" s="104"/>
      <c r="S106" s="103"/>
      <c r="T106" s="105"/>
      <c r="U106" s="106"/>
      <c r="V106" s="103"/>
      <c r="W106" s="104"/>
      <c r="X106" s="103"/>
      <c r="Y106" s="104"/>
      <c r="Z106" s="102"/>
      <c r="AA106" s="103"/>
      <c r="AB106" s="104"/>
      <c r="AC106" s="103"/>
      <c r="AD106" s="104"/>
      <c r="AE106" s="102"/>
    </row>
    <row r="107" spans="2:31" s="74" customFormat="1" ht="15.75" customHeight="1">
      <c r="B107" s="84"/>
      <c r="C107" s="86"/>
      <c r="D107" s="86"/>
      <c r="E107" s="117" t="s">
        <v>162</v>
      </c>
      <c r="F107" s="97">
        <v>3</v>
      </c>
      <c r="G107" s="98">
        <v>0</v>
      </c>
      <c r="H107" s="99">
        <v>0</v>
      </c>
      <c r="I107" s="98">
        <v>0</v>
      </c>
      <c r="J107" s="101">
        <v>0</v>
      </c>
      <c r="K107" s="97">
        <v>3</v>
      </c>
      <c r="L107" s="98">
        <v>0</v>
      </c>
      <c r="M107" s="99">
        <v>0</v>
      </c>
      <c r="N107" s="98">
        <v>0</v>
      </c>
      <c r="O107" s="101">
        <v>0</v>
      </c>
      <c r="P107" s="97">
        <v>3</v>
      </c>
      <c r="Q107" s="98">
        <v>0</v>
      </c>
      <c r="R107" s="99">
        <v>0</v>
      </c>
      <c r="S107" s="98">
        <v>0</v>
      </c>
      <c r="T107" s="101">
        <v>0</v>
      </c>
      <c r="U107" s="100">
        <v>3</v>
      </c>
      <c r="V107" s="98">
        <v>0</v>
      </c>
      <c r="W107" s="99">
        <v>0</v>
      </c>
      <c r="X107" s="98">
        <v>0</v>
      </c>
      <c r="Y107" s="99">
        <v>0</v>
      </c>
      <c r="Z107" s="97">
        <v>3</v>
      </c>
      <c r="AA107" s="98">
        <v>0</v>
      </c>
      <c r="AB107" s="99">
        <v>0</v>
      </c>
      <c r="AC107" s="98">
        <v>0</v>
      </c>
      <c r="AD107" s="99">
        <v>0</v>
      </c>
      <c r="AE107" s="97">
        <v>3</v>
      </c>
    </row>
    <row r="108" spans="2:31" s="74" customFormat="1" ht="15.75" customHeight="1">
      <c r="B108" s="84"/>
      <c r="C108" s="86"/>
      <c r="D108" s="86"/>
      <c r="E108" s="117" t="s">
        <v>163</v>
      </c>
      <c r="F108" s="97">
        <v>208</v>
      </c>
      <c r="G108" s="98">
        <v>4</v>
      </c>
      <c r="H108" s="99">
        <v>0</v>
      </c>
      <c r="I108" s="98">
        <v>0</v>
      </c>
      <c r="J108" s="101">
        <v>0</v>
      </c>
      <c r="K108" s="97">
        <v>204</v>
      </c>
      <c r="L108" s="98">
        <v>0</v>
      </c>
      <c r="M108" s="99">
        <v>0</v>
      </c>
      <c r="N108" s="98">
        <v>0</v>
      </c>
      <c r="O108" s="101">
        <v>0</v>
      </c>
      <c r="P108" s="97">
        <v>204</v>
      </c>
      <c r="Q108" s="98">
        <v>2</v>
      </c>
      <c r="R108" s="99">
        <v>1</v>
      </c>
      <c r="S108" s="98">
        <v>1</v>
      </c>
      <c r="T108" s="101">
        <v>1</v>
      </c>
      <c r="U108" s="100">
        <v>203</v>
      </c>
      <c r="V108" s="98">
        <v>0</v>
      </c>
      <c r="W108" s="99">
        <v>16</v>
      </c>
      <c r="X108" s="98">
        <v>0</v>
      </c>
      <c r="Y108" s="99">
        <v>16</v>
      </c>
      <c r="Z108" s="97">
        <v>203</v>
      </c>
      <c r="AA108" s="98">
        <v>2</v>
      </c>
      <c r="AB108" s="99">
        <v>0</v>
      </c>
      <c r="AC108" s="98">
        <v>2</v>
      </c>
      <c r="AD108" s="99">
        <v>0</v>
      </c>
      <c r="AE108" s="97">
        <v>203</v>
      </c>
    </row>
    <row r="109" spans="2:31" s="74" customFormat="1" ht="15.75" customHeight="1">
      <c r="B109" s="84"/>
      <c r="C109" s="86"/>
      <c r="D109" s="86"/>
      <c r="E109" s="86" t="s">
        <v>164</v>
      </c>
      <c r="F109" s="97">
        <v>190</v>
      </c>
      <c r="G109" s="98">
        <v>0</v>
      </c>
      <c r="H109" s="99">
        <v>0</v>
      </c>
      <c r="I109" s="98">
        <v>0</v>
      </c>
      <c r="J109" s="101">
        <v>0</v>
      </c>
      <c r="K109" s="97">
        <v>190</v>
      </c>
      <c r="L109" s="98">
        <v>0</v>
      </c>
      <c r="M109" s="99">
        <v>0</v>
      </c>
      <c r="N109" s="98">
        <v>0</v>
      </c>
      <c r="O109" s="101">
        <v>0</v>
      </c>
      <c r="P109" s="97">
        <v>190</v>
      </c>
      <c r="Q109" s="98">
        <v>0</v>
      </c>
      <c r="R109" s="99">
        <v>0</v>
      </c>
      <c r="S109" s="98">
        <v>0</v>
      </c>
      <c r="T109" s="101">
        <v>3</v>
      </c>
      <c r="U109" s="100">
        <v>193</v>
      </c>
      <c r="V109" s="98">
        <v>0</v>
      </c>
      <c r="W109" s="99">
        <v>0</v>
      </c>
      <c r="X109" s="98">
        <v>0</v>
      </c>
      <c r="Y109" s="99">
        <v>0</v>
      </c>
      <c r="Z109" s="97">
        <v>193</v>
      </c>
      <c r="AA109" s="98">
        <v>0</v>
      </c>
      <c r="AB109" s="99">
        <v>0</v>
      </c>
      <c r="AC109" s="98">
        <v>0</v>
      </c>
      <c r="AD109" s="99">
        <v>0</v>
      </c>
      <c r="AE109" s="97">
        <v>193</v>
      </c>
    </row>
    <row r="110" spans="2:31" s="74" customFormat="1" ht="15.75" customHeight="1">
      <c r="B110" s="84"/>
      <c r="C110" s="86"/>
      <c r="D110" s="86"/>
      <c r="E110" s="117" t="s">
        <v>165</v>
      </c>
      <c r="F110" s="97">
        <v>78</v>
      </c>
      <c r="G110" s="98">
        <v>0</v>
      </c>
      <c r="H110" s="99">
        <v>0</v>
      </c>
      <c r="I110" s="98">
        <v>0</v>
      </c>
      <c r="J110" s="101">
        <v>1</v>
      </c>
      <c r="K110" s="97">
        <v>79</v>
      </c>
      <c r="L110" s="98">
        <v>0</v>
      </c>
      <c r="M110" s="99">
        <v>0</v>
      </c>
      <c r="N110" s="98">
        <v>0</v>
      </c>
      <c r="O110" s="101">
        <v>1</v>
      </c>
      <c r="P110" s="97">
        <v>80</v>
      </c>
      <c r="Q110" s="98">
        <v>0</v>
      </c>
      <c r="R110" s="99">
        <v>4</v>
      </c>
      <c r="S110" s="98">
        <v>1</v>
      </c>
      <c r="T110" s="101">
        <v>5</v>
      </c>
      <c r="U110" s="100">
        <v>82</v>
      </c>
      <c r="V110" s="98">
        <v>0</v>
      </c>
      <c r="W110" s="99">
        <v>3</v>
      </c>
      <c r="X110" s="98">
        <v>0</v>
      </c>
      <c r="Y110" s="99">
        <v>3</v>
      </c>
      <c r="Z110" s="97">
        <v>82</v>
      </c>
      <c r="AA110" s="98">
        <v>0</v>
      </c>
      <c r="AB110" s="99">
        <v>0</v>
      </c>
      <c r="AC110" s="98">
        <v>0</v>
      </c>
      <c r="AD110" s="99">
        <v>0</v>
      </c>
      <c r="AE110" s="97">
        <v>82</v>
      </c>
    </row>
    <row r="111" spans="2:31" s="74" customFormat="1" ht="15.75" customHeight="1">
      <c r="B111" s="84"/>
      <c r="C111" s="86"/>
      <c r="D111" s="85"/>
      <c r="E111" s="86" t="s">
        <v>166</v>
      </c>
      <c r="F111" s="97">
        <v>42</v>
      </c>
      <c r="G111" s="98">
        <v>0</v>
      </c>
      <c r="H111" s="99">
        <v>0</v>
      </c>
      <c r="I111" s="98">
        <v>0</v>
      </c>
      <c r="J111" s="101">
        <v>0</v>
      </c>
      <c r="K111" s="97">
        <v>42</v>
      </c>
      <c r="L111" s="98">
        <v>0</v>
      </c>
      <c r="M111" s="99">
        <v>0</v>
      </c>
      <c r="N111" s="98">
        <v>0</v>
      </c>
      <c r="O111" s="101">
        <v>0</v>
      </c>
      <c r="P111" s="97">
        <v>42</v>
      </c>
      <c r="Q111" s="98">
        <v>0</v>
      </c>
      <c r="R111" s="99">
        <v>0</v>
      </c>
      <c r="S111" s="98">
        <v>0</v>
      </c>
      <c r="T111" s="101">
        <v>4</v>
      </c>
      <c r="U111" s="100">
        <v>46</v>
      </c>
      <c r="V111" s="98">
        <v>0</v>
      </c>
      <c r="W111" s="99">
        <v>0</v>
      </c>
      <c r="X111" s="98">
        <v>0</v>
      </c>
      <c r="Y111" s="99">
        <v>0</v>
      </c>
      <c r="Z111" s="97">
        <v>46</v>
      </c>
      <c r="AA111" s="98">
        <v>0</v>
      </c>
      <c r="AB111" s="99">
        <v>0</v>
      </c>
      <c r="AC111" s="98">
        <v>0</v>
      </c>
      <c r="AD111" s="99">
        <v>0</v>
      </c>
      <c r="AE111" s="97">
        <v>46</v>
      </c>
    </row>
    <row r="112" spans="2:31" s="74" customFormat="1" ht="15.75" customHeight="1" thickBot="1">
      <c r="B112" s="107"/>
      <c r="C112" s="108"/>
      <c r="D112" s="108"/>
      <c r="E112" s="108"/>
      <c r="F112" s="109"/>
      <c r="G112" s="110"/>
      <c r="H112" s="111"/>
      <c r="I112" s="110"/>
      <c r="J112" s="112"/>
      <c r="K112" s="113"/>
      <c r="L112" s="110"/>
      <c r="M112" s="111"/>
      <c r="N112" s="110"/>
      <c r="O112" s="112"/>
      <c r="P112" s="113"/>
      <c r="Q112" s="110"/>
      <c r="R112" s="111"/>
      <c r="S112" s="110"/>
      <c r="T112" s="112"/>
      <c r="U112" s="114"/>
      <c r="V112" s="110"/>
      <c r="W112" s="111"/>
      <c r="X112" s="110"/>
      <c r="Y112" s="111"/>
      <c r="Z112" s="113"/>
      <c r="AA112" s="110"/>
      <c r="AB112" s="111"/>
      <c r="AC112" s="110"/>
      <c r="AD112" s="111"/>
      <c r="AE112" s="113"/>
    </row>
    <row r="113" spans="2:31" s="74" customFormat="1" ht="15.75" customHeight="1">
      <c r="B113" s="115"/>
      <c r="C113" s="116" t="s">
        <v>167</v>
      </c>
      <c r="D113" s="116"/>
      <c r="E113" s="117"/>
      <c r="F113" s="102"/>
      <c r="G113" s="103"/>
      <c r="H113" s="104"/>
      <c r="I113" s="103"/>
      <c r="J113" s="105"/>
      <c r="K113" s="102"/>
      <c r="L113" s="103"/>
      <c r="M113" s="104"/>
      <c r="N113" s="103"/>
      <c r="O113" s="105"/>
      <c r="P113" s="102"/>
      <c r="Q113" s="103"/>
      <c r="R113" s="104"/>
      <c r="S113" s="103"/>
      <c r="T113" s="105"/>
      <c r="U113" s="106"/>
      <c r="V113" s="103"/>
      <c r="W113" s="104"/>
      <c r="X113" s="103"/>
      <c r="Y113" s="104"/>
      <c r="Z113" s="102"/>
      <c r="AA113" s="103"/>
      <c r="AB113" s="104"/>
      <c r="AC113" s="103"/>
      <c r="AD113" s="104"/>
      <c r="AE113" s="102"/>
    </row>
    <row r="114" spans="2:31" s="74" customFormat="1" ht="15.75" customHeight="1">
      <c r="B114" s="84"/>
      <c r="C114" s="86"/>
      <c r="D114" s="85" t="s">
        <v>90</v>
      </c>
      <c r="E114" s="86"/>
      <c r="F114" s="102"/>
      <c r="G114" s="103"/>
      <c r="H114" s="104"/>
      <c r="I114" s="103"/>
      <c r="J114" s="105"/>
      <c r="K114" s="102"/>
      <c r="L114" s="103"/>
      <c r="M114" s="104"/>
      <c r="N114" s="103"/>
      <c r="O114" s="105"/>
      <c r="P114" s="102"/>
      <c r="Q114" s="103"/>
      <c r="R114" s="104"/>
      <c r="S114" s="103"/>
      <c r="T114" s="105"/>
      <c r="U114" s="106"/>
      <c r="V114" s="103"/>
      <c r="W114" s="104"/>
      <c r="X114" s="103"/>
      <c r="Y114" s="104"/>
      <c r="Z114" s="102"/>
      <c r="AA114" s="103"/>
      <c r="AB114" s="104"/>
      <c r="AC114" s="103"/>
      <c r="AD114" s="104"/>
      <c r="AE114" s="102"/>
    </row>
    <row r="115" spans="2:31" s="74" customFormat="1" ht="15.75" customHeight="1">
      <c r="B115" s="84"/>
      <c r="C115" s="86"/>
      <c r="D115" s="85"/>
      <c r="E115" s="86" t="s">
        <v>168</v>
      </c>
      <c r="F115" s="97">
        <v>0</v>
      </c>
      <c r="G115" s="98">
        <v>0</v>
      </c>
      <c r="H115" s="99">
        <v>0</v>
      </c>
      <c r="I115" s="98">
        <v>0</v>
      </c>
      <c r="J115" s="101">
        <v>0</v>
      </c>
      <c r="K115" s="97">
        <v>0</v>
      </c>
      <c r="L115" s="98">
        <v>0</v>
      </c>
      <c r="M115" s="99">
        <v>0</v>
      </c>
      <c r="N115" s="98">
        <v>0</v>
      </c>
      <c r="O115" s="101">
        <v>0</v>
      </c>
      <c r="P115" s="97">
        <v>0</v>
      </c>
      <c r="Q115" s="98">
        <v>0</v>
      </c>
      <c r="R115" s="99">
        <v>0</v>
      </c>
      <c r="S115" s="98">
        <v>0</v>
      </c>
      <c r="T115" s="101">
        <v>0</v>
      </c>
      <c r="U115" s="100">
        <v>0</v>
      </c>
      <c r="V115" s="98">
        <v>0</v>
      </c>
      <c r="W115" s="99">
        <v>0</v>
      </c>
      <c r="X115" s="98">
        <v>0</v>
      </c>
      <c r="Y115" s="99">
        <v>0</v>
      </c>
      <c r="Z115" s="97">
        <v>0</v>
      </c>
      <c r="AA115" s="98">
        <v>0</v>
      </c>
      <c r="AB115" s="99">
        <v>0</v>
      </c>
      <c r="AC115" s="98">
        <v>0</v>
      </c>
      <c r="AD115" s="99">
        <v>0</v>
      </c>
      <c r="AE115" s="97">
        <v>0</v>
      </c>
    </row>
    <row r="116" spans="2:31" s="74" customFormat="1" ht="15.75" customHeight="1">
      <c r="B116" s="84"/>
      <c r="C116" s="86"/>
      <c r="D116" s="85"/>
      <c r="E116" s="86" t="s">
        <v>169</v>
      </c>
      <c r="F116" s="97">
        <v>1403</v>
      </c>
      <c r="G116" s="98">
        <v>11</v>
      </c>
      <c r="H116" s="99">
        <v>0</v>
      </c>
      <c r="I116" s="98">
        <v>0</v>
      </c>
      <c r="J116" s="101">
        <v>0</v>
      </c>
      <c r="K116" s="97">
        <v>1392</v>
      </c>
      <c r="L116" s="98">
        <v>0</v>
      </c>
      <c r="M116" s="99">
        <v>2</v>
      </c>
      <c r="N116" s="98">
        <v>0</v>
      </c>
      <c r="O116" s="101">
        <v>2</v>
      </c>
      <c r="P116" s="97">
        <v>1392</v>
      </c>
      <c r="Q116" s="98">
        <v>24</v>
      </c>
      <c r="R116" s="99">
        <v>0</v>
      </c>
      <c r="S116" s="98">
        <v>0</v>
      </c>
      <c r="T116" s="101">
        <v>0</v>
      </c>
      <c r="U116" s="100">
        <v>1368</v>
      </c>
      <c r="V116" s="98">
        <v>0</v>
      </c>
      <c r="W116" s="99">
        <v>200</v>
      </c>
      <c r="X116" s="98">
        <v>0</v>
      </c>
      <c r="Y116" s="99">
        <v>200</v>
      </c>
      <c r="Z116" s="97">
        <v>1368</v>
      </c>
      <c r="AA116" s="98">
        <v>0</v>
      </c>
      <c r="AB116" s="99">
        <v>46</v>
      </c>
      <c r="AC116" s="98">
        <v>0</v>
      </c>
      <c r="AD116" s="99">
        <v>46</v>
      </c>
      <c r="AE116" s="97">
        <v>1368</v>
      </c>
    </row>
    <row r="117" spans="2:31" s="74" customFormat="1" ht="15.75" customHeight="1">
      <c r="B117" s="84"/>
      <c r="C117" s="86"/>
      <c r="D117" s="85"/>
      <c r="E117" s="117"/>
      <c r="F117" s="102"/>
      <c r="G117" s="103"/>
      <c r="H117" s="104"/>
      <c r="I117" s="103"/>
      <c r="J117" s="105"/>
      <c r="K117" s="102"/>
      <c r="L117" s="103"/>
      <c r="M117" s="104"/>
      <c r="N117" s="103"/>
      <c r="O117" s="105"/>
      <c r="P117" s="102"/>
      <c r="Q117" s="103"/>
      <c r="R117" s="104"/>
      <c r="S117" s="103"/>
      <c r="T117" s="105"/>
      <c r="U117" s="106"/>
      <c r="V117" s="103"/>
      <c r="W117" s="104"/>
      <c r="X117" s="103"/>
      <c r="Y117" s="104"/>
      <c r="Z117" s="102"/>
      <c r="AA117" s="103"/>
      <c r="AB117" s="104"/>
      <c r="AC117" s="103"/>
      <c r="AD117" s="104"/>
      <c r="AE117" s="102"/>
    </row>
    <row r="118" spans="2:31" s="74" customFormat="1" ht="15.75" customHeight="1">
      <c r="B118" s="84"/>
      <c r="C118" s="86"/>
      <c r="D118" s="85" t="s">
        <v>93</v>
      </c>
      <c r="E118" s="86"/>
      <c r="F118" s="102"/>
      <c r="G118" s="103"/>
      <c r="H118" s="104"/>
      <c r="I118" s="103"/>
      <c r="J118" s="105"/>
      <c r="K118" s="102"/>
      <c r="L118" s="103"/>
      <c r="M118" s="104"/>
      <c r="N118" s="103"/>
      <c r="O118" s="105"/>
      <c r="P118" s="102"/>
      <c r="Q118" s="103"/>
      <c r="R118" s="104"/>
      <c r="S118" s="103"/>
      <c r="T118" s="105"/>
      <c r="U118" s="106"/>
      <c r="V118" s="103"/>
      <c r="W118" s="104"/>
      <c r="X118" s="103"/>
      <c r="Y118" s="104"/>
      <c r="Z118" s="102"/>
      <c r="AA118" s="103"/>
      <c r="AB118" s="104"/>
      <c r="AC118" s="103"/>
      <c r="AD118" s="104"/>
      <c r="AE118" s="102"/>
    </row>
    <row r="119" spans="2:31" s="74" customFormat="1" ht="15.75" customHeight="1">
      <c r="B119" s="84"/>
      <c r="C119" s="86"/>
      <c r="D119" s="85"/>
      <c r="E119" s="86" t="s">
        <v>170</v>
      </c>
      <c r="F119" s="97">
        <v>843</v>
      </c>
      <c r="G119" s="98">
        <v>0</v>
      </c>
      <c r="H119" s="99">
        <v>0</v>
      </c>
      <c r="I119" s="98">
        <v>0</v>
      </c>
      <c r="J119" s="101">
        <v>0</v>
      </c>
      <c r="K119" s="97">
        <v>843</v>
      </c>
      <c r="L119" s="98">
        <v>0</v>
      </c>
      <c r="M119" s="99">
        <v>0</v>
      </c>
      <c r="N119" s="98">
        <v>0</v>
      </c>
      <c r="O119" s="101">
        <v>0</v>
      </c>
      <c r="P119" s="97">
        <v>843</v>
      </c>
      <c r="Q119" s="98">
        <v>0</v>
      </c>
      <c r="R119" s="99">
        <v>0</v>
      </c>
      <c r="S119" s="98">
        <v>0</v>
      </c>
      <c r="T119" s="101">
        <v>0</v>
      </c>
      <c r="U119" s="100">
        <v>843</v>
      </c>
      <c r="V119" s="98">
        <v>0</v>
      </c>
      <c r="W119" s="99">
        <v>0</v>
      </c>
      <c r="X119" s="98">
        <v>0</v>
      </c>
      <c r="Y119" s="99">
        <v>0</v>
      </c>
      <c r="Z119" s="97">
        <v>843</v>
      </c>
      <c r="AA119" s="98">
        <v>0</v>
      </c>
      <c r="AB119" s="99">
        <v>0</v>
      </c>
      <c r="AC119" s="98">
        <v>0</v>
      </c>
      <c r="AD119" s="99">
        <v>0</v>
      </c>
      <c r="AE119" s="97">
        <v>843</v>
      </c>
    </row>
    <row r="120" spans="2:31" s="74" customFormat="1" ht="15.75" customHeight="1">
      <c r="B120" s="84"/>
      <c r="C120" s="86"/>
      <c r="D120" s="85"/>
      <c r="E120" s="86" t="s">
        <v>171</v>
      </c>
      <c r="F120" s="97">
        <v>2799</v>
      </c>
      <c r="G120" s="98">
        <v>23</v>
      </c>
      <c r="H120" s="99">
        <v>0</v>
      </c>
      <c r="I120" s="98">
        <v>0</v>
      </c>
      <c r="J120" s="101">
        <v>0</v>
      </c>
      <c r="K120" s="97">
        <v>2776</v>
      </c>
      <c r="L120" s="98">
        <v>0</v>
      </c>
      <c r="M120" s="99">
        <v>0</v>
      </c>
      <c r="N120" s="98">
        <v>0</v>
      </c>
      <c r="O120" s="101">
        <v>0</v>
      </c>
      <c r="P120" s="97">
        <v>2776</v>
      </c>
      <c r="Q120" s="98">
        <v>0</v>
      </c>
      <c r="R120" s="99">
        <v>0</v>
      </c>
      <c r="S120" s="98">
        <v>0</v>
      </c>
      <c r="T120" s="101">
        <v>0</v>
      </c>
      <c r="U120" s="100">
        <v>2776</v>
      </c>
      <c r="V120" s="98">
        <v>0</v>
      </c>
      <c r="W120" s="99">
        <v>50</v>
      </c>
      <c r="X120" s="98">
        <v>0</v>
      </c>
      <c r="Y120" s="99">
        <v>50</v>
      </c>
      <c r="Z120" s="97">
        <v>2776</v>
      </c>
      <c r="AA120" s="98">
        <v>0</v>
      </c>
      <c r="AB120" s="99">
        <v>9</v>
      </c>
      <c r="AC120" s="98">
        <v>0</v>
      </c>
      <c r="AD120" s="99">
        <v>9</v>
      </c>
      <c r="AE120" s="97">
        <v>2776</v>
      </c>
    </row>
    <row r="121" spans="2:31" s="74" customFormat="1" ht="15.75" customHeight="1">
      <c r="B121" s="84"/>
      <c r="C121" s="86"/>
      <c r="D121" s="85"/>
      <c r="E121" s="117" t="s">
        <v>172</v>
      </c>
      <c r="F121" s="97">
        <v>4787</v>
      </c>
      <c r="G121" s="98">
        <v>0</v>
      </c>
      <c r="H121" s="99">
        <v>0</v>
      </c>
      <c r="I121" s="98">
        <v>0</v>
      </c>
      <c r="J121" s="101">
        <v>0</v>
      </c>
      <c r="K121" s="97">
        <v>4787</v>
      </c>
      <c r="L121" s="98">
        <v>0</v>
      </c>
      <c r="M121" s="99">
        <v>0</v>
      </c>
      <c r="N121" s="98">
        <v>0</v>
      </c>
      <c r="O121" s="101">
        <v>0</v>
      </c>
      <c r="P121" s="97">
        <v>4787</v>
      </c>
      <c r="Q121" s="98">
        <v>0</v>
      </c>
      <c r="R121" s="99">
        <v>0</v>
      </c>
      <c r="S121" s="98">
        <v>0</v>
      </c>
      <c r="T121" s="101">
        <v>0</v>
      </c>
      <c r="U121" s="100">
        <v>4787</v>
      </c>
      <c r="V121" s="98">
        <v>0</v>
      </c>
      <c r="W121" s="99">
        <v>70</v>
      </c>
      <c r="X121" s="98">
        <v>0</v>
      </c>
      <c r="Y121" s="99">
        <v>70</v>
      </c>
      <c r="Z121" s="97">
        <v>4787</v>
      </c>
      <c r="AA121" s="98">
        <v>0</v>
      </c>
      <c r="AB121" s="99">
        <v>19</v>
      </c>
      <c r="AC121" s="98">
        <v>0</v>
      </c>
      <c r="AD121" s="99">
        <v>19</v>
      </c>
      <c r="AE121" s="97">
        <v>4787</v>
      </c>
    </row>
    <row r="122" spans="2:31" s="74" customFormat="1" ht="15.75" customHeight="1">
      <c r="B122" s="84"/>
      <c r="C122" s="86"/>
      <c r="D122" s="86"/>
      <c r="E122" s="86"/>
      <c r="F122" s="102"/>
      <c r="G122" s="103"/>
      <c r="H122" s="104"/>
      <c r="I122" s="103"/>
      <c r="J122" s="105"/>
      <c r="K122" s="102"/>
      <c r="L122" s="103"/>
      <c r="M122" s="104"/>
      <c r="N122" s="103"/>
      <c r="O122" s="105"/>
      <c r="P122" s="102"/>
      <c r="Q122" s="103"/>
      <c r="R122" s="104"/>
      <c r="S122" s="103"/>
      <c r="T122" s="105"/>
      <c r="U122" s="106"/>
      <c r="V122" s="103"/>
      <c r="W122" s="104"/>
      <c r="X122" s="103"/>
      <c r="Y122" s="104"/>
      <c r="Z122" s="102"/>
      <c r="AA122" s="103"/>
      <c r="AB122" s="104"/>
      <c r="AC122" s="103"/>
      <c r="AD122" s="104"/>
      <c r="AE122" s="102"/>
    </row>
    <row r="123" spans="2:31" s="74" customFormat="1" ht="15.75" customHeight="1">
      <c r="B123" s="84"/>
      <c r="C123" s="86"/>
      <c r="D123" s="85" t="s">
        <v>114</v>
      </c>
      <c r="E123" s="86"/>
      <c r="F123" s="102"/>
      <c r="G123" s="103"/>
      <c r="H123" s="104"/>
      <c r="I123" s="103"/>
      <c r="J123" s="105"/>
      <c r="K123" s="102"/>
      <c r="L123" s="103"/>
      <c r="M123" s="104"/>
      <c r="N123" s="103"/>
      <c r="O123" s="105"/>
      <c r="P123" s="102"/>
      <c r="Q123" s="103"/>
      <c r="R123" s="104"/>
      <c r="S123" s="103"/>
      <c r="T123" s="105"/>
      <c r="U123" s="106"/>
      <c r="V123" s="103"/>
      <c r="W123" s="104"/>
      <c r="X123" s="103"/>
      <c r="Y123" s="104"/>
      <c r="Z123" s="102"/>
      <c r="AA123" s="103"/>
      <c r="AB123" s="104"/>
      <c r="AC123" s="103"/>
      <c r="AD123" s="104"/>
      <c r="AE123" s="102"/>
    </row>
    <row r="124" spans="2:31" s="74" customFormat="1" ht="15.75" customHeight="1">
      <c r="B124" s="84"/>
      <c r="C124" s="86"/>
      <c r="D124" s="86"/>
      <c r="E124" s="86" t="s">
        <v>173</v>
      </c>
      <c r="F124" s="97">
        <v>35</v>
      </c>
      <c r="G124" s="98">
        <v>0</v>
      </c>
      <c r="H124" s="99">
        <v>0</v>
      </c>
      <c r="I124" s="98">
        <v>0</v>
      </c>
      <c r="J124" s="101">
        <v>0</v>
      </c>
      <c r="K124" s="97">
        <v>35</v>
      </c>
      <c r="L124" s="98">
        <v>0</v>
      </c>
      <c r="M124" s="99">
        <v>0</v>
      </c>
      <c r="N124" s="98">
        <v>1</v>
      </c>
      <c r="O124" s="101">
        <v>0</v>
      </c>
      <c r="P124" s="97">
        <v>36</v>
      </c>
      <c r="Q124" s="98">
        <v>0</v>
      </c>
      <c r="R124" s="99">
        <v>0</v>
      </c>
      <c r="S124" s="98">
        <v>0</v>
      </c>
      <c r="T124" s="101">
        <v>0</v>
      </c>
      <c r="U124" s="100">
        <v>36</v>
      </c>
      <c r="V124" s="98">
        <v>0</v>
      </c>
      <c r="W124" s="99">
        <v>0</v>
      </c>
      <c r="X124" s="98">
        <v>7</v>
      </c>
      <c r="Y124" s="99">
        <v>0</v>
      </c>
      <c r="Z124" s="97">
        <v>43</v>
      </c>
      <c r="AA124" s="98">
        <v>0</v>
      </c>
      <c r="AB124" s="99">
        <v>0</v>
      </c>
      <c r="AC124" s="98">
        <v>0</v>
      </c>
      <c r="AD124" s="99">
        <v>0</v>
      </c>
      <c r="AE124" s="97">
        <v>43</v>
      </c>
    </row>
    <row r="125" spans="2:31" s="74" customFormat="1" ht="15.75" customHeight="1">
      <c r="B125" s="84"/>
      <c r="C125" s="86"/>
      <c r="D125" s="86"/>
      <c r="E125" s="86" t="s">
        <v>174</v>
      </c>
      <c r="F125" s="97">
        <v>256</v>
      </c>
      <c r="G125" s="98">
        <v>0</v>
      </c>
      <c r="H125" s="99">
        <v>0</v>
      </c>
      <c r="I125" s="98">
        <v>0</v>
      </c>
      <c r="J125" s="101">
        <v>0</v>
      </c>
      <c r="K125" s="97">
        <v>256</v>
      </c>
      <c r="L125" s="98">
        <v>0</v>
      </c>
      <c r="M125" s="99">
        <v>0</v>
      </c>
      <c r="N125" s="98">
        <v>0</v>
      </c>
      <c r="O125" s="101">
        <v>0</v>
      </c>
      <c r="P125" s="97">
        <v>256</v>
      </c>
      <c r="Q125" s="98">
        <v>5</v>
      </c>
      <c r="R125" s="99">
        <v>0</v>
      </c>
      <c r="S125" s="98">
        <v>0</v>
      </c>
      <c r="T125" s="101">
        <v>0</v>
      </c>
      <c r="U125" s="100">
        <v>251</v>
      </c>
      <c r="V125" s="98">
        <v>0</v>
      </c>
      <c r="W125" s="99">
        <v>0</v>
      </c>
      <c r="X125" s="98">
        <v>0</v>
      </c>
      <c r="Y125" s="99">
        <v>0</v>
      </c>
      <c r="Z125" s="97">
        <v>251</v>
      </c>
      <c r="AA125" s="98">
        <v>0</v>
      </c>
      <c r="AB125" s="99">
        <v>0</v>
      </c>
      <c r="AC125" s="98">
        <v>0</v>
      </c>
      <c r="AD125" s="99">
        <v>0</v>
      </c>
      <c r="AE125" s="97">
        <v>251</v>
      </c>
    </row>
    <row r="126" spans="2:31" s="74" customFormat="1" ht="15.75" customHeight="1">
      <c r="B126" s="84"/>
      <c r="C126" s="86"/>
      <c r="D126" s="86"/>
      <c r="E126" s="86" t="s">
        <v>175</v>
      </c>
      <c r="F126" s="97">
        <v>16</v>
      </c>
      <c r="G126" s="98">
        <v>0</v>
      </c>
      <c r="H126" s="99">
        <v>0</v>
      </c>
      <c r="I126" s="98">
        <v>0</v>
      </c>
      <c r="J126" s="101">
        <v>0</v>
      </c>
      <c r="K126" s="97">
        <v>16</v>
      </c>
      <c r="L126" s="98">
        <v>0</v>
      </c>
      <c r="M126" s="99">
        <v>0</v>
      </c>
      <c r="N126" s="98">
        <v>0</v>
      </c>
      <c r="O126" s="101">
        <v>0</v>
      </c>
      <c r="P126" s="97">
        <v>16</v>
      </c>
      <c r="Q126" s="98">
        <v>0</v>
      </c>
      <c r="R126" s="99">
        <v>0</v>
      </c>
      <c r="S126" s="98">
        <v>0</v>
      </c>
      <c r="T126" s="101">
        <v>0</v>
      </c>
      <c r="U126" s="100">
        <v>16</v>
      </c>
      <c r="V126" s="98">
        <v>0</v>
      </c>
      <c r="W126" s="99">
        <v>0</v>
      </c>
      <c r="X126" s="98">
        <v>0</v>
      </c>
      <c r="Y126" s="99">
        <v>0</v>
      </c>
      <c r="Z126" s="97">
        <v>16</v>
      </c>
      <c r="AA126" s="98">
        <v>0</v>
      </c>
      <c r="AB126" s="99">
        <v>0</v>
      </c>
      <c r="AC126" s="98">
        <v>0</v>
      </c>
      <c r="AD126" s="99">
        <v>0</v>
      </c>
      <c r="AE126" s="97">
        <v>16</v>
      </c>
    </row>
    <row r="127" spans="2:31" s="74" customFormat="1" ht="15.75" customHeight="1">
      <c r="B127" s="84"/>
      <c r="C127" s="86"/>
      <c r="D127" s="86"/>
      <c r="E127" s="86"/>
      <c r="F127" s="102"/>
      <c r="G127" s="103"/>
      <c r="H127" s="104"/>
      <c r="I127" s="103"/>
      <c r="J127" s="105"/>
      <c r="K127" s="102"/>
      <c r="L127" s="103"/>
      <c r="M127" s="104"/>
      <c r="N127" s="103"/>
      <c r="O127" s="105"/>
      <c r="P127" s="102"/>
      <c r="Q127" s="103"/>
      <c r="R127" s="104"/>
      <c r="S127" s="103"/>
      <c r="T127" s="105"/>
      <c r="U127" s="106"/>
      <c r="V127" s="103"/>
      <c r="W127" s="104"/>
      <c r="X127" s="103"/>
      <c r="Y127" s="104"/>
      <c r="Z127" s="102"/>
      <c r="AA127" s="103"/>
      <c r="AB127" s="104"/>
      <c r="AC127" s="103"/>
      <c r="AD127" s="104"/>
      <c r="AE127" s="102"/>
    </row>
    <row r="128" spans="2:31" s="74" customFormat="1" ht="15.75" customHeight="1">
      <c r="B128" s="84"/>
      <c r="C128" s="86"/>
      <c r="D128" s="85" t="s">
        <v>117</v>
      </c>
      <c r="E128" s="86"/>
      <c r="F128" s="102"/>
      <c r="G128" s="103"/>
      <c r="H128" s="104"/>
      <c r="I128" s="103"/>
      <c r="J128" s="105"/>
      <c r="K128" s="102"/>
      <c r="L128" s="103"/>
      <c r="M128" s="104"/>
      <c r="N128" s="103"/>
      <c r="O128" s="105"/>
      <c r="P128" s="102"/>
      <c r="Q128" s="103"/>
      <c r="R128" s="104"/>
      <c r="S128" s="103"/>
      <c r="T128" s="105"/>
      <c r="U128" s="106"/>
      <c r="V128" s="103"/>
      <c r="W128" s="104"/>
      <c r="X128" s="103"/>
      <c r="Y128" s="104"/>
      <c r="Z128" s="102"/>
      <c r="AA128" s="103"/>
      <c r="AB128" s="104"/>
      <c r="AC128" s="103"/>
      <c r="AD128" s="104"/>
      <c r="AE128" s="102"/>
    </row>
    <row r="129" spans="2:31" s="74" customFormat="1" ht="15.75" customHeight="1">
      <c r="B129" s="84"/>
      <c r="C129" s="86"/>
      <c r="D129" s="86"/>
      <c r="E129" s="117" t="s">
        <v>176</v>
      </c>
      <c r="F129" s="97">
        <v>0</v>
      </c>
      <c r="G129" s="98">
        <v>0</v>
      </c>
      <c r="H129" s="99">
        <v>0</v>
      </c>
      <c r="I129" s="98">
        <v>0</v>
      </c>
      <c r="J129" s="101">
        <v>0</v>
      </c>
      <c r="K129" s="97">
        <v>0</v>
      </c>
      <c r="L129" s="98">
        <v>0</v>
      </c>
      <c r="M129" s="99">
        <v>0</v>
      </c>
      <c r="N129" s="98">
        <v>0</v>
      </c>
      <c r="O129" s="101">
        <v>0</v>
      </c>
      <c r="P129" s="97">
        <v>0</v>
      </c>
      <c r="Q129" s="98">
        <v>0</v>
      </c>
      <c r="R129" s="99">
        <v>0</v>
      </c>
      <c r="S129" s="98">
        <v>0</v>
      </c>
      <c r="T129" s="101">
        <v>0</v>
      </c>
      <c r="U129" s="100">
        <v>0</v>
      </c>
      <c r="V129" s="98" t="s">
        <v>986</v>
      </c>
      <c r="W129" s="99">
        <v>0</v>
      </c>
      <c r="X129" s="98" t="s">
        <v>986</v>
      </c>
      <c r="Y129" s="99">
        <v>0</v>
      </c>
      <c r="Z129" s="97">
        <v>0</v>
      </c>
      <c r="AA129" s="98" t="s">
        <v>986</v>
      </c>
      <c r="AB129" s="99">
        <v>0</v>
      </c>
      <c r="AC129" s="98" t="s">
        <v>986</v>
      </c>
      <c r="AD129" s="99">
        <v>0</v>
      </c>
      <c r="AE129" s="97">
        <v>0</v>
      </c>
    </row>
    <row r="130" spans="2:31" s="74" customFormat="1" ht="15.75" customHeight="1">
      <c r="B130" s="84"/>
      <c r="C130" s="86"/>
      <c r="D130" s="86"/>
      <c r="E130" s="86"/>
      <c r="F130" s="102"/>
      <c r="G130" s="103"/>
      <c r="H130" s="104"/>
      <c r="I130" s="103"/>
      <c r="J130" s="105"/>
      <c r="K130" s="102"/>
      <c r="L130" s="103"/>
      <c r="M130" s="104"/>
      <c r="N130" s="103"/>
      <c r="O130" s="105"/>
      <c r="P130" s="102"/>
      <c r="Q130" s="103"/>
      <c r="R130" s="104"/>
      <c r="S130" s="103"/>
      <c r="T130" s="105"/>
      <c r="U130" s="106"/>
      <c r="V130" s="103"/>
      <c r="W130" s="104"/>
      <c r="X130" s="103"/>
      <c r="Y130" s="104"/>
      <c r="Z130" s="102"/>
      <c r="AA130" s="103"/>
      <c r="AB130" s="104"/>
      <c r="AC130" s="103"/>
      <c r="AD130" s="104"/>
      <c r="AE130" s="102"/>
    </row>
    <row r="131" spans="2:31" s="74" customFormat="1" ht="15.75" customHeight="1">
      <c r="B131" s="84"/>
      <c r="C131" s="86"/>
      <c r="D131" s="85" t="s">
        <v>100</v>
      </c>
      <c r="E131" s="86"/>
      <c r="F131" s="102"/>
      <c r="G131" s="103"/>
      <c r="H131" s="104"/>
      <c r="I131" s="103"/>
      <c r="J131" s="105"/>
      <c r="K131" s="102"/>
      <c r="L131" s="103"/>
      <c r="M131" s="104"/>
      <c r="N131" s="103"/>
      <c r="O131" s="105"/>
      <c r="P131" s="102"/>
      <c r="Q131" s="103"/>
      <c r="R131" s="104"/>
      <c r="S131" s="103"/>
      <c r="T131" s="105"/>
      <c r="U131" s="106"/>
      <c r="V131" s="103"/>
      <c r="W131" s="104"/>
      <c r="X131" s="103"/>
      <c r="Y131" s="104"/>
      <c r="Z131" s="102"/>
      <c r="AA131" s="103"/>
      <c r="AB131" s="104"/>
      <c r="AC131" s="103"/>
      <c r="AD131" s="104"/>
      <c r="AE131" s="102"/>
    </row>
    <row r="132" spans="2:31" s="74" customFormat="1" ht="15.75" customHeight="1">
      <c r="B132" s="84"/>
      <c r="C132" s="86"/>
      <c r="D132" s="86"/>
      <c r="E132" s="86" t="s">
        <v>177</v>
      </c>
      <c r="F132" s="97">
        <v>319</v>
      </c>
      <c r="G132" s="98">
        <v>10</v>
      </c>
      <c r="H132" s="99">
        <v>0</v>
      </c>
      <c r="I132" s="98">
        <v>3</v>
      </c>
      <c r="J132" s="101">
        <v>0</v>
      </c>
      <c r="K132" s="97">
        <v>312</v>
      </c>
      <c r="L132" s="98">
        <v>19</v>
      </c>
      <c r="M132" s="99">
        <v>0</v>
      </c>
      <c r="N132" s="98">
        <v>2</v>
      </c>
      <c r="O132" s="101">
        <v>0</v>
      </c>
      <c r="P132" s="97">
        <v>295</v>
      </c>
      <c r="Q132" s="98">
        <v>0</v>
      </c>
      <c r="R132" s="99">
        <v>0</v>
      </c>
      <c r="S132" s="98">
        <v>0</v>
      </c>
      <c r="T132" s="101">
        <v>0</v>
      </c>
      <c r="U132" s="100">
        <v>295</v>
      </c>
      <c r="V132" s="98">
        <v>0</v>
      </c>
      <c r="W132" s="99">
        <v>0</v>
      </c>
      <c r="X132" s="98">
        <v>0</v>
      </c>
      <c r="Y132" s="99">
        <v>0</v>
      </c>
      <c r="Z132" s="97">
        <v>295</v>
      </c>
      <c r="AA132" s="98">
        <v>0</v>
      </c>
      <c r="AB132" s="99">
        <v>0</v>
      </c>
      <c r="AC132" s="98">
        <v>0</v>
      </c>
      <c r="AD132" s="99">
        <v>0</v>
      </c>
      <c r="AE132" s="97">
        <v>295</v>
      </c>
    </row>
    <row r="133" spans="2:31" s="74" customFormat="1" ht="15.75" customHeight="1">
      <c r="B133" s="84"/>
      <c r="C133" s="86"/>
      <c r="D133" s="86"/>
      <c r="E133" s="86" t="s">
        <v>178</v>
      </c>
      <c r="F133" s="97">
        <v>1690</v>
      </c>
      <c r="G133" s="98">
        <v>0</v>
      </c>
      <c r="H133" s="99">
        <v>0</v>
      </c>
      <c r="I133" s="98">
        <v>0</v>
      </c>
      <c r="J133" s="101">
        <v>0</v>
      </c>
      <c r="K133" s="97">
        <v>1690</v>
      </c>
      <c r="L133" s="98">
        <v>0</v>
      </c>
      <c r="M133" s="99">
        <v>0</v>
      </c>
      <c r="N133" s="98">
        <v>0</v>
      </c>
      <c r="O133" s="101">
        <v>0</v>
      </c>
      <c r="P133" s="97">
        <v>1690</v>
      </c>
      <c r="Q133" s="98">
        <v>0</v>
      </c>
      <c r="R133" s="99">
        <v>0</v>
      </c>
      <c r="S133" s="98">
        <v>0</v>
      </c>
      <c r="T133" s="101">
        <v>14</v>
      </c>
      <c r="U133" s="100">
        <v>1704</v>
      </c>
      <c r="V133" s="98">
        <v>0</v>
      </c>
      <c r="W133" s="99">
        <v>25</v>
      </c>
      <c r="X133" s="98">
        <v>0</v>
      </c>
      <c r="Y133" s="99">
        <v>25</v>
      </c>
      <c r="Z133" s="97">
        <v>1704</v>
      </c>
      <c r="AA133" s="98">
        <v>0</v>
      </c>
      <c r="AB133" s="99">
        <v>2</v>
      </c>
      <c r="AC133" s="98">
        <v>0</v>
      </c>
      <c r="AD133" s="99">
        <v>2</v>
      </c>
      <c r="AE133" s="97">
        <v>1704</v>
      </c>
    </row>
    <row r="134" spans="2:31" s="74" customFormat="1" ht="15.75" customHeight="1">
      <c r="B134" s="84"/>
      <c r="C134" s="86"/>
      <c r="D134" s="86"/>
      <c r="E134" s="86"/>
      <c r="F134" s="102"/>
      <c r="G134" s="103"/>
      <c r="H134" s="104"/>
      <c r="I134" s="103"/>
      <c r="J134" s="105"/>
      <c r="K134" s="102"/>
      <c r="L134" s="103"/>
      <c r="M134" s="104"/>
      <c r="N134" s="103"/>
      <c r="O134" s="105"/>
      <c r="P134" s="102"/>
      <c r="Q134" s="103"/>
      <c r="R134" s="104"/>
      <c r="S134" s="103"/>
      <c r="T134" s="105"/>
      <c r="U134" s="106"/>
      <c r="V134" s="103"/>
      <c r="W134" s="104"/>
      <c r="X134" s="103"/>
      <c r="Y134" s="104"/>
      <c r="Z134" s="102"/>
      <c r="AA134" s="103"/>
      <c r="AB134" s="104"/>
      <c r="AC134" s="103"/>
      <c r="AD134" s="104"/>
      <c r="AE134" s="102"/>
    </row>
    <row r="135" spans="2:31" s="74" customFormat="1" ht="15.75" customHeight="1">
      <c r="B135" s="84"/>
      <c r="C135" s="86"/>
      <c r="D135" s="85" t="s">
        <v>133</v>
      </c>
      <c r="E135" s="86"/>
      <c r="F135" s="102"/>
      <c r="G135" s="103"/>
      <c r="H135" s="104"/>
      <c r="I135" s="103"/>
      <c r="J135" s="105"/>
      <c r="K135" s="102"/>
      <c r="L135" s="103"/>
      <c r="M135" s="104"/>
      <c r="N135" s="103"/>
      <c r="O135" s="105"/>
      <c r="P135" s="102"/>
      <c r="Q135" s="103"/>
      <c r="R135" s="104"/>
      <c r="S135" s="103"/>
      <c r="T135" s="105"/>
      <c r="U135" s="106"/>
      <c r="V135" s="103"/>
      <c r="W135" s="104"/>
      <c r="X135" s="103"/>
      <c r="Y135" s="104"/>
      <c r="Z135" s="102"/>
      <c r="AA135" s="103"/>
      <c r="AB135" s="104"/>
      <c r="AC135" s="103"/>
      <c r="AD135" s="104"/>
      <c r="AE135" s="102"/>
    </row>
    <row r="136" spans="2:31" s="74" customFormat="1" ht="15.75" customHeight="1">
      <c r="B136" s="84"/>
      <c r="C136" s="86"/>
      <c r="D136" s="86"/>
      <c r="E136" s="117" t="s">
        <v>179</v>
      </c>
      <c r="F136" s="97">
        <v>230</v>
      </c>
      <c r="G136" s="98">
        <v>0</v>
      </c>
      <c r="H136" s="99">
        <v>0</v>
      </c>
      <c r="I136" s="98">
        <v>4</v>
      </c>
      <c r="J136" s="101">
        <v>0</v>
      </c>
      <c r="K136" s="97">
        <v>234</v>
      </c>
      <c r="L136" s="98">
        <v>0</v>
      </c>
      <c r="M136" s="99">
        <v>2</v>
      </c>
      <c r="N136" s="98">
        <v>3</v>
      </c>
      <c r="O136" s="101">
        <v>3</v>
      </c>
      <c r="P136" s="97">
        <v>238</v>
      </c>
      <c r="Q136" s="98">
        <v>0</v>
      </c>
      <c r="R136" s="99">
        <v>2</v>
      </c>
      <c r="S136" s="98">
        <v>1</v>
      </c>
      <c r="T136" s="101">
        <v>3</v>
      </c>
      <c r="U136" s="100">
        <v>240</v>
      </c>
      <c r="V136" s="98">
        <v>4</v>
      </c>
      <c r="W136" s="99">
        <v>6</v>
      </c>
      <c r="X136" s="98">
        <v>7</v>
      </c>
      <c r="Y136" s="99">
        <v>6</v>
      </c>
      <c r="Z136" s="97">
        <v>243</v>
      </c>
      <c r="AA136" s="98">
        <v>0</v>
      </c>
      <c r="AB136" s="99">
        <v>0</v>
      </c>
      <c r="AC136" s="98">
        <v>0</v>
      </c>
      <c r="AD136" s="99">
        <v>6</v>
      </c>
      <c r="AE136" s="97">
        <v>249</v>
      </c>
    </row>
    <row r="137" spans="2:31" s="74" customFormat="1" ht="15.75" customHeight="1">
      <c r="B137" s="84"/>
      <c r="C137" s="86"/>
      <c r="D137" s="86"/>
      <c r="E137" s="117" t="s">
        <v>180</v>
      </c>
      <c r="F137" s="97">
        <v>354</v>
      </c>
      <c r="G137" s="98">
        <v>0</v>
      </c>
      <c r="H137" s="99">
        <v>0</v>
      </c>
      <c r="I137" s="98">
        <v>0</v>
      </c>
      <c r="J137" s="101">
        <v>0</v>
      </c>
      <c r="K137" s="97">
        <v>354</v>
      </c>
      <c r="L137" s="98">
        <v>0</v>
      </c>
      <c r="M137" s="99">
        <v>0</v>
      </c>
      <c r="N137" s="98">
        <v>0</v>
      </c>
      <c r="O137" s="101">
        <v>0</v>
      </c>
      <c r="P137" s="97">
        <v>354</v>
      </c>
      <c r="Q137" s="98">
        <v>0</v>
      </c>
      <c r="R137" s="99">
        <v>0</v>
      </c>
      <c r="S137" s="98">
        <v>0</v>
      </c>
      <c r="T137" s="101">
        <v>2</v>
      </c>
      <c r="U137" s="100">
        <v>356</v>
      </c>
      <c r="V137" s="98">
        <v>2</v>
      </c>
      <c r="W137" s="99">
        <v>0</v>
      </c>
      <c r="X137" s="98">
        <v>2</v>
      </c>
      <c r="Y137" s="99">
        <v>0</v>
      </c>
      <c r="Z137" s="97">
        <v>356</v>
      </c>
      <c r="AA137" s="98">
        <v>0</v>
      </c>
      <c r="AB137" s="99">
        <v>0</v>
      </c>
      <c r="AC137" s="98">
        <v>0</v>
      </c>
      <c r="AD137" s="99">
        <v>0</v>
      </c>
      <c r="AE137" s="97">
        <v>356</v>
      </c>
    </row>
    <row r="138" spans="2:31" s="74" customFormat="1" ht="15.75" customHeight="1" thickBot="1">
      <c r="B138" s="107"/>
      <c r="C138" s="108"/>
      <c r="D138" s="108"/>
      <c r="E138" s="108"/>
      <c r="F138" s="109"/>
      <c r="G138" s="110"/>
      <c r="H138" s="111"/>
      <c r="I138" s="110"/>
      <c r="J138" s="112"/>
      <c r="K138" s="113"/>
      <c r="L138" s="110"/>
      <c r="M138" s="111"/>
      <c r="N138" s="110"/>
      <c r="O138" s="112"/>
      <c r="P138" s="113"/>
      <c r="Q138" s="110"/>
      <c r="R138" s="111"/>
      <c r="S138" s="110"/>
      <c r="T138" s="112"/>
      <c r="U138" s="114"/>
      <c r="V138" s="110"/>
      <c r="W138" s="111"/>
      <c r="X138" s="110"/>
      <c r="Y138" s="111"/>
      <c r="Z138" s="113"/>
      <c r="AA138" s="110"/>
      <c r="AB138" s="111"/>
      <c r="AC138" s="110"/>
      <c r="AD138" s="111"/>
      <c r="AE138" s="113"/>
    </row>
    <row r="139" spans="2:31" s="74" customFormat="1" ht="15.75" customHeight="1">
      <c r="B139" s="115"/>
      <c r="C139" s="116" t="s">
        <v>181</v>
      </c>
      <c r="D139" s="116"/>
      <c r="E139" s="117"/>
      <c r="F139" s="102"/>
      <c r="G139" s="103"/>
      <c r="H139" s="104"/>
      <c r="I139" s="103"/>
      <c r="J139" s="105"/>
      <c r="K139" s="102"/>
      <c r="L139" s="103"/>
      <c r="M139" s="104"/>
      <c r="N139" s="103"/>
      <c r="O139" s="105"/>
      <c r="P139" s="102"/>
      <c r="Q139" s="103"/>
      <c r="R139" s="104"/>
      <c r="S139" s="103"/>
      <c r="T139" s="105"/>
      <c r="U139" s="106"/>
      <c r="V139" s="103"/>
      <c r="W139" s="104"/>
      <c r="X139" s="103"/>
      <c r="Y139" s="104"/>
      <c r="Z139" s="102"/>
      <c r="AA139" s="103"/>
      <c r="AB139" s="104"/>
      <c r="AC139" s="103"/>
      <c r="AD139" s="104"/>
      <c r="AE139" s="102"/>
    </row>
    <row r="140" spans="2:31" s="74" customFormat="1" ht="15.75" customHeight="1">
      <c r="B140" s="84"/>
      <c r="C140" s="86"/>
      <c r="D140" s="85" t="s">
        <v>182</v>
      </c>
      <c r="E140" s="86"/>
      <c r="F140" s="102"/>
      <c r="G140" s="103"/>
      <c r="H140" s="104"/>
      <c r="I140" s="103"/>
      <c r="J140" s="105"/>
      <c r="K140" s="102"/>
      <c r="L140" s="103"/>
      <c r="M140" s="104"/>
      <c r="N140" s="103"/>
      <c r="O140" s="105"/>
      <c r="P140" s="102"/>
      <c r="Q140" s="103"/>
      <c r="R140" s="104"/>
      <c r="S140" s="103"/>
      <c r="T140" s="105"/>
      <c r="U140" s="106"/>
      <c r="V140" s="103"/>
      <c r="W140" s="104"/>
      <c r="X140" s="103"/>
      <c r="Y140" s="104"/>
      <c r="Z140" s="102"/>
      <c r="AA140" s="103"/>
      <c r="AB140" s="104"/>
      <c r="AC140" s="103"/>
      <c r="AD140" s="104"/>
      <c r="AE140" s="102"/>
    </row>
    <row r="141" spans="2:31" s="74" customFormat="1" ht="15.75" customHeight="1">
      <c r="B141" s="84"/>
      <c r="C141" s="86"/>
      <c r="D141" s="86"/>
      <c r="E141" s="117" t="s">
        <v>183</v>
      </c>
      <c r="F141" s="97">
        <v>2</v>
      </c>
      <c r="G141" s="98">
        <v>0</v>
      </c>
      <c r="H141" s="99">
        <v>0</v>
      </c>
      <c r="I141" s="98">
        <v>0</v>
      </c>
      <c r="J141" s="101">
        <v>0</v>
      </c>
      <c r="K141" s="97">
        <v>2</v>
      </c>
      <c r="L141" s="98">
        <v>0</v>
      </c>
      <c r="M141" s="99">
        <v>0</v>
      </c>
      <c r="N141" s="98">
        <v>0</v>
      </c>
      <c r="O141" s="101">
        <v>0</v>
      </c>
      <c r="P141" s="97">
        <v>2</v>
      </c>
      <c r="Q141" s="98">
        <v>0</v>
      </c>
      <c r="R141" s="99">
        <v>0</v>
      </c>
      <c r="S141" s="98">
        <v>0</v>
      </c>
      <c r="T141" s="101">
        <v>0</v>
      </c>
      <c r="U141" s="100">
        <v>2</v>
      </c>
      <c r="V141" s="98" t="s">
        <v>986</v>
      </c>
      <c r="W141" s="99">
        <v>0</v>
      </c>
      <c r="X141" s="98" t="s">
        <v>986</v>
      </c>
      <c r="Y141" s="99">
        <v>0</v>
      </c>
      <c r="Z141" s="97">
        <v>2</v>
      </c>
      <c r="AA141" s="98" t="s">
        <v>986</v>
      </c>
      <c r="AB141" s="99">
        <v>0</v>
      </c>
      <c r="AC141" s="98" t="s">
        <v>986</v>
      </c>
      <c r="AD141" s="99">
        <v>0</v>
      </c>
      <c r="AE141" s="97">
        <v>2</v>
      </c>
    </row>
    <row r="142" spans="2:31" s="74" customFormat="1" ht="15.75" customHeight="1">
      <c r="B142" s="84"/>
      <c r="C142" s="86"/>
      <c r="D142" s="86"/>
      <c r="E142" s="117" t="s">
        <v>184</v>
      </c>
      <c r="F142" s="97">
        <v>262</v>
      </c>
      <c r="G142" s="98">
        <v>0</v>
      </c>
      <c r="H142" s="99">
        <v>0</v>
      </c>
      <c r="I142" s="98">
        <v>0</v>
      </c>
      <c r="J142" s="101">
        <v>0</v>
      </c>
      <c r="K142" s="97">
        <v>262</v>
      </c>
      <c r="L142" s="98">
        <v>0</v>
      </c>
      <c r="M142" s="99">
        <v>0</v>
      </c>
      <c r="N142" s="98">
        <v>0</v>
      </c>
      <c r="O142" s="101">
        <v>0</v>
      </c>
      <c r="P142" s="97">
        <v>262</v>
      </c>
      <c r="Q142" s="98">
        <v>0</v>
      </c>
      <c r="R142" s="99">
        <v>0</v>
      </c>
      <c r="S142" s="98">
        <v>0</v>
      </c>
      <c r="T142" s="101">
        <v>0</v>
      </c>
      <c r="U142" s="100">
        <v>262</v>
      </c>
      <c r="V142" s="98" t="s">
        <v>986</v>
      </c>
      <c r="W142" s="99">
        <v>0</v>
      </c>
      <c r="X142" s="98" t="s">
        <v>986</v>
      </c>
      <c r="Y142" s="99">
        <v>0</v>
      </c>
      <c r="Z142" s="97">
        <v>262</v>
      </c>
      <c r="AA142" s="98" t="s">
        <v>986</v>
      </c>
      <c r="AB142" s="99">
        <v>0</v>
      </c>
      <c r="AC142" s="98" t="s">
        <v>986</v>
      </c>
      <c r="AD142" s="99">
        <v>0</v>
      </c>
      <c r="AE142" s="97">
        <v>262</v>
      </c>
    </row>
    <row r="143" spans="2:31" s="74" customFormat="1" ht="15.75" customHeight="1">
      <c r="B143" s="84"/>
      <c r="C143" s="117"/>
      <c r="D143" s="85"/>
      <c r="E143" s="86"/>
      <c r="F143" s="102"/>
      <c r="G143" s="103"/>
      <c r="H143" s="104"/>
      <c r="I143" s="103"/>
      <c r="J143" s="105"/>
      <c r="K143" s="102"/>
      <c r="L143" s="103"/>
      <c r="M143" s="104"/>
      <c r="N143" s="103"/>
      <c r="O143" s="105"/>
      <c r="P143" s="102"/>
      <c r="Q143" s="103"/>
      <c r="R143" s="104"/>
      <c r="S143" s="103"/>
      <c r="T143" s="105"/>
      <c r="U143" s="106"/>
      <c r="V143" s="103"/>
      <c r="W143" s="104"/>
      <c r="X143" s="103"/>
      <c r="Y143" s="104"/>
      <c r="Z143" s="102"/>
      <c r="AA143" s="103"/>
      <c r="AB143" s="104"/>
      <c r="AC143" s="103"/>
      <c r="AD143" s="104"/>
      <c r="AE143" s="102"/>
    </row>
    <row r="144" spans="2:31" s="74" customFormat="1" ht="15.75" customHeight="1">
      <c r="B144" s="84"/>
      <c r="C144" s="86"/>
      <c r="D144" s="85" t="s">
        <v>185</v>
      </c>
      <c r="E144" s="86"/>
      <c r="F144" s="102"/>
      <c r="G144" s="103"/>
      <c r="H144" s="104"/>
      <c r="I144" s="103"/>
      <c r="J144" s="105"/>
      <c r="K144" s="102"/>
      <c r="L144" s="103"/>
      <c r="M144" s="104"/>
      <c r="N144" s="103"/>
      <c r="O144" s="105"/>
      <c r="P144" s="102"/>
      <c r="Q144" s="103"/>
      <c r="R144" s="104"/>
      <c r="S144" s="103"/>
      <c r="T144" s="105"/>
      <c r="U144" s="106"/>
      <c r="V144" s="103"/>
      <c r="W144" s="104"/>
      <c r="X144" s="103"/>
      <c r="Y144" s="104"/>
      <c r="Z144" s="102"/>
      <c r="AA144" s="103"/>
      <c r="AB144" s="104"/>
      <c r="AC144" s="103"/>
      <c r="AD144" s="104"/>
      <c r="AE144" s="102"/>
    </row>
    <row r="145" spans="2:31" s="74" customFormat="1" ht="15.75" customHeight="1">
      <c r="B145" s="84"/>
      <c r="C145" s="86"/>
      <c r="D145" s="86"/>
      <c r="E145" s="117" t="s">
        <v>186</v>
      </c>
      <c r="F145" s="97">
        <v>1773</v>
      </c>
      <c r="G145" s="98">
        <v>0</v>
      </c>
      <c r="H145" s="99">
        <v>0</v>
      </c>
      <c r="I145" s="98">
        <v>0</v>
      </c>
      <c r="J145" s="101">
        <v>0</v>
      </c>
      <c r="K145" s="97">
        <v>1773</v>
      </c>
      <c r="L145" s="98">
        <v>0</v>
      </c>
      <c r="M145" s="99">
        <v>0</v>
      </c>
      <c r="N145" s="98">
        <v>0</v>
      </c>
      <c r="O145" s="101">
        <v>0</v>
      </c>
      <c r="P145" s="97">
        <v>1773</v>
      </c>
      <c r="Q145" s="98">
        <v>0</v>
      </c>
      <c r="R145" s="99">
        <v>0</v>
      </c>
      <c r="S145" s="98">
        <v>0</v>
      </c>
      <c r="T145" s="101">
        <v>0</v>
      </c>
      <c r="U145" s="100">
        <v>1773</v>
      </c>
      <c r="V145" s="98" t="s">
        <v>986</v>
      </c>
      <c r="W145" s="99">
        <v>0</v>
      </c>
      <c r="X145" s="98" t="s">
        <v>986</v>
      </c>
      <c r="Y145" s="99">
        <v>0</v>
      </c>
      <c r="Z145" s="97">
        <v>1773</v>
      </c>
      <c r="AA145" s="98" t="s">
        <v>986</v>
      </c>
      <c r="AB145" s="99">
        <v>0</v>
      </c>
      <c r="AC145" s="98" t="s">
        <v>986</v>
      </c>
      <c r="AD145" s="99">
        <v>0</v>
      </c>
      <c r="AE145" s="97">
        <v>1773</v>
      </c>
    </row>
    <row r="146" spans="2:31" s="74" customFormat="1" ht="15.75" customHeight="1">
      <c r="B146" s="84"/>
      <c r="C146" s="86"/>
      <c r="D146" s="86"/>
      <c r="E146" s="117" t="s">
        <v>187</v>
      </c>
      <c r="F146" s="97">
        <v>1264</v>
      </c>
      <c r="G146" s="98">
        <v>0</v>
      </c>
      <c r="H146" s="99">
        <v>0</v>
      </c>
      <c r="I146" s="98">
        <v>0</v>
      </c>
      <c r="J146" s="101">
        <v>0</v>
      </c>
      <c r="K146" s="97">
        <v>1264</v>
      </c>
      <c r="L146" s="98">
        <v>0</v>
      </c>
      <c r="M146" s="99">
        <v>0</v>
      </c>
      <c r="N146" s="98">
        <v>0</v>
      </c>
      <c r="O146" s="101">
        <v>0</v>
      </c>
      <c r="P146" s="97">
        <v>1264</v>
      </c>
      <c r="Q146" s="98">
        <v>0</v>
      </c>
      <c r="R146" s="99">
        <v>0</v>
      </c>
      <c r="S146" s="98">
        <v>0</v>
      </c>
      <c r="T146" s="101">
        <v>0</v>
      </c>
      <c r="U146" s="100">
        <v>1264</v>
      </c>
      <c r="V146" s="98" t="s">
        <v>986</v>
      </c>
      <c r="W146" s="99">
        <v>0</v>
      </c>
      <c r="X146" s="98" t="s">
        <v>986</v>
      </c>
      <c r="Y146" s="99">
        <v>0</v>
      </c>
      <c r="Z146" s="97">
        <v>1264</v>
      </c>
      <c r="AA146" s="98" t="s">
        <v>986</v>
      </c>
      <c r="AB146" s="99">
        <v>0</v>
      </c>
      <c r="AC146" s="98" t="s">
        <v>986</v>
      </c>
      <c r="AD146" s="99">
        <v>0</v>
      </c>
      <c r="AE146" s="97">
        <v>1264</v>
      </c>
    </row>
    <row r="147" spans="2:31" s="74" customFormat="1" ht="15.75" customHeight="1" thickBot="1">
      <c r="B147" s="107"/>
      <c r="C147" s="108"/>
      <c r="D147" s="108"/>
      <c r="E147" s="108"/>
      <c r="F147" s="109"/>
      <c r="G147" s="110"/>
      <c r="H147" s="111"/>
      <c r="I147" s="110"/>
      <c r="J147" s="112"/>
      <c r="K147" s="113"/>
      <c r="L147" s="110"/>
      <c r="M147" s="111"/>
      <c r="N147" s="110"/>
      <c r="O147" s="112"/>
      <c r="P147" s="113"/>
      <c r="Q147" s="110"/>
      <c r="R147" s="111"/>
      <c r="S147" s="110"/>
      <c r="T147" s="112"/>
      <c r="U147" s="123"/>
      <c r="V147" s="110"/>
      <c r="W147" s="111"/>
      <c r="X147" s="110"/>
      <c r="Y147" s="111"/>
      <c r="Z147" s="113"/>
      <c r="AA147" s="110"/>
      <c r="AB147" s="111"/>
      <c r="AC147" s="110"/>
      <c r="AD147" s="111"/>
      <c r="AE147" s="113"/>
    </row>
  </sheetData>
  <mergeCells count="17">
    <mergeCell ref="AC8:AD8"/>
    <mergeCell ref="AA7:AE7"/>
    <mergeCell ref="G8:H8"/>
    <mergeCell ref="I8:J8"/>
    <mergeCell ref="L8:M8"/>
    <mergeCell ref="N8:O8"/>
    <mergeCell ref="Q8:R8"/>
    <mergeCell ref="S8:T8"/>
    <mergeCell ref="V8:W8"/>
    <mergeCell ref="X8:Y8"/>
    <mergeCell ref="AA8:AB8"/>
    <mergeCell ref="V7:Z7"/>
    <mergeCell ref="B7:E9"/>
    <mergeCell ref="F7:F9"/>
    <mergeCell ref="G7:K7"/>
    <mergeCell ref="L7:P7"/>
    <mergeCell ref="Q7:U7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25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5FFFF"/>
    <pageSetUpPr fitToPage="1"/>
  </sheetPr>
  <dimension ref="A1:T144"/>
  <sheetViews>
    <sheetView workbookViewId="0">
      <selection sqref="A1:XFD1048576"/>
    </sheetView>
  </sheetViews>
  <sheetFormatPr defaultColWidth="8.85546875" defaultRowHeight="12.75"/>
  <cols>
    <col min="1" max="1" width="8.85546875" style="74" customWidth="1"/>
    <col min="2" max="2" width="41.140625" style="74" customWidth="1"/>
    <col min="3" max="14" width="8.85546875" style="74"/>
    <col min="15" max="17" width="10.5703125" style="74" customWidth="1"/>
    <col min="18" max="18" width="8.85546875" style="74"/>
    <col min="19" max="20" width="10.42578125" style="74" customWidth="1"/>
    <col min="21" max="16384" width="8.85546875" style="74"/>
  </cols>
  <sheetData>
    <row r="1" spans="1:20" ht="15">
      <c r="A1" s="124" t="s">
        <v>74</v>
      </c>
      <c r="F1" s="125" t="s">
        <v>985</v>
      </c>
    </row>
    <row r="3" spans="1:20" s="126" customFormat="1" ht="15">
      <c r="A3" s="124" t="s">
        <v>188</v>
      </c>
    </row>
    <row r="4" spans="1:20" s="126" customFormat="1" ht="14.25"/>
    <row r="5" spans="1:20" s="126" customFormat="1" ht="14.25"/>
    <row r="6" spans="1:20" s="126" customFormat="1" ht="15">
      <c r="A6" s="127"/>
      <c r="B6" s="128" t="s">
        <v>189</v>
      </c>
      <c r="C6" s="129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30"/>
      <c r="S6" s="127"/>
      <c r="T6" s="127"/>
    </row>
    <row r="7" spans="1:20" s="126" customFormat="1" ht="15" thickBot="1">
      <c r="A7" s="127"/>
      <c r="B7" s="127"/>
      <c r="C7" s="129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30"/>
      <c r="S7" s="127"/>
      <c r="T7" s="127"/>
    </row>
    <row r="8" spans="1:20" s="126" customFormat="1" ht="15">
      <c r="A8" s="127"/>
      <c r="B8" s="1503"/>
      <c r="C8" s="1505" t="s">
        <v>190</v>
      </c>
      <c r="D8" s="131" t="s">
        <v>191</v>
      </c>
      <c r="E8" s="132"/>
      <c r="F8" s="132"/>
      <c r="G8" s="132"/>
      <c r="H8" s="133"/>
      <c r="I8" s="132" t="s">
        <v>192</v>
      </c>
      <c r="J8" s="134"/>
      <c r="K8" s="134"/>
      <c r="L8" s="134"/>
      <c r="M8" s="133"/>
      <c r="N8" s="127"/>
      <c r="O8" s="135" t="s">
        <v>191</v>
      </c>
      <c r="P8" s="136"/>
      <c r="Q8" s="137"/>
      <c r="R8" s="130"/>
      <c r="S8" s="135" t="s">
        <v>192</v>
      </c>
      <c r="T8" s="137"/>
    </row>
    <row r="9" spans="1:20" s="126" customFormat="1" ht="30">
      <c r="A9" s="127"/>
      <c r="B9" s="1504"/>
      <c r="C9" s="1506"/>
      <c r="D9" s="138" t="s">
        <v>79</v>
      </c>
      <c r="E9" s="139" t="s">
        <v>80</v>
      </c>
      <c r="F9" s="139" t="s">
        <v>81</v>
      </c>
      <c r="G9" s="139" t="s">
        <v>82</v>
      </c>
      <c r="H9" s="140" t="s">
        <v>44</v>
      </c>
      <c r="I9" s="141" t="s">
        <v>193</v>
      </c>
      <c r="J9" s="139" t="s">
        <v>194</v>
      </c>
      <c r="K9" s="139" t="s">
        <v>195</v>
      </c>
      <c r="L9" s="139" t="s">
        <v>196</v>
      </c>
      <c r="M9" s="140" t="s">
        <v>197</v>
      </c>
      <c r="N9" s="127"/>
      <c r="O9" s="142" t="s">
        <v>198</v>
      </c>
      <c r="P9" s="143" t="s">
        <v>199</v>
      </c>
      <c r="Q9" s="144" t="s">
        <v>200</v>
      </c>
      <c r="R9" s="130"/>
      <c r="S9" s="142" t="s">
        <v>199</v>
      </c>
      <c r="T9" s="144" t="s">
        <v>201</v>
      </c>
    </row>
    <row r="10" spans="1:20" s="126" customFormat="1" ht="14.25">
      <c r="A10" s="127"/>
      <c r="B10" s="145" t="s">
        <v>202</v>
      </c>
      <c r="C10" s="146" t="s">
        <v>203</v>
      </c>
      <c r="D10" s="147">
        <v>13.245009222625885</v>
      </c>
      <c r="E10" s="148">
        <v>30.467388090526448</v>
      </c>
      <c r="F10" s="148">
        <v>43.706197044293013</v>
      </c>
      <c r="G10" s="148">
        <v>35.337268920415227</v>
      </c>
      <c r="H10" s="149">
        <v>31.512553421511626</v>
      </c>
      <c r="I10" s="148">
        <v>30.60763079497908</v>
      </c>
      <c r="J10" s="150">
        <v>32.371574795483063</v>
      </c>
      <c r="K10" s="150">
        <v>35.073910669642856</v>
      </c>
      <c r="L10" s="150">
        <v>37.404456108870967</v>
      </c>
      <c r="M10" s="149">
        <v>39.504377406401552</v>
      </c>
      <c r="N10" s="151"/>
      <c r="O10" s="152">
        <v>87.418594357445357</v>
      </c>
      <c r="P10" s="153">
        <v>66.849822341926853</v>
      </c>
      <c r="Q10" s="154">
        <v>154.26841669937221</v>
      </c>
      <c r="R10" s="155"/>
      <c r="S10" s="152">
        <v>174.96194977537752</v>
      </c>
      <c r="T10" s="156">
        <v>0.13413979036507168</v>
      </c>
    </row>
    <row r="11" spans="1:20" s="126" customFormat="1" ht="14.25">
      <c r="A11" s="127"/>
      <c r="B11" s="145" t="s">
        <v>204</v>
      </c>
      <c r="C11" s="146" t="s">
        <v>203</v>
      </c>
      <c r="D11" s="157">
        <v>11.2</v>
      </c>
      <c r="E11" s="158">
        <v>25.7</v>
      </c>
      <c r="F11" s="158">
        <v>36.1</v>
      </c>
      <c r="G11" s="158">
        <v>30.999999999999996</v>
      </c>
      <c r="H11" s="159">
        <v>29.1</v>
      </c>
      <c r="I11" s="158">
        <v>27.2</v>
      </c>
      <c r="J11" s="160">
        <v>28.9</v>
      </c>
      <c r="K11" s="160">
        <v>31.400000000000002</v>
      </c>
      <c r="L11" s="160">
        <v>33.5</v>
      </c>
      <c r="M11" s="159">
        <v>35.5</v>
      </c>
      <c r="N11" s="151"/>
      <c r="O11" s="152">
        <v>73</v>
      </c>
      <c r="P11" s="153">
        <v>60.099999999999994</v>
      </c>
      <c r="Q11" s="154">
        <v>133.1</v>
      </c>
      <c r="R11" s="155"/>
      <c r="S11" s="152">
        <v>156.5</v>
      </c>
      <c r="T11" s="156">
        <v>0.17580766341096923</v>
      </c>
    </row>
    <row r="12" spans="1:20" s="126" customFormat="1" ht="28.5">
      <c r="A12" s="127"/>
      <c r="B12" s="161" t="s">
        <v>205</v>
      </c>
      <c r="C12" s="146" t="s">
        <v>203</v>
      </c>
      <c r="D12" s="162">
        <v>2.045009222625886</v>
      </c>
      <c r="E12" s="163">
        <v>4.767388090526449</v>
      </c>
      <c r="F12" s="163">
        <v>7.6061970442930118</v>
      </c>
      <c r="G12" s="163">
        <v>4.3372689204152302</v>
      </c>
      <c r="H12" s="164">
        <v>2.4125534215116247</v>
      </c>
      <c r="I12" s="165">
        <v>3.4076307949790809</v>
      </c>
      <c r="J12" s="163">
        <v>3.4715747954830647</v>
      </c>
      <c r="K12" s="163">
        <v>3.6739106696428543</v>
      </c>
      <c r="L12" s="163">
        <v>3.9044561088709671</v>
      </c>
      <c r="M12" s="164">
        <v>4.0043774064015523</v>
      </c>
      <c r="N12" s="151"/>
      <c r="O12" s="152">
        <v>14.418594357445347</v>
      </c>
      <c r="P12" s="153">
        <v>6.7498223419268548</v>
      </c>
      <c r="Q12" s="154">
        <v>21.168416699372202</v>
      </c>
      <c r="R12" s="155"/>
      <c r="S12" s="152">
        <v>18.461949775377519</v>
      </c>
      <c r="T12" s="156">
        <v>-0.12785400828182625</v>
      </c>
    </row>
    <row r="13" spans="1:20" s="126" customFormat="1" ht="14.25">
      <c r="A13" s="127"/>
      <c r="B13" s="145" t="s">
        <v>206</v>
      </c>
      <c r="C13" s="146" t="s">
        <v>203</v>
      </c>
      <c r="D13" s="157">
        <v>-5.6</v>
      </c>
      <c r="E13" s="158">
        <v>16.399999999999999</v>
      </c>
      <c r="F13" s="158">
        <v>18.100000000000001</v>
      </c>
      <c r="G13" s="158">
        <v>7.3</v>
      </c>
      <c r="H13" s="159">
        <v>10.199999999999999</v>
      </c>
      <c r="I13" s="158">
        <v>9.8000000000000007</v>
      </c>
      <c r="J13" s="160">
        <v>10.5</v>
      </c>
      <c r="K13" s="160">
        <v>11.4</v>
      </c>
      <c r="L13" s="160">
        <v>12.1</v>
      </c>
      <c r="M13" s="159">
        <v>12.9</v>
      </c>
      <c r="N13" s="151"/>
      <c r="O13" s="152">
        <v>28.9</v>
      </c>
      <c r="P13" s="153">
        <v>17.5</v>
      </c>
      <c r="Q13" s="154">
        <v>46.399999999999991</v>
      </c>
      <c r="R13" s="155"/>
      <c r="S13" s="152">
        <v>56.7</v>
      </c>
      <c r="T13" s="156">
        <v>0.22198275862068995</v>
      </c>
    </row>
    <row r="14" spans="1:20" s="126" customFormat="1" ht="29.25" thickBot="1">
      <c r="A14" s="127"/>
      <c r="B14" s="166" t="s">
        <v>207</v>
      </c>
      <c r="C14" s="167" t="s">
        <v>203</v>
      </c>
      <c r="D14" s="168">
        <v>7.6450092226258857</v>
      </c>
      <c r="E14" s="169">
        <v>-11.63261190947355</v>
      </c>
      <c r="F14" s="169">
        <v>-10.49380295570699</v>
      </c>
      <c r="G14" s="169">
        <v>-2.9627310795847697</v>
      </c>
      <c r="H14" s="170">
        <v>-7.7874465784883746</v>
      </c>
      <c r="I14" s="171">
        <v>-6.3923692050209198</v>
      </c>
      <c r="J14" s="169">
        <v>-7.0284252045169353</v>
      </c>
      <c r="K14" s="169">
        <v>-7.7260893303571461</v>
      </c>
      <c r="L14" s="169">
        <v>-8.1955438911290326</v>
      </c>
      <c r="M14" s="170">
        <v>-8.8956225935984481</v>
      </c>
      <c r="N14" s="151"/>
      <c r="O14" s="172">
        <v>-14.481405642554654</v>
      </c>
      <c r="P14" s="173">
        <v>-10.750177658073145</v>
      </c>
      <c r="Q14" s="174">
        <v>-25.231583300627797</v>
      </c>
      <c r="R14" s="155"/>
      <c r="S14" s="172">
        <v>-38.238050224622484</v>
      </c>
      <c r="T14" s="175">
        <v>0.5154835813918609</v>
      </c>
    </row>
    <row r="15" spans="1:20" s="126" customFormat="1" ht="14.25">
      <c r="A15" s="127"/>
      <c r="B15" s="127"/>
      <c r="C15" s="129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30"/>
      <c r="S15" s="127"/>
      <c r="T15" s="127"/>
    </row>
    <row r="16" spans="1:20" s="126" customFormat="1" ht="15">
      <c r="A16" s="127"/>
      <c r="B16" s="128" t="s">
        <v>208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7"/>
      <c r="P16" s="127"/>
      <c r="Q16" s="127"/>
      <c r="R16" s="130"/>
      <c r="S16" s="129"/>
      <c r="T16" s="129"/>
    </row>
    <row r="17" spans="1:20" s="126" customFormat="1" ht="15.75" thickBot="1">
      <c r="A17" s="127"/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130"/>
      <c r="P17" s="130"/>
      <c r="Q17" s="130"/>
      <c r="R17" s="130"/>
      <c r="S17" s="130"/>
      <c r="T17" s="130"/>
    </row>
    <row r="18" spans="1:20" s="126" customFormat="1" ht="15">
      <c r="A18" s="127"/>
      <c r="B18" s="1503"/>
      <c r="C18" s="1505" t="s">
        <v>190</v>
      </c>
      <c r="D18" s="131" t="s">
        <v>191</v>
      </c>
      <c r="E18" s="132"/>
      <c r="F18" s="132"/>
      <c r="G18" s="132"/>
      <c r="H18" s="133"/>
      <c r="I18" s="132" t="s">
        <v>192</v>
      </c>
      <c r="J18" s="134"/>
      <c r="K18" s="134"/>
      <c r="L18" s="134"/>
      <c r="M18" s="133"/>
      <c r="N18" s="130"/>
      <c r="O18" s="130"/>
      <c r="P18" s="130"/>
      <c r="Q18" s="130"/>
      <c r="R18" s="130"/>
      <c r="S18" s="130"/>
      <c r="T18" s="130"/>
    </row>
    <row r="19" spans="1:20" s="126" customFormat="1" ht="15">
      <c r="A19" s="127"/>
      <c r="B19" s="1504"/>
      <c r="C19" s="1506"/>
      <c r="D19" s="138" t="s">
        <v>79</v>
      </c>
      <c r="E19" s="139" t="s">
        <v>80</v>
      </c>
      <c r="F19" s="139" t="s">
        <v>81</v>
      </c>
      <c r="G19" s="139" t="s">
        <v>82</v>
      </c>
      <c r="H19" s="140" t="s">
        <v>44</v>
      </c>
      <c r="I19" s="141" t="s">
        <v>193</v>
      </c>
      <c r="J19" s="139" t="s">
        <v>194</v>
      </c>
      <c r="K19" s="139" t="s">
        <v>195</v>
      </c>
      <c r="L19" s="139" t="s">
        <v>196</v>
      </c>
      <c r="M19" s="140" t="s">
        <v>197</v>
      </c>
      <c r="N19" s="130"/>
      <c r="O19" s="130"/>
      <c r="P19" s="130"/>
      <c r="Q19" s="130"/>
      <c r="R19" s="130"/>
      <c r="S19" s="130"/>
      <c r="T19" s="130"/>
    </row>
    <row r="20" spans="1:20" s="126" customFormat="1" ht="15">
      <c r="A20" s="127"/>
      <c r="B20" s="176"/>
      <c r="C20" s="177"/>
      <c r="D20" s="178"/>
      <c r="E20" s="179"/>
      <c r="F20" s="179"/>
      <c r="G20" s="179"/>
      <c r="H20" s="180"/>
      <c r="I20" s="179"/>
      <c r="J20" s="179"/>
      <c r="K20" s="179"/>
      <c r="L20" s="179"/>
      <c r="M20" s="180"/>
      <c r="N20" s="130"/>
      <c r="O20" s="130"/>
      <c r="P20" s="130"/>
      <c r="Q20" s="130"/>
      <c r="R20" s="130"/>
      <c r="S20" s="130"/>
      <c r="T20" s="130"/>
    </row>
    <row r="21" spans="1:20" s="126" customFormat="1" ht="15">
      <c r="A21" s="127"/>
      <c r="B21" s="181" t="s">
        <v>209</v>
      </c>
      <c r="C21" s="146" t="s">
        <v>210</v>
      </c>
      <c r="D21" s="182">
        <v>4796</v>
      </c>
      <c r="E21" s="158">
        <v>4658.9513070661806</v>
      </c>
      <c r="F21" s="158">
        <v>4826.0106287524131</v>
      </c>
      <c r="G21" s="158">
        <v>4881.0087798210307</v>
      </c>
      <c r="H21" s="159">
        <v>4891.0150350325257</v>
      </c>
      <c r="I21" s="158">
        <v>4901.0151388216536</v>
      </c>
      <c r="J21" s="160">
        <v>4911.0200827760555</v>
      </c>
      <c r="K21" s="160">
        <v>4921.9636723530948</v>
      </c>
      <c r="L21" s="160">
        <v>4931.9598640408049</v>
      </c>
      <c r="M21" s="159">
        <v>4941.9963579009709</v>
      </c>
      <c r="N21" s="183"/>
      <c r="O21" s="183"/>
      <c r="P21" s="183"/>
      <c r="Q21" s="183"/>
      <c r="R21" s="183"/>
      <c r="S21" s="183"/>
      <c r="T21" s="183"/>
    </row>
    <row r="22" spans="1:20" s="126" customFormat="1" ht="15">
      <c r="A22" s="127"/>
      <c r="B22" s="181" t="s">
        <v>987</v>
      </c>
      <c r="C22" s="146" t="s">
        <v>210</v>
      </c>
      <c r="D22" s="157">
        <v>18.411043619575576</v>
      </c>
      <c r="E22" s="158">
        <v>-137.04869293381986</v>
      </c>
      <c r="F22" s="158">
        <v>167.05932168623241</v>
      </c>
      <c r="G22" s="158">
        <v>54.998151068617197</v>
      </c>
      <c r="H22" s="159">
        <v>10.006255211495427</v>
      </c>
      <c r="I22" s="158">
        <v>10.00010378912784</v>
      </c>
      <c r="J22" s="160">
        <v>10.004943954401883</v>
      </c>
      <c r="K22" s="160">
        <v>10.94358957703963</v>
      </c>
      <c r="L22" s="160">
        <v>9.996191687710148</v>
      </c>
      <c r="M22" s="159">
        <v>10.036493860165717</v>
      </c>
      <c r="N22" s="183"/>
      <c r="O22" s="183"/>
      <c r="P22" s="183"/>
      <c r="Q22" s="183"/>
      <c r="R22" s="183"/>
      <c r="S22" s="183"/>
      <c r="T22" s="183"/>
    </row>
    <row r="23" spans="1:20" s="126" customFormat="1" ht="28.5">
      <c r="A23" s="127"/>
      <c r="B23" s="184" t="s">
        <v>211</v>
      </c>
      <c r="C23" s="146" t="s">
        <v>210</v>
      </c>
      <c r="D23" s="185">
        <v>29.788408241052473</v>
      </c>
      <c r="E23" s="186">
        <v>55.943213503808835</v>
      </c>
      <c r="F23" s="186">
        <v>45.741403388645409</v>
      </c>
      <c r="G23" s="186">
        <v>34.568844545640133</v>
      </c>
      <c r="H23" s="187">
        <v>31.480483362369512</v>
      </c>
      <c r="I23" s="186">
        <v>32.59562053245822</v>
      </c>
      <c r="J23" s="188">
        <v>35.600909023399225</v>
      </c>
      <c r="K23" s="188">
        <v>39.339554646036973</v>
      </c>
      <c r="L23" s="188">
        <v>43.69215675670749</v>
      </c>
      <c r="M23" s="187">
        <v>48.732458929163059</v>
      </c>
      <c r="N23" s="183"/>
      <c r="O23" s="183"/>
      <c r="P23" s="183"/>
      <c r="Q23" s="183"/>
      <c r="R23" s="183"/>
      <c r="S23" s="183"/>
      <c r="T23" s="183"/>
    </row>
    <row r="24" spans="1:20" s="126" customFormat="1" ht="28.5">
      <c r="A24" s="127"/>
      <c r="B24" s="184" t="s">
        <v>212</v>
      </c>
      <c r="C24" s="146" t="s">
        <v>210</v>
      </c>
      <c r="D24" s="185">
        <v>-11.377364621476897</v>
      </c>
      <c r="E24" s="186">
        <v>-23.891906437628698</v>
      </c>
      <c r="F24" s="186">
        <v>-30.782081702412999</v>
      </c>
      <c r="G24" s="186">
        <v>-30.070693477022935</v>
      </c>
      <c r="H24" s="187">
        <v>-31.574228150874085</v>
      </c>
      <c r="I24" s="186">
        <v>-29.995516743330381</v>
      </c>
      <c r="J24" s="188">
        <v>-26.995965068997343</v>
      </c>
      <c r="K24" s="188">
        <v>-26.995965068997343</v>
      </c>
      <c r="L24" s="188">
        <v>-26.995965068997343</v>
      </c>
      <c r="M24" s="187">
        <v>-26.995965068997343</v>
      </c>
      <c r="N24" s="183"/>
      <c r="O24" s="183"/>
      <c r="P24" s="183"/>
      <c r="Q24" s="183"/>
      <c r="R24" s="183"/>
      <c r="S24" s="183"/>
      <c r="T24" s="183"/>
    </row>
    <row r="25" spans="1:20" s="126" customFormat="1" ht="28.5">
      <c r="A25" s="127"/>
      <c r="B25" s="184" t="s">
        <v>213</v>
      </c>
      <c r="C25" s="146" t="s">
        <v>210</v>
      </c>
      <c r="D25" s="185">
        <v>0</v>
      </c>
      <c r="E25" s="186">
        <v>-169.1</v>
      </c>
      <c r="F25" s="186">
        <v>152.1</v>
      </c>
      <c r="G25" s="186">
        <v>50.5</v>
      </c>
      <c r="H25" s="187">
        <v>10.1</v>
      </c>
      <c r="I25" s="186">
        <v>7.4</v>
      </c>
      <c r="J25" s="188">
        <v>1.4</v>
      </c>
      <c r="K25" s="188">
        <v>-1.4</v>
      </c>
      <c r="L25" s="188">
        <v>-6.7</v>
      </c>
      <c r="M25" s="187">
        <v>-11.7</v>
      </c>
      <c r="N25" s="183"/>
      <c r="O25" s="183"/>
      <c r="P25" s="183"/>
      <c r="Q25" s="183"/>
      <c r="R25" s="183"/>
      <c r="S25" s="183"/>
      <c r="T25" s="183"/>
    </row>
    <row r="26" spans="1:20" s="126" customFormat="1" ht="15">
      <c r="A26" s="127"/>
      <c r="B26" s="176"/>
      <c r="C26" s="189"/>
      <c r="D26" s="190"/>
      <c r="E26" s="191"/>
      <c r="F26" s="191"/>
      <c r="G26" s="191"/>
      <c r="H26" s="192"/>
      <c r="I26" s="191"/>
      <c r="J26" s="191"/>
      <c r="K26" s="191"/>
      <c r="L26" s="191"/>
      <c r="M26" s="192"/>
      <c r="N26" s="183"/>
      <c r="O26" s="183"/>
      <c r="P26" s="183"/>
      <c r="Q26" s="183"/>
      <c r="R26" s="183"/>
      <c r="S26" s="183"/>
      <c r="T26" s="183"/>
    </row>
    <row r="27" spans="1:20" s="126" customFormat="1" ht="15">
      <c r="A27" s="127"/>
      <c r="B27" s="181" t="s">
        <v>214</v>
      </c>
      <c r="C27" s="146" t="s">
        <v>215</v>
      </c>
      <c r="D27" s="182">
        <v>27442.5</v>
      </c>
      <c r="E27" s="158">
        <v>26786.445197405887</v>
      </c>
      <c r="F27" s="158">
        <v>26750.635090851607</v>
      </c>
      <c r="G27" s="158">
        <v>25371.579153800722</v>
      </c>
      <c r="H27" s="159">
        <v>24285.927659013949</v>
      </c>
      <c r="I27" s="158">
        <v>24194.592671263927</v>
      </c>
      <c r="J27" s="160">
        <v>24710.969172083929</v>
      </c>
      <c r="K27" s="160">
        <v>24690.032871184278</v>
      </c>
      <c r="L27" s="160">
        <v>24748.532077601347</v>
      </c>
      <c r="M27" s="159">
        <v>24685.941626647957</v>
      </c>
      <c r="N27" s="183"/>
      <c r="O27" s="183"/>
      <c r="P27" s="183"/>
      <c r="Q27" s="183"/>
      <c r="R27" s="183"/>
      <c r="S27" s="183"/>
      <c r="T27" s="183"/>
    </row>
    <row r="28" spans="1:20" s="126" customFormat="1" ht="30">
      <c r="A28" s="127"/>
      <c r="B28" s="193" t="s">
        <v>988</v>
      </c>
      <c r="C28" s="146" t="s">
        <v>215</v>
      </c>
      <c r="D28" s="157">
        <v>0</v>
      </c>
      <c r="E28" s="158">
        <v>-656.05480259411513</v>
      </c>
      <c r="F28" s="158">
        <v>-35.810106554279912</v>
      </c>
      <c r="G28" s="158">
        <v>-1379.0559370508863</v>
      </c>
      <c r="H28" s="159">
        <v>-1085.6514947867727</v>
      </c>
      <c r="I28" s="158">
        <v>-91.334987750022265</v>
      </c>
      <c r="J28" s="160">
        <v>516.37650082000255</v>
      </c>
      <c r="K28" s="160">
        <v>-20.936300899651542</v>
      </c>
      <c r="L28" s="160">
        <v>58.499206417069217</v>
      </c>
      <c r="M28" s="159">
        <v>-62.59045095339026</v>
      </c>
      <c r="N28" s="183"/>
      <c r="O28" s="183"/>
      <c r="P28" s="183"/>
      <c r="Q28" s="183"/>
      <c r="R28" s="183"/>
      <c r="S28" s="183"/>
      <c r="T28" s="183"/>
    </row>
    <row r="29" spans="1:20" s="126" customFormat="1" ht="28.5">
      <c r="A29" s="127"/>
      <c r="B29" s="194" t="s">
        <v>216</v>
      </c>
      <c r="C29" s="146" t="s">
        <v>215</v>
      </c>
      <c r="D29" s="185">
        <v>0</v>
      </c>
      <c r="E29" s="186">
        <v>-457.1</v>
      </c>
      <c r="F29" s="186">
        <v>7.3</v>
      </c>
      <c r="G29" s="186">
        <v>-130</v>
      </c>
      <c r="H29" s="187">
        <v>21.790992851614646</v>
      </c>
      <c r="I29" s="186">
        <v>-26.763058476932116</v>
      </c>
      <c r="J29" s="188">
        <v>599.76576011759266</v>
      </c>
      <c r="K29" s="188">
        <v>89.485711399578562</v>
      </c>
      <c r="L29" s="188">
        <v>205.87934611450001</v>
      </c>
      <c r="M29" s="187">
        <v>122.90668715687468</v>
      </c>
      <c r="N29" s="183"/>
      <c r="O29" s="183"/>
      <c r="P29" s="183"/>
      <c r="Q29" s="183"/>
      <c r="R29" s="183"/>
      <c r="S29" s="183"/>
      <c r="T29" s="183"/>
    </row>
    <row r="30" spans="1:20" s="126" customFormat="1" ht="28.5">
      <c r="A30" s="127"/>
      <c r="B30" s="194" t="s">
        <v>217</v>
      </c>
      <c r="C30" s="146" t="s">
        <v>215</v>
      </c>
      <c r="D30" s="185">
        <v>0</v>
      </c>
      <c r="E30" s="186">
        <v>-54.885017293623179</v>
      </c>
      <c r="F30" s="186">
        <v>-53.572786189936423</v>
      </c>
      <c r="G30" s="186">
        <v>-53.501224357635863</v>
      </c>
      <c r="H30" s="187">
        <v>-50.743232262663689</v>
      </c>
      <c r="I30" s="186">
        <v>-48.571929273090142</v>
      </c>
      <c r="J30" s="188">
        <v>-48.389259297590101</v>
      </c>
      <c r="K30" s="188">
        <v>-49.422012299230104</v>
      </c>
      <c r="L30" s="188">
        <v>-49.380139697430799</v>
      </c>
      <c r="M30" s="187">
        <v>-49.497138110264942</v>
      </c>
      <c r="N30" s="183"/>
      <c r="O30" s="183"/>
      <c r="P30" s="183"/>
      <c r="Q30" s="183"/>
      <c r="R30" s="183"/>
      <c r="S30" s="183"/>
      <c r="T30" s="183"/>
    </row>
    <row r="31" spans="1:20" s="126" customFormat="1" ht="14.25">
      <c r="A31" s="127"/>
      <c r="B31" s="194" t="s">
        <v>218</v>
      </c>
      <c r="C31" s="146" t="s">
        <v>215</v>
      </c>
      <c r="D31" s="185">
        <v>0</v>
      </c>
      <c r="E31" s="186">
        <v>0</v>
      </c>
      <c r="F31" s="186">
        <v>0</v>
      </c>
      <c r="G31" s="186">
        <v>0</v>
      </c>
      <c r="H31" s="187">
        <v>-1</v>
      </c>
      <c r="I31" s="186">
        <v>-16</v>
      </c>
      <c r="J31" s="188">
        <v>-35</v>
      </c>
      <c r="K31" s="188">
        <v>-61</v>
      </c>
      <c r="L31" s="188">
        <v>-98</v>
      </c>
      <c r="M31" s="187">
        <v>-136</v>
      </c>
      <c r="N31" s="183"/>
      <c r="O31" s="183"/>
      <c r="P31" s="183"/>
      <c r="Q31" s="183"/>
      <c r="R31" s="183"/>
      <c r="S31" s="183"/>
      <c r="T31" s="183"/>
    </row>
    <row r="32" spans="1:20" s="126" customFormat="1" ht="14.25">
      <c r="A32" s="127"/>
      <c r="B32" s="194" t="s">
        <v>219</v>
      </c>
      <c r="C32" s="146" t="s">
        <v>215</v>
      </c>
      <c r="D32" s="185">
        <v>0</v>
      </c>
      <c r="E32" s="186">
        <v>0</v>
      </c>
      <c r="F32" s="186">
        <v>0</v>
      </c>
      <c r="G32" s="186">
        <v>0</v>
      </c>
      <c r="H32" s="187">
        <v>0</v>
      </c>
      <c r="I32" s="186">
        <v>0</v>
      </c>
      <c r="J32" s="188">
        <v>0</v>
      </c>
      <c r="K32" s="188">
        <v>0</v>
      </c>
      <c r="L32" s="188">
        <v>0</v>
      </c>
      <c r="M32" s="187">
        <v>0</v>
      </c>
      <c r="N32" s="183"/>
      <c r="O32" s="183"/>
      <c r="P32" s="183"/>
      <c r="Q32" s="183"/>
      <c r="R32" s="183"/>
      <c r="S32" s="183"/>
      <c r="T32" s="183"/>
    </row>
    <row r="33" spans="1:20" s="126" customFormat="1" ht="14.25">
      <c r="A33" s="127"/>
      <c r="B33" s="194" t="s">
        <v>220</v>
      </c>
      <c r="C33" s="146" t="s">
        <v>215</v>
      </c>
      <c r="D33" s="185">
        <v>0</v>
      </c>
      <c r="E33" s="186">
        <v>-144.06978530049193</v>
      </c>
      <c r="F33" s="186">
        <v>10.462679635656512</v>
      </c>
      <c r="G33" s="186">
        <v>-165.09025644655472</v>
      </c>
      <c r="H33" s="187">
        <v>0</v>
      </c>
      <c r="I33" s="186">
        <v>0</v>
      </c>
      <c r="J33" s="188">
        <v>0</v>
      </c>
      <c r="K33" s="188">
        <v>0</v>
      </c>
      <c r="L33" s="188">
        <v>0</v>
      </c>
      <c r="M33" s="187">
        <v>0</v>
      </c>
      <c r="N33" s="183"/>
      <c r="O33" s="183"/>
      <c r="P33" s="183"/>
      <c r="Q33" s="183"/>
      <c r="R33" s="183"/>
      <c r="S33" s="183"/>
      <c r="T33" s="183"/>
    </row>
    <row r="34" spans="1:20" s="126" customFormat="1" ht="28.5">
      <c r="A34" s="127"/>
      <c r="B34" s="194" t="s">
        <v>221</v>
      </c>
      <c r="C34" s="146" t="s">
        <v>215</v>
      </c>
      <c r="D34" s="185">
        <v>0</v>
      </c>
      <c r="E34" s="186">
        <v>0</v>
      </c>
      <c r="F34" s="186">
        <v>0</v>
      </c>
      <c r="G34" s="186">
        <v>-1030.4644562466956</v>
      </c>
      <c r="H34" s="187">
        <v>-1055.6992553757236</v>
      </c>
      <c r="I34" s="186">
        <v>0</v>
      </c>
      <c r="J34" s="188">
        <v>0</v>
      </c>
      <c r="K34" s="188">
        <v>0</v>
      </c>
      <c r="L34" s="188">
        <v>0</v>
      </c>
      <c r="M34" s="187">
        <v>0</v>
      </c>
      <c r="N34" s="183"/>
      <c r="O34" s="183"/>
      <c r="P34" s="183"/>
      <c r="Q34" s="183"/>
      <c r="R34" s="183"/>
      <c r="S34" s="183"/>
      <c r="T34" s="183"/>
    </row>
    <row r="35" spans="1:20" s="126" customFormat="1" ht="15">
      <c r="A35" s="127"/>
      <c r="B35" s="176"/>
      <c r="C35" s="189"/>
      <c r="D35" s="195"/>
      <c r="E35" s="196"/>
      <c r="F35" s="196"/>
      <c r="G35" s="196"/>
      <c r="H35" s="197"/>
      <c r="I35" s="196"/>
      <c r="J35" s="196"/>
      <c r="K35" s="196"/>
      <c r="L35" s="196"/>
      <c r="M35" s="197"/>
      <c r="N35" s="183"/>
      <c r="O35" s="183"/>
      <c r="P35" s="183"/>
      <c r="Q35" s="183"/>
      <c r="R35" s="183"/>
      <c r="S35" s="183"/>
      <c r="T35" s="183"/>
    </row>
    <row r="36" spans="1:20" s="126" customFormat="1" ht="15">
      <c r="A36" s="127"/>
      <c r="B36" s="181" t="s">
        <v>214</v>
      </c>
      <c r="C36" s="146"/>
      <c r="D36" s="198"/>
      <c r="E36" s="199"/>
      <c r="F36" s="199"/>
      <c r="G36" s="199"/>
      <c r="H36" s="200"/>
      <c r="I36" s="199"/>
      <c r="J36" s="199"/>
      <c r="K36" s="199"/>
      <c r="L36" s="199"/>
      <c r="M36" s="200"/>
      <c r="N36" s="183"/>
      <c r="O36" s="183"/>
      <c r="P36" s="183"/>
      <c r="Q36" s="183"/>
      <c r="R36" s="183"/>
      <c r="S36" s="183"/>
      <c r="T36" s="183"/>
    </row>
    <row r="37" spans="1:20" s="126" customFormat="1" ht="14.25">
      <c r="A37" s="127"/>
      <c r="B37" s="184" t="s">
        <v>222</v>
      </c>
      <c r="C37" s="146" t="s">
        <v>215</v>
      </c>
      <c r="D37" s="185">
        <v>17231.534288632341</v>
      </c>
      <c r="E37" s="186">
        <v>16986.07185731611</v>
      </c>
      <c r="F37" s="186">
        <v>17083.980089974037</v>
      </c>
      <c r="G37" s="186">
        <v>16260.70716609991</v>
      </c>
      <c r="H37" s="187">
        <v>15739.435991959641</v>
      </c>
      <c r="I37" s="186">
        <v>15703.638888327863</v>
      </c>
      <c r="J37" s="188">
        <v>16138.156491596999</v>
      </c>
      <c r="K37" s="188">
        <v>16185.009469663044</v>
      </c>
      <c r="L37" s="188">
        <v>16226.018192180643</v>
      </c>
      <c r="M37" s="187">
        <v>16227.415795658475</v>
      </c>
      <c r="N37" s="183"/>
      <c r="O37" s="183"/>
      <c r="P37" s="183"/>
      <c r="Q37" s="183"/>
      <c r="R37" s="183"/>
      <c r="S37" s="183"/>
      <c r="T37" s="183"/>
    </row>
    <row r="38" spans="1:20" s="126" customFormat="1" ht="14.25">
      <c r="A38" s="127"/>
      <c r="B38" s="184" t="s">
        <v>223</v>
      </c>
      <c r="C38" s="146" t="s">
        <v>215</v>
      </c>
      <c r="D38" s="185">
        <v>9571.7151826030058</v>
      </c>
      <c r="E38" s="186">
        <v>9219.5604920406713</v>
      </c>
      <c r="F38" s="186">
        <v>9050.8322700025674</v>
      </c>
      <c r="G38" s="186">
        <v>8539.2830338536824</v>
      </c>
      <c r="H38" s="187">
        <v>8008.0371776174552</v>
      </c>
      <c r="I38" s="186">
        <v>7953.8623516927528</v>
      </c>
      <c r="J38" s="188">
        <v>8023.7787345524584</v>
      </c>
      <c r="K38" s="188">
        <v>7954.8623478699565</v>
      </c>
      <c r="L38" s="188">
        <v>7972.3528317694263</v>
      </c>
      <c r="M38" s="187">
        <v>7909.1404156413928</v>
      </c>
      <c r="N38" s="183"/>
      <c r="O38" s="183"/>
      <c r="P38" s="183"/>
      <c r="Q38" s="183"/>
      <c r="R38" s="183"/>
      <c r="S38" s="183"/>
      <c r="T38" s="183"/>
    </row>
    <row r="39" spans="1:20" s="126" customFormat="1" ht="14.25">
      <c r="A39" s="127"/>
      <c r="B39" s="184" t="s">
        <v>224</v>
      </c>
      <c r="C39" s="146" t="s">
        <v>215</v>
      </c>
      <c r="D39" s="185">
        <v>639.25917557624075</v>
      </c>
      <c r="E39" s="186">
        <v>580.76074561142593</v>
      </c>
      <c r="F39" s="186">
        <v>615.79981884132508</v>
      </c>
      <c r="G39" s="186">
        <v>571.62593137825104</v>
      </c>
      <c r="H39" s="187">
        <v>538.49146696797357</v>
      </c>
      <c r="I39" s="186">
        <v>537.12840877443</v>
      </c>
      <c r="J39" s="188">
        <v>549.0709234655933</v>
      </c>
      <c r="K39" s="188">
        <v>550.19803118240134</v>
      </c>
      <c r="L39" s="188">
        <v>550.19803118240134</v>
      </c>
      <c r="M39" s="187">
        <v>549.42239287921188</v>
      </c>
      <c r="N39" s="183"/>
      <c r="O39" s="183"/>
      <c r="P39" s="183"/>
      <c r="Q39" s="183"/>
      <c r="R39" s="183"/>
      <c r="S39" s="183"/>
      <c r="T39" s="183"/>
    </row>
    <row r="40" spans="1:20" s="126" customFormat="1" ht="15">
      <c r="A40" s="127"/>
      <c r="B40" s="181" t="s">
        <v>225</v>
      </c>
      <c r="C40" s="146" t="s">
        <v>215</v>
      </c>
      <c r="D40" s="162">
        <v>27442.508646811588</v>
      </c>
      <c r="E40" s="165">
        <v>26786.393094968211</v>
      </c>
      <c r="F40" s="165">
        <v>26750.61217881793</v>
      </c>
      <c r="G40" s="165">
        <v>25371.616131331844</v>
      </c>
      <c r="H40" s="164">
        <v>24285.964636545072</v>
      </c>
      <c r="I40" s="165">
        <v>24194.629648795049</v>
      </c>
      <c r="J40" s="163">
        <v>24711.006149615052</v>
      </c>
      <c r="K40" s="163">
        <v>24690.0698487154</v>
      </c>
      <c r="L40" s="163">
        <v>24748.56905513247</v>
      </c>
      <c r="M40" s="164">
        <v>24685.978604179079</v>
      </c>
      <c r="N40" s="183"/>
      <c r="O40" s="183"/>
      <c r="P40" s="183"/>
      <c r="Q40" s="183"/>
      <c r="R40" s="183"/>
      <c r="S40" s="183"/>
      <c r="T40" s="183"/>
    </row>
    <row r="41" spans="1:20" s="126" customFormat="1" ht="15">
      <c r="A41" s="127"/>
      <c r="B41" s="193"/>
      <c r="C41" s="146"/>
      <c r="D41" s="190"/>
      <c r="E41" s="191"/>
      <c r="F41" s="191"/>
      <c r="G41" s="191"/>
      <c r="H41" s="192"/>
      <c r="I41" s="191"/>
      <c r="J41" s="191"/>
      <c r="K41" s="191"/>
      <c r="L41" s="191"/>
      <c r="M41" s="192"/>
      <c r="N41" s="183"/>
      <c r="O41" s="183"/>
      <c r="P41" s="183"/>
      <c r="Q41" s="183"/>
      <c r="R41" s="183"/>
      <c r="S41" s="183"/>
      <c r="T41" s="183"/>
    </row>
    <row r="42" spans="1:20" s="126" customFormat="1" ht="45">
      <c r="A42" s="127"/>
      <c r="B42" s="193" t="s">
        <v>226</v>
      </c>
      <c r="C42" s="146"/>
      <c r="D42" s="198"/>
      <c r="E42" s="199"/>
      <c r="F42" s="199"/>
      <c r="G42" s="199"/>
      <c r="H42" s="200"/>
      <c r="I42" s="199"/>
      <c r="J42" s="199"/>
      <c r="K42" s="199"/>
      <c r="L42" s="199"/>
      <c r="M42" s="200"/>
      <c r="N42" s="183"/>
      <c r="O42" s="183"/>
      <c r="P42" s="183"/>
      <c r="Q42" s="183"/>
      <c r="R42" s="183"/>
      <c r="S42" s="183"/>
      <c r="T42" s="183"/>
    </row>
    <row r="43" spans="1:20" s="126" customFormat="1" ht="14.25">
      <c r="A43" s="127"/>
      <c r="B43" s="184" t="s">
        <v>222</v>
      </c>
      <c r="C43" s="146" t="s">
        <v>227</v>
      </c>
      <c r="D43" s="185">
        <v>150986.26417066815</v>
      </c>
      <c r="E43" s="186">
        <v>203584.55404342199</v>
      </c>
      <c r="F43" s="186">
        <v>192253.5893249269</v>
      </c>
      <c r="G43" s="186">
        <v>132484.41094598046</v>
      </c>
      <c r="H43" s="187">
        <v>122176.02190486882</v>
      </c>
      <c r="I43" s="186">
        <v>125837.56714792983</v>
      </c>
      <c r="J43" s="188">
        <v>137088.3975282902</v>
      </c>
      <c r="K43" s="188">
        <v>151224.35070925605</v>
      </c>
      <c r="L43" s="188">
        <v>167392.03205629866</v>
      </c>
      <c r="M43" s="187">
        <v>185894.69171820194</v>
      </c>
      <c r="N43" s="183"/>
      <c r="O43" s="183"/>
      <c r="P43" s="183"/>
      <c r="Q43" s="183"/>
      <c r="R43" s="183"/>
      <c r="S43" s="183"/>
      <c r="T43" s="183"/>
    </row>
    <row r="44" spans="1:20" s="126" customFormat="1" ht="14.25">
      <c r="A44" s="127"/>
      <c r="B44" s="184" t="s">
        <v>223</v>
      </c>
      <c r="C44" s="146" t="s">
        <v>227</v>
      </c>
      <c r="D44" s="185">
        <v>83864.249071945393</v>
      </c>
      <c r="E44" s="186">
        <v>323226.79329812288</v>
      </c>
      <c r="F44" s="186">
        <v>212281.3804633618</v>
      </c>
      <c r="G44" s="186">
        <v>186685.31277786181</v>
      </c>
      <c r="H44" s="187">
        <v>166269.60964441008</v>
      </c>
      <c r="I44" s="186">
        <v>173692.03248024115</v>
      </c>
      <c r="J44" s="188">
        <v>190606.7963286067</v>
      </c>
      <c r="K44" s="188">
        <v>211244.83275900036</v>
      </c>
      <c r="L44" s="188">
        <v>235871.04812542369</v>
      </c>
      <c r="M44" s="187">
        <v>264843.88721184368</v>
      </c>
      <c r="N44" s="183"/>
      <c r="O44" s="183"/>
      <c r="P44" s="183"/>
      <c r="Q44" s="183"/>
      <c r="R44" s="183"/>
      <c r="S44" s="183"/>
      <c r="T44" s="183"/>
    </row>
    <row r="45" spans="1:20" s="126" customFormat="1" ht="14.25">
      <c r="A45" s="127"/>
      <c r="B45" s="184" t="s">
        <v>224</v>
      </c>
      <c r="C45" s="146" t="s">
        <v>227</v>
      </c>
      <c r="D45" s="185">
        <v>0</v>
      </c>
      <c r="E45" s="186">
        <v>0</v>
      </c>
      <c r="F45" s="186">
        <v>0</v>
      </c>
      <c r="G45" s="186">
        <v>0</v>
      </c>
      <c r="H45" s="187">
        <v>0</v>
      </c>
      <c r="I45" s="186">
        <v>0</v>
      </c>
      <c r="J45" s="188">
        <v>0</v>
      </c>
      <c r="K45" s="188">
        <v>0</v>
      </c>
      <c r="L45" s="188">
        <v>0</v>
      </c>
      <c r="M45" s="187">
        <v>0</v>
      </c>
      <c r="N45" s="183"/>
      <c r="O45" s="183"/>
      <c r="P45" s="183"/>
      <c r="Q45" s="183"/>
      <c r="R45" s="183"/>
      <c r="S45" s="183"/>
      <c r="T45" s="183"/>
    </row>
    <row r="46" spans="1:20" s="126" customFormat="1" ht="30.75" thickBot="1">
      <c r="A46" s="127"/>
      <c r="B46" s="201" t="s">
        <v>228</v>
      </c>
      <c r="C46" s="167" t="s">
        <v>227</v>
      </c>
      <c r="D46" s="168">
        <v>234850.51324261352</v>
      </c>
      <c r="E46" s="171">
        <v>526811.34734154493</v>
      </c>
      <c r="F46" s="171">
        <v>404534.9697882887</v>
      </c>
      <c r="G46" s="171">
        <v>319169.7237238423</v>
      </c>
      <c r="H46" s="170">
        <v>288445.63154927891</v>
      </c>
      <c r="I46" s="171">
        <v>299529.59962817095</v>
      </c>
      <c r="J46" s="169">
        <v>327695.19385689689</v>
      </c>
      <c r="K46" s="169">
        <v>362469.18346825638</v>
      </c>
      <c r="L46" s="169">
        <v>403263.08018172235</v>
      </c>
      <c r="M46" s="170">
        <v>450738.57893004559</v>
      </c>
      <c r="N46" s="202"/>
      <c r="O46" s="183"/>
      <c r="P46" s="183"/>
      <c r="Q46" s="183"/>
      <c r="R46" s="183"/>
      <c r="S46" s="183"/>
      <c r="T46" s="183"/>
    </row>
    <row r="47" spans="1:20" s="126" customFormat="1" ht="14.25">
      <c r="A47" s="130"/>
      <c r="B47" s="130"/>
      <c r="C47" s="130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</row>
    <row r="48" spans="1:20" s="126" customFormat="1" ht="14.25">
      <c r="A48" s="127"/>
      <c r="B48" s="127"/>
      <c r="C48" s="129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183"/>
      <c r="O48" s="183"/>
      <c r="P48" s="183"/>
      <c r="Q48" s="183"/>
      <c r="R48" s="183"/>
      <c r="S48" s="183"/>
      <c r="T48" s="183"/>
    </row>
    <row r="49" spans="1:20" s="126" customFormat="1" ht="15">
      <c r="A49" s="127"/>
      <c r="B49" s="128" t="s">
        <v>229</v>
      </c>
      <c r="C49" s="129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151"/>
      <c r="P49" s="151"/>
      <c r="Q49" s="151"/>
      <c r="R49" s="155"/>
      <c r="S49" s="203"/>
      <c r="T49" s="203"/>
    </row>
    <row r="50" spans="1:20" s="126" customFormat="1" ht="15.75" thickBot="1">
      <c r="A50" s="127"/>
      <c r="B50" s="128"/>
      <c r="C50" s="129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183"/>
      <c r="O50" s="183"/>
      <c r="P50" s="183"/>
      <c r="Q50" s="183"/>
      <c r="R50" s="183"/>
      <c r="S50" s="183"/>
      <c r="T50" s="183"/>
    </row>
    <row r="51" spans="1:20" s="126" customFormat="1" ht="14.25">
      <c r="A51" s="127"/>
      <c r="B51" s="1503"/>
      <c r="C51" s="1505" t="s">
        <v>190</v>
      </c>
      <c r="D51" s="204" t="s">
        <v>191</v>
      </c>
      <c r="E51" s="205"/>
      <c r="F51" s="205"/>
      <c r="G51" s="205"/>
      <c r="H51" s="206"/>
      <c r="I51" s="205" t="s">
        <v>192</v>
      </c>
      <c r="J51" s="207"/>
      <c r="K51" s="207"/>
      <c r="L51" s="207"/>
      <c r="M51" s="206"/>
      <c r="N51" s="183"/>
      <c r="O51" s="183"/>
      <c r="P51" s="183"/>
      <c r="Q51" s="183"/>
      <c r="R51" s="183"/>
      <c r="S51" s="183"/>
      <c r="T51" s="183"/>
    </row>
    <row r="52" spans="1:20" s="126" customFormat="1" ht="14.25">
      <c r="A52" s="127"/>
      <c r="B52" s="1504"/>
      <c r="C52" s="1506"/>
      <c r="D52" s="208" t="s">
        <v>79</v>
      </c>
      <c r="E52" s="209" t="s">
        <v>80</v>
      </c>
      <c r="F52" s="209" t="s">
        <v>81</v>
      </c>
      <c r="G52" s="209" t="s">
        <v>82</v>
      </c>
      <c r="H52" s="210" t="s">
        <v>44</v>
      </c>
      <c r="I52" s="211" t="s">
        <v>193</v>
      </c>
      <c r="J52" s="209" t="s">
        <v>194</v>
      </c>
      <c r="K52" s="209" t="s">
        <v>195</v>
      </c>
      <c r="L52" s="209" t="s">
        <v>196</v>
      </c>
      <c r="M52" s="210" t="s">
        <v>197</v>
      </c>
      <c r="N52" s="183"/>
      <c r="O52" s="183"/>
      <c r="P52" s="183"/>
      <c r="Q52" s="183"/>
      <c r="R52" s="183"/>
      <c r="S52" s="183"/>
      <c r="T52" s="183"/>
    </row>
    <row r="53" spans="1:20" s="126" customFormat="1" ht="15">
      <c r="A53" s="127"/>
      <c r="B53" s="212" t="s">
        <v>230</v>
      </c>
      <c r="C53" s="213"/>
      <c r="D53" s="214"/>
      <c r="E53" s="215"/>
      <c r="F53" s="215"/>
      <c r="G53" s="215"/>
      <c r="H53" s="216"/>
      <c r="I53" s="217"/>
      <c r="J53" s="217"/>
      <c r="K53" s="217"/>
      <c r="L53" s="217"/>
      <c r="M53" s="218"/>
      <c r="N53" s="219"/>
      <c r="O53" s="183"/>
      <c r="P53" s="183"/>
      <c r="Q53" s="183"/>
      <c r="R53" s="183"/>
      <c r="S53" s="183"/>
      <c r="T53" s="183"/>
    </row>
    <row r="54" spans="1:20" s="126" customFormat="1" ht="30">
      <c r="A54" s="127"/>
      <c r="B54" s="181" t="s">
        <v>231</v>
      </c>
      <c r="C54" s="220"/>
      <c r="D54" s="221"/>
      <c r="E54" s="222"/>
      <c r="F54" s="222"/>
      <c r="G54" s="222"/>
      <c r="H54" s="223"/>
      <c r="I54" s="224"/>
      <c r="J54" s="224"/>
      <c r="K54" s="224"/>
      <c r="L54" s="224"/>
      <c r="M54" s="225"/>
      <c r="N54" s="219"/>
      <c r="O54" s="183"/>
      <c r="P54" s="183"/>
      <c r="Q54" s="183"/>
      <c r="R54" s="183"/>
      <c r="S54" s="183"/>
      <c r="T54" s="183"/>
    </row>
    <row r="55" spans="1:20" s="126" customFormat="1" ht="14.25">
      <c r="A55" s="127"/>
      <c r="B55" s="184" t="s">
        <v>232</v>
      </c>
      <c r="C55" s="220" t="s">
        <v>233</v>
      </c>
      <c r="D55" s="226">
        <v>1</v>
      </c>
      <c r="E55" s="227">
        <v>0</v>
      </c>
      <c r="F55" s="227">
        <v>4</v>
      </c>
      <c r="G55" s="227">
        <v>4</v>
      </c>
      <c r="H55" s="228">
        <v>3</v>
      </c>
      <c r="I55" s="227">
        <v>3</v>
      </c>
      <c r="J55" s="229">
        <v>4</v>
      </c>
      <c r="K55" s="229">
        <v>4</v>
      </c>
      <c r="L55" s="229">
        <v>5</v>
      </c>
      <c r="M55" s="228">
        <v>5</v>
      </c>
      <c r="N55" s="183"/>
      <c r="O55" s="183"/>
      <c r="P55" s="183"/>
      <c r="Q55" s="183"/>
      <c r="R55" s="183"/>
      <c r="S55" s="183"/>
      <c r="T55" s="183"/>
    </row>
    <row r="56" spans="1:20" s="126" customFormat="1" ht="14.25">
      <c r="A56" s="127"/>
      <c r="B56" s="184" t="s">
        <v>234</v>
      </c>
      <c r="C56" s="220" t="s">
        <v>233</v>
      </c>
      <c r="D56" s="226">
        <v>34709</v>
      </c>
      <c r="E56" s="227">
        <v>32183</v>
      </c>
      <c r="F56" s="227">
        <v>29520</v>
      </c>
      <c r="G56" s="227">
        <v>20064</v>
      </c>
      <c r="H56" s="228">
        <v>21471</v>
      </c>
      <c r="I56" s="227">
        <v>21340</v>
      </c>
      <c r="J56" s="229">
        <v>22365</v>
      </c>
      <c r="K56" s="229">
        <v>24164</v>
      </c>
      <c r="L56" s="229">
        <v>26142</v>
      </c>
      <c r="M56" s="228">
        <v>28314</v>
      </c>
      <c r="N56" s="183"/>
      <c r="O56" s="183"/>
      <c r="P56" s="183"/>
      <c r="Q56" s="183"/>
      <c r="R56" s="183"/>
      <c r="S56" s="183"/>
      <c r="T56" s="183"/>
    </row>
    <row r="57" spans="1:20" s="126" customFormat="1" ht="14.25">
      <c r="A57" s="127"/>
      <c r="B57" s="184" t="s">
        <v>235</v>
      </c>
      <c r="C57" s="220" t="s">
        <v>233</v>
      </c>
      <c r="D57" s="226">
        <v>6042</v>
      </c>
      <c r="E57" s="227">
        <v>12688</v>
      </c>
      <c r="F57" s="227">
        <v>16347</v>
      </c>
      <c r="G57" s="227">
        <v>15969</v>
      </c>
      <c r="H57" s="228">
        <v>16768</v>
      </c>
      <c r="I57" s="227">
        <v>15929</v>
      </c>
      <c r="J57" s="229">
        <v>14336</v>
      </c>
      <c r="K57" s="229">
        <v>14336</v>
      </c>
      <c r="L57" s="229">
        <v>14336</v>
      </c>
      <c r="M57" s="228">
        <v>14336</v>
      </c>
      <c r="N57" s="183"/>
      <c r="O57" s="183"/>
      <c r="P57" s="183"/>
      <c r="Q57" s="183"/>
      <c r="R57" s="183"/>
      <c r="S57" s="183"/>
      <c r="T57" s="183"/>
    </row>
    <row r="58" spans="1:20" s="126" customFormat="1" ht="30">
      <c r="A58" s="127"/>
      <c r="B58" s="181" t="s">
        <v>236</v>
      </c>
      <c r="C58" s="220"/>
      <c r="D58" s="230"/>
      <c r="E58" s="231"/>
      <c r="F58" s="231"/>
      <c r="G58" s="231"/>
      <c r="H58" s="232"/>
      <c r="I58" s="233"/>
      <c r="J58" s="233"/>
      <c r="K58" s="233"/>
      <c r="L58" s="233"/>
      <c r="M58" s="234"/>
      <c r="N58" s="219"/>
      <c r="O58" s="183"/>
      <c r="P58" s="183"/>
      <c r="Q58" s="183"/>
      <c r="R58" s="183"/>
      <c r="S58" s="183"/>
      <c r="T58" s="183"/>
    </row>
    <row r="59" spans="1:20" s="126" customFormat="1" ht="14.25">
      <c r="A59" s="127"/>
      <c r="B59" s="184" t="s">
        <v>232</v>
      </c>
      <c r="C59" s="220" t="s">
        <v>233</v>
      </c>
      <c r="D59" s="226">
        <v>2</v>
      </c>
      <c r="E59" s="227">
        <v>5</v>
      </c>
      <c r="F59" s="227">
        <v>6</v>
      </c>
      <c r="G59" s="227">
        <v>5</v>
      </c>
      <c r="H59" s="228">
        <v>5</v>
      </c>
      <c r="I59" s="227">
        <v>5</v>
      </c>
      <c r="J59" s="229">
        <v>6</v>
      </c>
      <c r="K59" s="229">
        <v>6</v>
      </c>
      <c r="L59" s="229">
        <v>7</v>
      </c>
      <c r="M59" s="228">
        <v>8</v>
      </c>
      <c r="N59" s="183"/>
      <c r="O59" s="183"/>
      <c r="P59" s="183"/>
      <c r="Q59" s="183"/>
      <c r="R59" s="183"/>
      <c r="S59" s="183"/>
      <c r="T59" s="183"/>
    </row>
    <row r="60" spans="1:20" s="126" customFormat="1" ht="14.25">
      <c r="A60" s="127"/>
      <c r="B60" s="184" t="s">
        <v>234</v>
      </c>
      <c r="C60" s="220" t="s">
        <v>233</v>
      </c>
      <c r="D60" s="226">
        <v>54</v>
      </c>
      <c r="E60" s="227">
        <v>615</v>
      </c>
      <c r="F60" s="227">
        <v>376</v>
      </c>
      <c r="G60" s="227">
        <v>336</v>
      </c>
      <c r="H60" s="228">
        <v>302</v>
      </c>
      <c r="I60" s="227">
        <v>317</v>
      </c>
      <c r="J60" s="229">
        <v>348</v>
      </c>
      <c r="K60" s="229">
        <v>386</v>
      </c>
      <c r="L60" s="229">
        <v>432</v>
      </c>
      <c r="M60" s="228">
        <v>488</v>
      </c>
      <c r="N60" s="183"/>
      <c r="O60" s="183"/>
      <c r="P60" s="183"/>
      <c r="Q60" s="183"/>
      <c r="R60" s="183"/>
      <c r="S60" s="183"/>
      <c r="T60" s="183"/>
    </row>
    <row r="61" spans="1:20" s="126" customFormat="1" ht="14.25">
      <c r="A61" s="127"/>
      <c r="B61" s="184" t="s">
        <v>235</v>
      </c>
      <c r="C61" s="220" t="s">
        <v>233</v>
      </c>
      <c r="D61" s="226">
        <v>61</v>
      </c>
      <c r="E61" s="227">
        <v>128</v>
      </c>
      <c r="F61" s="227">
        <v>165</v>
      </c>
      <c r="G61" s="227">
        <v>161</v>
      </c>
      <c r="H61" s="228">
        <v>169</v>
      </c>
      <c r="I61" s="227">
        <v>161</v>
      </c>
      <c r="J61" s="229">
        <v>145</v>
      </c>
      <c r="K61" s="229">
        <v>145</v>
      </c>
      <c r="L61" s="229">
        <v>145</v>
      </c>
      <c r="M61" s="228">
        <v>145</v>
      </c>
      <c r="N61" s="183"/>
      <c r="O61" s="183"/>
      <c r="P61" s="183"/>
      <c r="Q61" s="183"/>
      <c r="R61" s="183"/>
      <c r="S61" s="183"/>
      <c r="T61" s="183"/>
    </row>
    <row r="62" spans="1:20" s="126" customFormat="1" ht="30">
      <c r="A62" s="127"/>
      <c r="B62" s="181" t="s">
        <v>237</v>
      </c>
      <c r="C62" s="220"/>
      <c r="D62" s="230"/>
      <c r="E62" s="231"/>
      <c r="F62" s="231"/>
      <c r="G62" s="231"/>
      <c r="H62" s="232"/>
      <c r="I62" s="233"/>
      <c r="J62" s="233"/>
      <c r="K62" s="233"/>
      <c r="L62" s="233"/>
      <c r="M62" s="234"/>
      <c r="N62" s="219"/>
      <c r="O62" s="183"/>
      <c r="P62" s="183"/>
      <c r="Q62" s="183"/>
      <c r="R62" s="183"/>
      <c r="S62" s="183"/>
      <c r="T62" s="183"/>
    </row>
    <row r="63" spans="1:20" s="126" customFormat="1" ht="14.25">
      <c r="A63" s="127"/>
      <c r="B63" s="184" t="s">
        <v>232</v>
      </c>
      <c r="C63" s="220" t="s">
        <v>233</v>
      </c>
      <c r="D63" s="226">
        <v>0</v>
      </c>
      <c r="E63" s="227">
        <v>0</v>
      </c>
      <c r="F63" s="227">
        <v>0</v>
      </c>
      <c r="G63" s="227">
        <v>0</v>
      </c>
      <c r="H63" s="228">
        <v>0</v>
      </c>
      <c r="I63" s="227">
        <v>0</v>
      </c>
      <c r="J63" s="229">
        <v>0</v>
      </c>
      <c r="K63" s="229">
        <v>0</v>
      </c>
      <c r="L63" s="229">
        <v>0</v>
      </c>
      <c r="M63" s="228">
        <v>0</v>
      </c>
      <c r="N63" s="183"/>
      <c r="O63" s="183"/>
      <c r="P63" s="183"/>
      <c r="Q63" s="183"/>
      <c r="R63" s="183"/>
      <c r="S63" s="183"/>
      <c r="T63" s="183"/>
    </row>
    <row r="64" spans="1:20" s="126" customFormat="1" ht="14.25">
      <c r="A64" s="127"/>
      <c r="B64" s="184" t="s">
        <v>234</v>
      </c>
      <c r="C64" s="220" t="s">
        <v>233</v>
      </c>
      <c r="D64" s="226">
        <v>0</v>
      </c>
      <c r="E64" s="227">
        <v>0</v>
      </c>
      <c r="F64" s="227">
        <v>0</v>
      </c>
      <c r="G64" s="227">
        <v>0</v>
      </c>
      <c r="H64" s="228">
        <v>0</v>
      </c>
      <c r="I64" s="227">
        <v>0</v>
      </c>
      <c r="J64" s="229">
        <v>0</v>
      </c>
      <c r="K64" s="229">
        <v>0</v>
      </c>
      <c r="L64" s="229">
        <v>0</v>
      </c>
      <c r="M64" s="228">
        <v>0</v>
      </c>
      <c r="N64" s="183"/>
      <c r="O64" s="183"/>
      <c r="P64" s="183"/>
      <c r="Q64" s="183"/>
      <c r="R64" s="183"/>
      <c r="S64" s="183"/>
      <c r="T64" s="183"/>
    </row>
    <row r="65" spans="1:20" s="126" customFormat="1" ht="14.25">
      <c r="A65" s="127"/>
      <c r="B65" s="184" t="s">
        <v>235</v>
      </c>
      <c r="C65" s="220" t="s">
        <v>233</v>
      </c>
      <c r="D65" s="226">
        <v>0</v>
      </c>
      <c r="E65" s="227">
        <v>0</v>
      </c>
      <c r="F65" s="227">
        <v>0</v>
      </c>
      <c r="G65" s="227">
        <v>0</v>
      </c>
      <c r="H65" s="228">
        <v>0</v>
      </c>
      <c r="I65" s="227">
        <v>0</v>
      </c>
      <c r="J65" s="229">
        <v>0</v>
      </c>
      <c r="K65" s="229">
        <v>0</v>
      </c>
      <c r="L65" s="229">
        <v>0</v>
      </c>
      <c r="M65" s="228">
        <v>0</v>
      </c>
      <c r="N65" s="183"/>
      <c r="O65" s="183"/>
      <c r="P65" s="183"/>
      <c r="Q65" s="183"/>
      <c r="R65" s="183"/>
      <c r="S65" s="183"/>
      <c r="T65" s="183"/>
    </row>
    <row r="66" spans="1:20" s="126" customFormat="1" ht="30">
      <c r="A66" s="127"/>
      <c r="B66" s="181" t="s">
        <v>238</v>
      </c>
      <c r="C66" s="220"/>
      <c r="D66" s="230"/>
      <c r="E66" s="231"/>
      <c r="F66" s="231"/>
      <c r="G66" s="231"/>
      <c r="H66" s="232"/>
      <c r="I66" s="233"/>
      <c r="J66" s="233"/>
      <c r="K66" s="233"/>
      <c r="L66" s="233"/>
      <c r="M66" s="234"/>
      <c r="N66" s="219"/>
      <c r="O66" s="183"/>
      <c r="P66" s="183"/>
      <c r="Q66" s="183"/>
      <c r="R66" s="183"/>
      <c r="S66" s="183"/>
      <c r="T66" s="183"/>
    </row>
    <row r="67" spans="1:20" s="126" customFormat="1" ht="14.25">
      <c r="A67" s="127"/>
      <c r="B67" s="235" t="s">
        <v>232</v>
      </c>
      <c r="C67" s="220" t="s">
        <v>233</v>
      </c>
      <c r="D67" s="236">
        <v>0</v>
      </c>
      <c r="E67" s="237">
        <v>0</v>
      </c>
      <c r="F67" s="237">
        <v>0</v>
      </c>
      <c r="G67" s="237">
        <v>0</v>
      </c>
      <c r="H67" s="238">
        <v>0</v>
      </c>
      <c r="I67" s="237">
        <v>0</v>
      </c>
      <c r="J67" s="239">
        <v>0</v>
      </c>
      <c r="K67" s="239">
        <v>0</v>
      </c>
      <c r="L67" s="239">
        <v>0</v>
      </c>
      <c r="M67" s="238">
        <v>0</v>
      </c>
      <c r="N67" s="183"/>
      <c r="O67" s="183"/>
      <c r="P67" s="183"/>
      <c r="Q67" s="183"/>
      <c r="R67" s="183"/>
      <c r="S67" s="183"/>
      <c r="T67" s="183"/>
    </row>
    <row r="68" spans="1:20" s="126" customFormat="1" ht="14.25">
      <c r="A68" s="127"/>
      <c r="B68" s="235" t="s">
        <v>234</v>
      </c>
      <c r="C68" s="220" t="s">
        <v>233</v>
      </c>
      <c r="D68" s="236">
        <v>0</v>
      </c>
      <c r="E68" s="237">
        <v>0</v>
      </c>
      <c r="F68" s="237">
        <v>0</v>
      </c>
      <c r="G68" s="237">
        <v>0</v>
      </c>
      <c r="H68" s="238">
        <v>0</v>
      </c>
      <c r="I68" s="237">
        <v>0</v>
      </c>
      <c r="J68" s="239">
        <v>0</v>
      </c>
      <c r="K68" s="239">
        <v>0</v>
      </c>
      <c r="L68" s="239">
        <v>0</v>
      </c>
      <c r="M68" s="238">
        <v>0</v>
      </c>
      <c r="N68" s="183"/>
      <c r="O68" s="183"/>
      <c r="P68" s="183"/>
      <c r="Q68" s="183"/>
      <c r="R68" s="183"/>
      <c r="S68" s="183"/>
      <c r="T68" s="183"/>
    </row>
    <row r="69" spans="1:20" s="126" customFormat="1" ht="14.25">
      <c r="A69" s="127"/>
      <c r="B69" s="235" t="s">
        <v>235</v>
      </c>
      <c r="C69" s="220" t="s">
        <v>233</v>
      </c>
      <c r="D69" s="226">
        <v>0</v>
      </c>
      <c r="E69" s="227">
        <v>0</v>
      </c>
      <c r="F69" s="227">
        <v>0</v>
      </c>
      <c r="G69" s="227">
        <v>0</v>
      </c>
      <c r="H69" s="228">
        <v>0</v>
      </c>
      <c r="I69" s="227">
        <v>0</v>
      </c>
      <c r="J69" s="229">
        <v>0</v>
      </c>
      <c r="K69" s="229">
        <v>0</v>
      </c>
      <c r="L69" s="229">
        <v>0</v>
      </c>
      <c r="M69" s="228">
        <v>0</v>
      </c>
      <c r="N69" s="183"/>
      <c r="O69" s="183"/>
      <c r="P69" s="183"/>
      <c r="Q69" s="183"/>
      <c r="R69" s="183"/>
      <c r="S69" s="183"/>
      <c r="T69" s="183"/>
    </row>
    <row r="70" spans="1:20" s="126" customFormat="1" ht="15">
      <c r="A70" s="127"/>
      <c r="B70" s="181" t="s">
        <v>239</v>
      </c>
      <c r="C70" s="220" t="s">
        <v>233</v>
      </c>
      <c r="D70" s="240">
        <v>34766</v>
      </c>
      <c r="E70" s="241">
        <v>32803</v>
      </c>
      <c r="F70" s="241">
        <v>29906</v>
      </c>
      <c r="G70" s="241">
        <v>20409</v>
      </c>
      <c r="H70" s="242">
        <v>21781</v>
      </c>
      <c r="I70" s="243">
        <v>21665</v>
      </c>
      <c r="J70" s="241">
        <v>22723</v>
      </c>
      <c r="K70" s="241">
        <v>24560</v>
      </c>
      <c r="L70" s="241">
        <v>26586</v>
      </c>
      <c r="M70" s="242">
        <v>28815</v>
      </c>
      <c r="N70" s="244"/>
      <c r="O70" s="183"/>
      <c r="P70" s="183"/>
      <c r="Q70" s="183"/>
      <c r="R70" s="183"/>
      <c r="S70" s="183"/>
      <c r="T70" s="183"/>
    </row>
    <row r="71" spans="1:20" s="126" customFormat="1" ht="15" customHeight="1" thickBot="1">
      <c r="A71" s="127"/>
      <c r="B71" s="245" t="s">
        <v>240</v>
      </c>
      <c r="C71" s="246" t="s">
        <v>233</v>
      </c>
      <c r="D71" s="247">
        <v>6103</v>
      </c>
      <c r="E71" s="248">
        <v>12816</v>
      </c>
      <c r="F71" s="248">
        <v>16512</v>
      </c>
      <c r="G71" s="248">
        <v>16130</v>
      </c>
      <c r="H71" s="249">
        <v>16937</v>
      </c>
      <c r="I71" s="250">
        <v>16090</v>
      </c>
      <c r="J71" s="248">
        <v>14481</v>
      </c>
      <c r="K71" s="248">
        <v>14481</v>
      </c>
      <c r="L71" s="248">
        <v>14481</v>
      </c>
      <c r="M71" s="249">
        <v>14481</v>
      </c>
      <c r="N71" s="244"/>
      <c r="O71" s="183"/>
      <c r="P71" s="183"/>
      <c r="Q71" s="183"/>
      <c r="R71" s="183"/>
      <c r="S71" s="183"/>
      <c r="T71" s="183"/>
    </row>
    <row r="72" spans="1:20" s="126" customFormat="1" ht="15">
      <c r="A72" s="127"/>
      <c r="B72" s="251"/>
      <c r="C72" s="252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</row>
    <row r="73" spans="1:20" s="126" customFormat="1" ht="15">
      <c r="A73" s="127"/>
      <c r="B73" s="253"/>
      <c r="C73" s="254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183"/>
      <c r="O73" s="255"/>
      <c r="P73" s="255"/>
      <c r="Q73" s="255"/>
      <c r="R73" s="183"/>
      <c r="S73" s="255"/>
      <c r="T73" s="255"/>
    </row>
    <row r="74" spans="1:20" s="126" customFormat="1" ht="15">
      <c r="A74" s="127"/>
      <c r="B74" s="128" t="s">
        <v>241</v>
      </c>
      <c r="C74" s="254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151"/>
      <c r="P74" s="151"/>
      <c r="Q74" s="151"/>
      <c r="R74" s="155"/>
      <c r="S74" s="203"/>
      <c r="T74" s="203"/>
    </row>
    <row r="75" spans="1:20" s="126" customFormat="1" ht="15.75" thickBot="1">
      <c r="A75" s="127"/>
      <c r="B75" s="128"/>
      <c r="C75" s="254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183"/>
      <c r="O75" s="255"/>
      <c r="P75" s="255"/>
      <c r="Q75" s="255"/>
      <c r="R75" s="183"/>
      <c r="S75" s="255"/>
      <c r="T75" s="255"/>
    </row>
    <row r="76" spans="1:20" s="126" customFormat="1" ht="14.25">
      <c r="A76" s="127"/>
      <c r="B76" s="1503"/>
      <c r="C76" s="1505" t="s">
        <v>190</v>
      </c>
      <c r="D76" s="204" t="s">
        <v>191</v>
      </c>
      <c r="E76" s="205"/>
      <c r="F76" s="205"/>
      <c r="G76" s="205"/>
      <c r="H76" s="206"/>
      <c r="I76" s="205" t="s">
        <v>192</v>
      </c>
      <c r="J76" s="207"/>
      <c r="K76" s="207"/>
      <c r="L76" s="207"/>
      <c r="M76" s="206"/>
      <c r="N76" s="183"/>
      <c r="O76" s="256" t="s">
        <v>191</v>
      </c>
      <c r="P76" s="257"/>
      <c r="Q76" s="258"/>
      <c r="R76" s="183"/>
      <c r="S76" s="256" t="s">
        <v>192</v>
      </c>
      <c r="T76" s="258"/>
    </row>
    <row r="77" spans="1:20" s="126" customFormat="1" ht="14.25">
      <c r="A77" s="127"/>
      <c r="B77" s="1504"/>
      <c r="C77" s="1506"/>
      <c r="D77" s="208" t="s">
        <v>79</v>
      </c>
      <c r="E77" s="209" t="s">
        <v>80</v>
      </c>
      <c r="F77" s="209" t="s">
        <v>81</v>
      </c>
      <c r="G77" s="209" t="s">
        <v>82</v>
      </c>
      <c r="H77" s="210" t="s">
        <v>44</v>
      </c>
      <c r="I77" s="211" t="s">
        <v>193</v>
      </c>
      <c r="J77" s="209" t="s">
        <v>194</v>
      </c>
      <c r="K77" s="209" t="s">
        <v>195</v>
      </c>
      <c r="L77" s="209" t="s">
        <v>196</v>
      </c>
      <c r="M77" s="210" t="s">
        <v>197</v>
      </c>
      <c r="N77" s="183"/>
      <c r="O77" s="259" t="s">
        <v>198</v>
      </c>
      <c r="P77" s="260" t="s">
        <v>199</v>
      </c>
      <c r="Q77" s="261" t="s">
        <v>200</v>
      </c>
      <c r="R77" s="183"/>
      <c r="S77" s="259" t="s">
        <v>199</v>
      </c>
      <c r="T77" s="261" t="s">
        <v>201</v>
      </c>
    </row>
    <row r="78" spans="1:20" s="126" customFormat="1" ht="30">
      <c r="A78" s="127"/>
      <c r="B78" s="262" t="s">
        <v>242</v>
      </c>
      <c r="C78" s="263"/>
      <c r="D78" s="214"/>
      <c r="E78" s="215"/>
      <c r="F78" s="215"/>
      <c r="G78" s="215"/>
      <c r="H78" s="216"/>
      <c r="I78" s="217"/>
      <c r="J78" s="217"/>
      <c r="K78" s="217"/>
      <c r="L78" s="217"/>
      <c r="M78" s="218"/>
      <c r="N78" s="183"/>
      <c r="O78" s="264"/>
      <c r="P78" s="217"/>
      <c r="Q78" s="218"/>
      <c r="R78" s="183"/>
      <c r="S78" s="264"/>
      <c r="T78" s="218"/>
    </row>
    <row r="79" spans="1:20" s="126" customFormat="1" ht="15">
      <c r="A79" s="127"/>
      <c r="B79" s="265" t="s">
        <v>243</v>
      </c>
      <c r="C79" s="266"/>
      <c r="D79" s="267"/>
      <c r="E79" s="268"/>
      <c r="F79" s="268"/>
      <c r="G79" s="268"/>
      <c r="H79" s="269"/>
      <c r="I79" s="268"/>
      <c r="J79" s="268"/>
      <c r="K79" s="268"/>
      <c r="L79" s="268"/>
      <c r="M79" s="269"/>
      <c r="N79" s="183"/>
      <c r="O79" s="270"/>
      <c r="P79" s="271"/>
      <c r="Q79" s="272"/>
      <c r="R79" s="183"/>
      <c r="S79" s="267"/>
      <c r="T79" s="269"/>
    </row>
    <row r="80" spans="1:20" s="126" customFormat="1" ht="14.25">
      <c r="A80" s="127"/>
      <c r="B80" s="194" t="s">
        <v>244</v>
      </c>
      <c r="C80" s="220" t="s">
        <v>203</v>
      </c>
      <c r="D80" s="185">
        <v>0</v>
      </c>
      <c r="E80" s="186">
        <v>0</v>
      </c>
      <c r="F80" s="186">
        <v>0</v>
      </c>
      <c r="G80" s="186">
        <v>20.745756192041522</v>
      </c>
      <c r="H80" s="187">
        <v>17.044525749999998</v>
      </c>
      <c r="I80" s="186">
        <v>16.488626912133892</v>
      </c>
      <c r="J80" s="188">
        <v>17.567500956085322</v>
      </c>
      <c r="K80" s="188">
        <v>19.3103553125</v>
      </c>
      <c r="L80" s="188">
        <v>20.670883639112905</v>
      </c>
      <c r="M80" s="187">
        <v>22.012389400581959</v>
      </c>
      <c r="N80" s="183"/>
      <c r="O80" s="152">
        <v>0</v>
      </c>
      <c r="P80" s="153">
        <v>37.790281942041517</v>
      </c>
      <c r="Q80" s="154">
        <v>37.790281942041517</v>
      </c>
      <c r="R80" s="183"/>
      <c r="S80" s="152">
        <v>96.049756220414082</v>
      </c>
      <c r="T80" s="156">
        <v>1.5416522789569125</v>
      </c>
    </row>
    <row r="81" spans="1:20" s="126" customFormat="1" ht="14.25">
      <c r="A81" s="127"/>
      <c r="B81" s="194" t="s">
        <v>245</v>
      </c>
      <c r="C81" s="220" t="s">
        <v>203</v>
      </c>
      <c r="D81" s="185">
        <v>11.861202288918703</v>
      </c>
      <c r="E81" s="186">
        <v>27.291634283044864</v>
      </c>
      <c r="F81" s="186">
        <v>36.554273891590519</v>
      </c>
      <c r="G81" s="186">
        <v>12.109962944636678</v>
      </c>
      <c r="H81" s="187">
        <v>8.6213589549418597</v>
      </c>
      <c r="I81" s="186">
        <v>8.39241489539749</v>
      </c>
      <c r="J81" s="188">
        <v>8.9811381292346297</v>
      </c>
      <c r="K81" s="188">
        <v>9.8522220982142859</v>
      </c>
      <c r="L81" s="188">
        <v>10.630740157258066</v>
      </c>
      <c r="M81" s="187">
        <v>11.301003486905916</v>
      </c>
      <c r="N81" s="183"/>
      <c r="O81" s="152">
        <v>75.707110463554088</v>
      </c>
      <c r="P81" s="153">
        <v>20.731321899578539</v>
      </c>
      <c r="Q81" s="154">
        <v>96.43843236313262</v>
      </c>
      <c r="R81" s="183"/>
      <c r="S81" s="152">
        <v>49.157518767010387</v>
      </c>
      <c r="T81" s="156">
        <v>-0.49027044962830835</v>
      </c>
    </row>
    <row r="82" spans="1:20" s="126" customFormat="1" ht="15">
      <c r="A82" s="127"/>
      <c r="B82" s="193" t="s">
        <v>246</v>
      </c>
      <c r="C82" s="220" t="s">
        <v>203</v>
      </c>
      <c r="D82" s="152">
        <v>11.861202288918703</v>
      </c>
      <c r="E82" s="273">
        <v>27.291634283044864</v>
      </c>
      <c r="F82" s="273">
        <v>36.554273891590519</v>
      </c>
      <c r="G82" s="273">
        <v>32.855719136678204</v>
      </c>
      <c r="H82" s="154">
        <v>25.66588470494186</v>
      </c>
      <c r="I82" s="273">
        <v>24.881041807531382</v>
      </c>
      <c r="J82" s="153">
        <v>26.548639085319952</v>
      </c>
      <c r="K82" s="153">
        <v>29.162577410714285</v>
      </c>
      <c r="L82" s="153">
        <v>31.301623796370968</v>
      </c>
      <c r="M82" s="154">
        <v>33.313392887487879</v>
      </c>
      <c r="N82" s="183"/>
      <c r="O82" s="152">
        <v>75.707110463554088</v>
      </c>
      <c r="P82" s="153">
        <v>58.521603841620063</v>
      </c>
      <c r="Q82" s="154">
        <v>134.22871430517415</v>
      </c>
      <c r="R82" s="183"/>
      <c r="S82" s="152">
        <v>145.20727498742446</v>
      </c>
      <c r="T82" s="156">
        <v>8.1789956337435549E-2</v>
      </c>
    </row>
    <row r="83" spans="1:20" s="126" customFormat="1" ht="15">
      <c r="A83" s="127"/>
      <c r="B83" s="265" t="s">
        <v>247</v>
      </c>
      <c r="C83" s="274"/>
      <c r="D83" s="275"/>
      <c r="E83" s="276"/>
      <c r="F83" s="276"/>
      <c r="G83" s="276"/>
      <c r="H83" s="277"/>
      <c r="I83" s="276"/>
      <c r="J83" s="276"/>
      <c r="K83" s="276"/>
      <c r="L83" s="276"/>
      <c r="M83" s="277"/>
      <c r="N83" s="183"/>
      <c r="O83" s="278"/>
      <c r="P83" s="276"/>
      <c r="Q83" s="277"/>
      <c r="R83" s="183"/>
      <c r="S83" s="275"/>
      <c r="T83" s="277"/>
    </row>
    <row r="84" spans="1:20" s="126" customFormat="1" ht="14.25">
      <c r="A84" s="127"/>
      <c r="B84" s="194" t="s">
        <v>244</v>
      </c>
      <c r="C84" s="220" t="s">
        <v>203</v>
      </c>
      <c r="D84" s="185">
        <v>0</v>
      </c>
      <c r="E84" s="186">
        <v>0</v>
      </c>
      <c r="F84" s="186">
        <v>0</v>
      </c>
      <c r="G84" s="186">
        <v>1.4889298702422145</v>
      </c>
      <c r="H84" s="187">
        <v>3.3692667180232556</v>
      </c>
      <c r="I84" s="186">
        <v>2.6658259079497908</v>
      </c>
      <c r="J84" s="188">
        <v>2.7634271166875783</v>
      </c>
      <c r="K84" s="188">
        <v>2.7586221874999999</v>
      </c>
      <c r="L84" s="188">
        <v>2.8545505977822581</v>
      </c>
      <c r="M84" s="187">
        <v>2.9480878661493697</v>
      </c>
      <c r="N84" s="183"/>
      <c r="O84" s="152">
        <v>0</v>
      </c>
      <c r="P84" s="153">
        <v>4.8581965882654696</v>
      </c>
      <c r="Q84" s="154">
        <v>4.8581965882654696</v>
      </c>
      <c r="R84" s="183"/>
      <c r="S84" s="152">
        <v>13.990513676068998</v>
      </c>
      <c r="T84" s="156">
        <v>1.8797751226991939</v>
      </c>
    </row>
    <row r="85" spans="1:20" s="126" customFormat="1" ht="14.25">
      <c r="A85" s="127"/>
      <c r="B85" s="194" t="s">
        <v>245</v>
      </c>
      <c r="C85" s="220" t="s">
        <v>203</v>
      </c>
      <c r="D85" s="185">
        <v>1.3838069337071819</v>
      </c>
      <c r="E85" s="186">
        <v>3.1757538074815841</v>
      </c>
      <c r="F85" s="186">
        <v>7.1519231527024933</v>
      </c>
      <c r="G85" s="186">
        <v>0.99261991349480971</v>
      </c>
      <c r="H85" s="187">
        <v>2.4774019985465117</v>
      </c>
      <c r="I85" s="186">
        <v>3.0607630794979079</v>
      </c>
      <c r="J85" s="188">
        <v>3.0595085934755333</v>
      </c>
      <c r="K85" s="188">
        <v>3.1527110714285715</v>
      </c>
      <c r="L85" s="188">
        <v>3.2482817147177419</v>
      </c>
      <c r="M85" s="187">
        <v>3.2428966527643062</v>
      </c>
      <c r="N85" s="183"/>
      <c r="O85" s="152">
        <v>11.711483893891259</v>
      </c>
      <c r="P85" s="153">
        <v>3.4700219120413216</v>
      </c>
      <c r="Q85" s="154">
        <v>15.181505805932581</v>
      </c>
      <c r="R85" s="183"/>
      <c r="S85" s="152">
        <v>15.764161111884061</v>
      </c>
      <c r="T85" s="156">
        <v>3.8379282885350668E-2</v>
      </c>
    </row>
    <row r="86" spans="1:20" s="126" customFormat="1" ht="15">
      <c r="A86" s="127"/>
      <c r="B86" s="193" t="s">
        <v>248</v>
      </c>
      <c r="C86" s="220" t="s">
        <v>203</v>
      </c>
      <c r="D86" s="152">
        <v>1.3838069337071819</v>
      </c>
      <c r="E86" s="273">
        <v>3.1757538074815841</v>
      </c>
      <c r="F86" s="273">
        <v>7.1519231527024933</v>
      </c>
      <c r="G86" s="273">
        <v>2.481549783737024</v>
      </c>
      <c r="H86" s="154">
        <v>5.8466687165697673</v>
      </c>
      <c r="I86" s="273">
        <v>5.7265889874476983</v>
      </c>
      <c r="J86" s="153">
        <v>5.8229357101631116</v>
      </c>
      <c r="K86" s="153">
        <v>5.9113332589285719</v>
      </c>
      <c r="L86" s="153">
        <v>6.1028323125000004</v>
      </c>
      <c r="M86" s="154">
        <v>6.1909845189136758</v>
      </c>
      <c r="N86" s="183"/>
      <c r="O86" s="152">
        <v>11.711483893891259</v>
      </c>
      <c r="P86" s="153">
        <v>8.3282185003067912</v>
      </c>
      <c r="Q86" s="154">
        <v>20.039702394198049</v>
      </c>
      <c r="R86" s="183"/>
      <c r="S86" s="152">
        <v>29.754674787953061</v>
      </c>
      <c r="T86" s="156">
        <v>0.48478626092609634</v>
      </c>
    </row>
    <row r="87" spans="1:20" s="126" customFormat="1" ht="15">
      <c r="A87" s="127"/>
      <c r="B87" s="265" t="s">
        <v>249</v>
      </c>
      <c r="C87" s="274"/>
      <c r="D87" s="275"/>
      <c r="E87" s="276"/>
      <c r="F87" s="276"/>
      <c r="G87" s="276"/>
      <c r="H87" s="277"/>
      <c r="I87" s="276"/>
      <c r="J87" s="276"/>
      <c r="K87" s="276"/>
      <c r="L87" s="276"/>
      <c r="M87" s="277"/>
      <c r="N87" s="183"/>
      <c r="O87" s="275"/>
      <c r="P87" s="276"/>
      <c r="Q87" s="277"/>
      <c r="R87" s="183"/>
      <c r="S87" s="275"/>
      <c r="T87" s="277"/>
    </row>
    <row r="88" spans="1:20" s="126" customFormat="1" ht="14.25">
      <c r="A88" s="127"/>
      <c r="B88" s="194" t="s">
        <v>244</v>
      </c>
      <c r="C88" s="220" t="s">
        <v>203</v>
      </c>
      <c r="D88" s="185">
        <v>0</v>
      </c>
      <c r="E88" s="186">
        <v>0</v>
      </c>
      <c r="F88" s="186">
        <v>0</v>
      </c>
      <c r="G88" s="186">
        <v>0</v>
      </c>
      <c r="H88" s="187">
        <v>0</v>
      </c>
      <c r="I88" s="186">
        <v>0</v>
      </c>
      <c r="J88" s="188">
        <v>0</v>
      </c>
      <c r="K88" s="188">
        <v>0</v>
      </c>
      <c r="L88" s="188">
        <v>0</v>
      </c>
      <c r="M88" s="187">
        <v>0</v>
      </c>
      <c r="N88" s="183"/>
      <c r="O88" s="152">
        <v>0</v>
      </c>
      <c r="P88" s="153">
        <v>0</v>
      </c>
      <c r="Q88" s="154">
        <v>0</v>
      </c>
      <c r="R88" s="183"/>
      <c r="S88" s="152">
        <v>0</v>
      </c>
      <c r="T88" s="156" t="s">
        <v>989</v>
      </c>
    </row>
    <row r="89" spans="1:20" s="126" customFormat="1" ht="14.25">
      <c r="A89" s="127"/>
      <c r="B89" s="194" t="s">
        <v>245</v>
      </c>
      <c r="C89" s="220" t="s">
        <v>203</v>
      </c>
      <c r="D89" s="185">
        <v>0</v>
      </c>
      <c r="E89" s="186">
        <v>0</v>
      </c>
      <c r="F89" s="186">
        <v>0</v>
      </c>
      <c r="G89" s="186">
        <v>0</v>
      </c>
      <c r="H89" s="187">
        <v>0</v>
      </c>
      <c r="I89" s="186">
        <v>0</v>
      </c>
      <c r="J89" s="188">
        <v>0</v>
      </c>
      <c r="K89" s="188">
        <v>0</v>
      </c>
      <c r="L89" s="188">
        <v>0</v>
      </c>
      <c r="M89" s="187">
        <v>0</v>
      </c>
      <c r="N89" s="183"/>
      <c r="O89" s="152">
        <v>0</v>
      </c>
      <c r="P89" s="153">
        <v>0</v>
      </c>
      <c r="Q89" s="154">
        <v>0</v>
      </c>
      <c r="R89" s="183"/>
      <c r="S89" s="152">
        <v>0</v>
      </c>
      <c r="T89" s="156" t="s">
        <v>989</v>
      </c>
    </row>
    <row r="90" spans="1:20" s="126" customFormat="1" ht="15">
      <c r="A90" s="127"/>
      <c r="B90" s="193" t="s">
        <v>250</v>
      </c>
      <c r="C90" s="220" t="s">
        <v>203</v>
      </c>
      <c r="D90" s="152">
        <v>0</v>
      </c>
      <c r="E90" s="273">
        <v>0</v>
      </c>
      <c r="F90" s="273">
        <v>0</v>
      </c>
      <c r="G90" s="273">
        <v>0</v>
      </c>
      <c r="H90" s="154">
        <v>0</v>
      </c>
      <c r="I90" s="273">
        <v>0</v>
      </c>
      <c r="J90" s="153">
        <v>0</v>
      </c>
      <c r="K90" s="153">
        <v>0</v>
      </c>
      <c r="L90" s="153">
        <v>0</v>
      </c>
      <c r="M90" s="154">
        <v>0</v>
      </c>
      <c r="N90" s="183"/>
      <c r="O90" s="152">
        <v>0</v>
      </c>
      <c r="P90" s="153">
        <v>0</v>
      </c>
      <c r="Q90" s="154">
        <v>0</v>
      </c>
      <c r="R90" s="183"/>
      <c r="S90" s="152">
        <v>0</v>
      </c>
      <c r="T90" s="156" t="s">
        <v>989</v>
      </c>
    </row>
    <row r="91" spans="1:20" s="126" customFormat="1" ht="15">
      <c r="A91" s="127"/>
      <c r="B91" s="265" t="s">
        <v>251</v>
      </c>
      <c r="C91" s="274"/>
      <c r="D91" s="275"/>
      <c r="E91" s="276"/>
      <c r="F91" s="276"/>
      <c r="G91" s="276"/>
      <c r="H91" s="277"/>
      <c r="I91" s="276"/>
      <c r="J91" s="276"/>
      <c r="K91" s="276"/>
      <c r="L91" s="276"/>
      <c r="M91" s="277"/>
      <c r="N91" s="183"/>
      <c r="O91" s="275"/>
      <c r="P91" s="276"/>
      <c r="Q91" s="277"/>
      <c r="R91" s="183"/>
      <c r="S91" s="275"/>
      <c r="T91" s="277"/>
    </row>
    <row r="92" spans="1:20" s="126" customFormat="1" ht="14.25">
      <c r="A92" s="127"/>
      <c r="B92" s="194" t="s">
        <v>244</v>
      </c>
      <c r="C92" s="220" t="s">
        <v>203</v>
      </c>
      <c r="D92" s="185">
        <v>0</v>
      </c>
      <c r="E92" s="186">
        <v>0</v>
      </c>
      <c r="F92" s="186">
        <v>0</v>
      </c>
      <c r="G92" s="186">
        <v>0</v>
      </c>
      <c r="H92" s="187">
        <v>0</v>
      </c>
      <c r="I92" s="186">
        <v>0</v>
      </c>
      <c r="J92" s="188">
        <v>0</v>
      </c>
      <c r="K92" s="188">
        <v>0</v>
      </c>
      <c r="L92" s="188">
        <v>0</v>
      </c>
      <c r="M92" s="187">
        <v>0</v>
      </c>
      <c r="N92" s="183"/>
      <c r="O92" s="152">
        <v>0</v>
      </c>
      <c r="P92" s="153">
        <v>0</v>
      </c>
      <c r="Q92" s="154">
        <v>0</v>
      </c>
      <c r="R92" s="183"/>
      <c r="S92" s="152">
        <v>0</v>
      </c>
      <c r="T92" s="156" t="s">
        <v>989</v>
      </c>
    </row>
    <row r="93" spans="1:20" s="126" customFormat="1" ht="14.25">
      <c r="A93" s="127"/>
      <c r="B93" s="194" t="s">
        <v>245</v>
      </c>
      <c r="C93" s="220" t="s">
        <v>203</v>
      </c>
      <c r="D93" s="185">
        <v>0</v>
      </c>
      <c r="E93" s="186">
        <v>0</v>
      </c>
      <c r="F93" s="186">
        <v>0</v>
      </c>
      <c r="G93" s="186">
        <v>0</v>
      </c>
      <c r="H93" s="187">
        <v>0</v>
      </c>
      <c r="I93" s="186">
        <v>0</v>
      </c>
      <c r="J93" s="188">
        <v>0</v>
      </c>
      <c r="K93" s="188">
        <v>0</v>
      </c>
      <c r="L93" s="188">
        <v>0</v>
      </c>
      <c r="M93" s="187">
        <v>0</v>
      </c>
      <c r="N93" s="183"/>
      <c r="O93" s="152">
        <v>0</v>
      </c>
      <c r="P93" s="153">
        <v>0</v>
      </c>
      <c r="Q93" s="154">
        <v>0</v>
      </c>
      <c r="R93" s="183"/>
      <c r="S93" s="152">
        <v>0</v>
      </c>
      <c r="T93" s="156" t="s">
        <v>989</v>
      </c>
    </row>
    <row r="94" spans="1:20" s="126" customFormat="1" ht="15">
      <c r="A94" s="127"/>
      <c r="B94" s="193" t="s">
        <v>252</v>
      </c>
      <c r="C94" s="220" t="s">
        <v>203</v>
      </c>
      <c r="D94" s="152">
        <v>0</v>
      </c>
      <c r="E94" s="273">
        <v>0</v>
      </c>
      <c r="F94" s="273">
        <v>0</v>
      </c>
      <c r="G94" s="273">
        <v>0</v>
      </c>
      <c r="H94" s="154">
        <v>0</v>
      </c>
      <c r="I94" s="273">
        <v>0</v>
      </c>
      <c r="J94" s="153">
        <v>0</v>
      </c>
      <c r="K94" s="153">
        <v>0</v>
      </c>
      <c r="L94" s="153">
        <v>0</v>
      </c>
      <c r="M94" s="154">
        <v>0</v>
      </c>
      <c r="N94" s="183"/>
      <c r="O94" s="152">
        <v>0</v>
      </c>
      <c r="P94" s="153">
        <v>0</v>
      </c>
      <c r="Q94" s="154">
        <v>0</v>
      </c>
      <c r="R94" s="183"/>
      <c r="S94" s="152">
        <v>0</v>
      </c>
      <c r="T94" s="156" t="s">
        <v>989</v>
      </c>
    </row>
    <row r="95" spans="1:20" s="126" customFormat="1" ht="15">
      <c r="A95" s="127"/>
      <c r="B95" s="193"/>
      <c r="C95" s="220"/>
      <c r="D95" s="275"/>
      <c r="E95" s="276"/>
      <c r="F95" s="276"/>
      <c r="G95" s="276"/>
      <c r="H95" s="277"/>
      <c r="I95" s="276"/>
      <c r="J95" s="276"/>
      <c r="K95" s="276"/>
      <c r="L95" s="276"/>
      <c r="M95" s="277"/>
      <c r="N95" s="183"/>
      <c r="O95" s="275"/>
      <c r="P95" s="276"/>
      <c r="Q95" s="277"/>
      <c r="R95" s="183"/>
      <c r="S95" s="275"/>
      <c r="T95" s="277"/>
    </row>
    <row r="96" spans="1:20" s="126" customFormat="1" ht="30">
      <c r="A96" s="127"/>
      <c r="B96" s="193" t="s">
        <v>253</v>
      </c>
      <c r="C96" s="220" t="s">
        <v>203</v>
      </c>
      <c r="D96" s="279"/>
      <c r="E96" s="280"/>
      <c r="F96" s="280"/>
      <c r="G96" s="186">
        <v>0</v>
      </c>
      <c r="H96" s="187">
        <v>0</v>
      </c>
      <c r="I96" s="186">
        <v>0</v>
      </c>
      <c r="J96" s="188">
        <v>0</v>
      </c>
      <c r="K96" s="188">
        <v>0</v>
      </c>
      <c r="L96" s="188">
        <v>0</v>
      </c>
      <c r="M96" s="187">
        <v>0</v>
      </c>
      <c r="N96" s="183"/>
      <c r="O96" s="152">
        <v>0</v>
      </c>
      <c r="P96" s="153">
        <v>0</v>
      </c>
      <c r="Q96" s="154">
        <v>0</v>
      </c>
      <c r="R96" s="183"/>
      <c r="S96" s="152">
        <v>0</v>
      </c>
      <c r="T96" s="156" t="s">
        <v>989</v>
      </c>
    </row>
    <row r="97" spans="1:20" s="126" customFormat="1" ht="30">
      <c r="A97" s="127"/>
      <c r="B97" s="193" t="s">
        <v>254</v>
      </c>
      <c r="C97" s="220" t="s">
        <v>203</v>
      </c>
      <c r="D97" s="162">
        <v>13.245009222625885</v>
      </c>
      <c r="E97" s="165">
        <v>30.467388090526448</v>
      </c>
      <c r="F97" s="165">
        <v>43.706197044293013</v>
      </c>
      <c r="G97" s="165">
        <v>35.337268920415227</v>
      </c>
      <c r="H97" s="164">
        <v>31.512553421511626</v>
      </c>
      <c r="I97" s="165">
        <v>30.60763079497908</v>
      </c>
      <c r="J97" s="163">
        <v>32.371574795483063</v>
      </c>
      <c r="K97" s="163">
        <v>35.073910669642856</v>
      </c>
      <c r="L97" s="163">
        <v>37.404456108870967</v>
      </c>
      <c r="M97" s="164">
        <v>39.504377406401552</v>
      </c>
      <c r="N97" s="202"/>
      <c r="O97" s="162">
        <v>87.418594357445357</v>
      </c>
      <c r="P97" s="163">
        <v>66.849822341926853</v>
      </c>
      <c r="Q97" s="164">
        <v>154.26841669937221</v>
      </c>
      <c r="R97" s="202"/>
      <c r="S97" s="162">
        <v>174.96194977537752</v>
      </c>
      <c r="T97" s="281">
        <v>0.13413979036507168</v>
      </c>
    </row>
    <row r="98" spans="1:20" s="126" customFormat="1" ht="15">
      <c r="A98" s="127"/>
      <c r="B98" s="193"/>
      <c r="C98" s="220"/>
      <c r="D98" s="275"/>
      <c r="E98" s="276"/>
      <c r="F98" s="276"/>
      <c r="G98" s="276"/>
      <c r="H98" s="277"/>
      <c r="I98" s="276"/>
      <c r="J98" s="276"/>
      <c r="K98" s="276"/>
      <c r="L98" s="276"/>
      <c r="M98" s="277"/>
      <c r="N98" s="183"/>
      <c r="O98" s="275"/>
      <c r="P98" s="276"/>
      <c r="Q98" s="277"/>
      <c r="R98" s="183"/>
      <c r="S98" s="275"/>
      <c r="T98" s="277"/>
    </row>
    <row r="99" spans="1:20" s="126" customFormat="1" ht="15">
      <c r="A99" s="127"/>
      <c r="B99" s="193" t="s">
        <v>255</v>
      </c>
      <c r="C99" s="146" t="s">
        <v>203</v>
      </c>
      <c r="D99" s="279"/>
      <c r="E99" s="280"/>
      <c r="F99" s="280"/>
      <c r="G99" s="186">
        <v>0</v>
      </c>
      <c r="H99" s="187">
        <v>0</v>
      </c>
      <c r="I99" s="186">
        <v>0</v>
      </c>
      <c r="J99" s="188">
        <v>0</v>
      </c>
      <c r="K99" s="188">
        <v>0</v>
      </c>
      <c r="L99" s="188">
        <v>0</v>
      </c>
      <c r="M99" s="187">
        <v>0</v>
      </c>
      <c r="N99" s="183"/>
      <c r="O99" s="152">
        <v>0</v>
      </c>
      <c r="P99" s="153">
        <v>0</v>
      </c>
      <c r="Q99" s="154">
        <v>0</v>
      </c>
      <c r="R99" s="183"/>
      <c r="S99" s="152">
        <v>0</v>
      </c>
      <c r="T99" s="156" t="s">
        <v>989</v>
      </c>
    </row>
    <row r="100" spans="1:20" s="126" customFormat="1" ht="15.75" thickBot="1">
      <c r="A100" s="127"/>
      <c r="B100" s="201" t="s">
        <v>256</v>
      </c>
      <c r="C100" s="246" t="s">
        <v>203</v>
      </c>
      <c r="D100" s="282"/>
      <c r="E100" s="283"/>
      <c r="F100" s="283"/>
      <c r="G100" s="284">
        <v>0</v>
      </c>
      <c r="H100" s="285">
        <v>0</v>
      </c>
      <c r="I100" s="284">
        <v>0</v>
      </c>
      <c r="J100" s="286">
        <v>0</v>
      </c>
      <c r="K100" s="286">
        <v>0</v>
      </c>
      <c r="L100" s="286">
        <v>0</v>
      </c>
      <c r="M100" s="285">
        <v>0</v>
      </c>
      <c r="N100" s="183"/>
      <c r="O100" s="172">
        <v>0</v>
      </c>
      <c r="P100" s="173">
        <v>0</v>
      </c>
      <c r="Q100" s="174">
        <v>0</v>
      </c>
      <c r="R100" s="183"/>
      <c r="S100" s="172">
        <v>0</v>
      </c>
      <c r="T100" s="175" t="s">
        <v>989</v>
      </c>
    </row>
    <row r="101" spans="1:20" s="126" customFormat="1" ht="14.25">
      <c r="A101" s="127"/>
      <c r="B101" s="127"/>
      <c r="C101" s="12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</row>
    <row r="102" spans="1:20" s="126" customFormat="1" ht="14.25">
      <c r="A102" s="127"/>
      <c r="B102" s="127"/>
      <c r="C102" s="129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183"/>
      <c r="O102" s="203"/>
      <c r="P102" s="203"/>
      <c r="Q102" s="203"/>
      <c r="R102" s="183"/>
      <c r="S102" s="203"/>
      <c r="T102" s="203"/>
    </row>
    <row r="103" spans="1:20" s="126" customFormat="1" ht="15">
      <c r="A103" s="127"/>
      <c r="B103" s="128" t="s">
        <v>257</v>
      </c>
      <c r="C103" s="254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151"/>
      <c r="P103" s="151"/>
      <c r="Q103" s="151"/>
      <c r="R103" s="155"/>
      <c r="S103" s="203"/>
      <c r="T103" s="203"/>
    </row>
    <row r="104" spans="1:20" s="126" customFormat="1" ht="15.75" thickBot="1">
      <c r="A104" s="127"/>
      <c r="B104" s="128"/>
      <c r="C104" s="254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183"/>
      <c r="O104" s="255"/>
      <c r="P104" s="255"/>
      <c r="Q104" s="255"/>
      <c r="R104" s="183"/>
      <c r="S104" s="255"/>
      <c r="T104" s="255"/>
    </row>
    <row r="105" spans="1:20" s="126" customFormat="1" ht="14.25">
      <c r="A105" s="127"/>
      <c r="B105" s="1507"/>
      <c r="C105" s="1505" t="s">
        <v>190</v>
      </c>
      <c r="D105" s="204" t="s">
        <v>191</v>
      </c>
      <c r="E105" s="205"/>
      <c r="F105" s="205"/>
      <c r="G105" s="205"/>
      <c r="H105" s="206"/>
      <c r="I105" s="205" t="s">
        <v>192</v>
      </c>
      <c r="J105" s="207"/>
      <c r="K105" s="207"/>
      <c r="L105" s="207"/>
      <c r="M105" s="206"/>
      <c r="N105" s="183"/>
      <c r="O105" s="256" t="s">
        <v>191</v>
      </c>
      <c r="P105" s="257"/>
      <c r="Q105" s="258"/>
      <c r="R105" s="183"/>
      <c r="S105" s="256" t="s">
        <v>192</v>
      </c>
      <c r="T105" s="258"/>
    </row>
    <row r="106" spans="1:20" s="126" customFormat="1" ht="14.25">
      <c r="A106" s="127"/>
      <c r="B106" s="1508"/>
      <c r="C106" s="1506"/>
      <c r="D106" s="208" t="s">
        <v>79</v>
      </c>
      <c r="E106" s="209" t="s">
        <v>80</v>
      </c>
      <c r="F106" s="209" t="s">
        <v>81</v>
      </c>
      <c r="G106" s="209" t="s">
        <v>82</v>
      </c>
      <c r="H106" s="210" t="s">
        <v>44</v>
      </c>
      <c r="I106" s="211" t="s">
        <v>193</v>
      </c>
      <c r="J106" s="209" t="s">
        <v>194</v>
      </c>
      <c r="K106" s="209" t="s">
        <v>195</v>
      </c>
      <c r="L106" s="209" t="s">
        <v>196</v>
      </c>
      <c r="M106" s="210" t="s">
        <v>197</v>
      </c>
      <c r="N106" s="183"/>
      <c r="O106" s="259" t="s">
        <v>198</v>
      </c>
      <c r="P106" s="260" t="s">
        <v>199</v>
      </c>
      <c r="Q106" s="261" t="s">
        <v>200</v>
      </c>
      <c r="R106" s="183"/>
      <c r="S106" s="259" t="s">
        <v>199</v>
      </c>
      <c r="T106" s="261" t="s">
        <v>201</v>
      </c>
    </row>
    <row r="107" spans="1:20" s="126" customFormat="1" ht="30">
      <c r="A107" s="127"/>
      <c r="B107" s="193" t="s">
        <v>258</v>
      </c>
      <c r="C107" s="266"/>
      <c r="D107" s="267"/>
      <c r="E107" s="268"/>
      <c r="F107" s="268"/>
      <c r="G107" s="268"/>
      <c r="H107" s="269"/>
      <c r="I107" s="268"/>
      <c r="J107" s="268"/>
      <c r="K107" s="268"/>
      <c r="L107" s="268"/>
      <c r="M107" s="269"/>
      <c r="N107" s="183"/>
      <c r="O107" s="270"/>
      <c r="P107" s="271"/>
      <c r="Q107" s="272"/>
      <c r="R107" s="183"/>
      <c r="S107" s="267"/>
      <c r="T107" s="269"/>
    </row>
    <row r="108" spans="1:20" s="126" customFormat="1" ht="14.25">
      <c r="A108" s="127"/>
      <c r="B108" s="194" t="s">
        <v>244</v>
      </c>
      <c r="C108" s="220" t="s">
        <v>203</v>
      </c>
      <c r="D108" s="185">
        <v>0</v>
      </c>
      <c r="E108" s="186">
        <v>0</v>
      </c>
      <c r="F108" s="186">
        <v>0</v>
      </c>
      <c r="G108" s="186">
        <v>20.9</v>
      </c>
      <c r="H108" s="187">
        <v>17.2</v>
      </c>
      <c r="I108" s="186">
        <v>16.7</v>
      </c>
      <c r="J108" s="188">
        <v>17.8</v>
      </c>
      <c r="K108" s="188">
        <v>19.600000000000001</v>
      </c>
      <c r="L108" s="188">
        <v>21</v>
      </c>
      <c r="M108" s="187">
        <v>22.4</v>
      </c>
      <c r="N108" s="288"/>
      <c r="O108" s="152">
        <v>0</v>
      </c>
      <c r="P108" s="153">
        <v>38.099999999999994</v>
      </c>
      <c r="Q108" s="154">
        <v>38.099999999999994</v>
      </c>
      <c r="R108" s="288"/>
      <c r="S108" s="152">
        <v>97.5</v>
      </c>
      <c r="T108" s="156">
        <v>1.5590551181102366</v>
      </c>
    </row>
    <row r="109" spans="1:20" s="126" customFormat="1" ht="14.25">
      <c r="A109" s="127"/>
      <c r="B109" s="194" t="s">
        <v>259</v>
      </c>
      <c r="C109" s="220" t="s">
        <v>203</v>
      </c>
      <c r="D109" s="185">
        <v>10</v>
      </c>
      <c r="E109" s="186">
        <v>23</v>
      </c>
      <c r="F109" s="186">
        <v>30.6</v>
      </c>
      <c r="G109" s="186">
        <v>7.7</v>
      </c>
      <c r="H109" s="187">
        <v>6.4</v>
      </c>
      <c r="I109" s="186">
        <v>6.2</v>
      </c>
      <c r="J109" s="188">
        <v>6.6</v>
      </c>
      <c r="K109" s="188">
        <v>7.3</v>
      </c>
      <c r="L109" s="188">
        <v>7.8</v>
      </c>
      <c r="M109" s="187">
        <v>8.3000000000000007</v>
      </c>
      <c r="N109" s="288"/>
      <c r="O109" s="152">
        <v>63.6</v>
      </c>
      <c r="P109" s="153">
        <v>14.100000000000001</v>
      </c>
      <c r="Q109" s="154">
        <v>77.7</v>
      </c>
      <c r="R109" s="288"/>
      <c r="S109" s="152">
        <v>36.200000000000003</v>
      </c>
      <c r="T109" s="156">
        <v>-0.53410553410553407</v>
      </c>
    </row>
    <row r="110" spans="1:20" s="126" customFormat="1" ht="15">
      <c r="A110" s="127"/>
      <c r="B110" s="193" t="s">
        <v>246</v>
      </c>
      <c r="C110" s="220" t="s">
        <v>203</v>
      </c>
      <c r="D110" s="152">
        <v>10</v>
      </c>
      <c r="E110" s="273">
        <v>23</v>
      </c>
      <c r="F110" s="273">
        <v>30.6</v>
      </c>
      <c r="G110" s="273">
        <v>28.599999999999998</v>
      </c>
      <c r="H110" s="154">
        <v>23.6</v>
      </c>
      <c r="I110" s="273">
        <v>22.9</v>
      </c>
      <c r="J110" s="153">
        <v>24.4</v>
      </c>
      <c r="K110" s="153">
        <v>26.900000000000002</v>
      </c>
      <c r="L110" s="153">
        <v>28.8</v>
      </c>
      <c r="M110" s="154">
        <v>30.7</v>
      </c>
      <c r="N110" s="288"/>
      <c r="O110" s="152">
        <v>63.6</v>
      </c>
      <c r="P110" s="153">
        <v>52.2</v>
      </c>
      <c r="Q110" s="154">
        <v>115.80000000000001</v>
      </c>
      <c r="R110" s="288"/>
      <c r="S110" s="152">
        <v>133.69999999999999</v>
      </c>
      <c r="T110" s="156">
        <v>0.1545768566493953</v>
      </c>
    </row>
    <row r="111" spans="1:20" s="126" customFormat="1" ht="30">
      <c r="A111" s="127"/>
      <c r="B111" s="193" t="s">
        <v>260</v>
      </c>
      <c r="C111" s="274"/>
      <c r="D111" s="275"/>
      <c r="E111" s="276"/>
      <c r="F111" s="276"/>
      <c r="G111" s="276"/>
      <c r="H111" s="277"/>
      <c r="I111" s="276"/>
      <c r="J111" s="276"/>
      <c r="K111" s="276"/>
      <c r="L111" s="276"/>
      <c r="M111" s="277"/>
      <c r="N111" s="288"/>
      <c r="O111" s="278"/>
      <c r="P111" s="276"/>
      <c r="Q111" s="277"/>
      <c r="R111" s="288"/>
      <c r="S111" s="275"/>
      <c r="T111" s="277"/>
    </row>
    <row r="112" spans="1:20" s="126" customFormat="1" ht="14.25">
      <c r="A112" s="127"/>
      <c r="B112" s="194" t="s">
        <v>244</v>
      </c>
      <c r="C112" s="220" t="s">
        <v>203</v>
      </c>
      <c r="D112" s="185">
        <v>0</v>
      </c>
      <c r="E112" s="186">
        <v>0</v>
      </c>
      <c r="F112" s="186">
        <v>0</v>
      </c>
      <c r="G112" s="186">
        <v>1.5</v>
      </c>
      <c r="H112" s="187">
        <v>3.4</v>
      </c>
      <c r="I112" s="186">
        <v>2.7</v>
      </c>
      <c r="J112" s="188">
        <v>2.8</v>
      </c>
      <c r="K112" s="188">
        <v>2.8</v>
      </c>
      <c r="L112" s="188">
        <v>2.9</v>
      </c>
      <c r="M112" s="187">
        <v>3</v>
      </c>
      <c r="N112" s="288"/>
      <c r="O112" s="152">
        <v>0</v>
      </c>
      <c r="P112" s="153">
        <v>4.9000000000000004</v>
      </c>
      <c r="Q112" s="154">
        <v>4.9000000000000004</v>
      </c>
      <c r="R112" s="288"/>
      <c r="S112" s="152">
        <v>14.200000000000001</v>
      </c>
      <c r="T112" s="156">
        <v>1.8979591836734695</v>
      </c>
    </row>
    <row r="113" spans="1:20" s="126" customFormat="1" ht="14.25">
      <c r="A113" s="127"/>
      <c r="B113" s="194" t="s">
        <v>259</v>
      </c>
      <c r="C113" s="220" t="s">
        <v>203</v>
      </c>
      <c r="D113" s="185">
        <v>1.2</v>
      </c>
      <c r="E113" s="186">
        <v>2.7</v>
      </c>
      <c r="F113" s="186">
        <v>5.5</v>
      </c>
      <c r="G113" s="186">
        <v>0.9</v>
      </c>
      <c r="H113" s="187">
        <v>2.1</v>
      </c>
      <c r="I113" s="186">
        <v>1.6</v>
      </c>
      <c r="J113" s="188">
        <v>1.7</v>
      </c>
      <c r="K113" s="188">
        <v>1.7</v>
      </c>
      <c r="L113" s="188">
        <v>1.8</v>
      </c>
      <c r="M113" s="187">
        <v>1.8</v>
      </c>
      <c r="N113" s="288"/>
      <c r="O113" s="152">
        <v>9.4</v>
      </c>
      <c r="P113" s="153">
        <v>3</v>
      </c>
      <c r="Q113" s="154">
        <v>12.4</v>
      </c>
      <c r="R113" s="288"/>
      <c r="S113" s="152">
        <v>8.6</v>
      </c>
      <c r="T113" s="156">
        <v>-0.30645161290322587</v>
      </c>
    </row>
    <row r="114" spans="1:20" s="126" customFormat="1" ht="15">
      <c r="A114" s="127"/>
      <c r="B114" s="193" t="s">
        <v>248</v>
      </c>
      <c r="C114" s="220" t="s">
        <v>203</v>
      </c>
      <c r="D114" s="152">
        <v>1.2</v>
      </c>
      <c r="E114" s="273">
        <v>2.7</v>
      </c>
      <c r="F114" s="273">
        <v>5.5</v>
      </c>
      <c r="G114" s="273">
        <v>2.4</v>
      </c>
      <c r="H114" s="154">
        <v>5.5</v>
      </c>
      <c r="I114" s="273">
        <v>4.3000000000000007</v>
      </c>
      <c r="J114" s="153">
        <v>4.5</v>
      </c>
      <c r="K114" s="153">
        <v>4.5</v>
      </c>
      <c r="L114" s="153">
        <v>4.7</v>
      </c>
      <c r="M114" s="154">
        <v>4.8</v>
      </c>
      <c r="N114" s="288"/>
      <c r="O114" s="152">
        <v>9.4</v>
      </c>
      <c r="P114" s="153">
        <v>7.9</v>
      </c>
      <c r="Q114" s="154">
        <v>17.3</v>
      </c>
      <c r="R114" s="288"/>
      <c r="S114" s="152">
        <v>22.8</v>
      </c>
      <c r="T114" s="156">
        <v>0.31791907514450868</v>
      </c>
    </row>
    <row r="115" spans="1:20" s="126" customFormat="1" ht="30">
      <c r="A115" s="127"/>
      <c r="B115" s="193" t="s">
        <v>261</v>
      </c>
      <c r="C115" s="274"/>
      <c r="D115" s="275"/>
      <c r="E115" s="276"/>
      <c r="F115" s="276"/>
      <c r="G115" s="276"/>
      <c r="H115" s="277"/>
      <c r="I115" s="276"/>
      <c r="J115" s="276"/>
      <c r="K115" s="276"/>
      <c r="L115" s="276"/>
      <c r="M115" s="277"/>
      <c r="N115" s="288"/>
      <c r="O115" s="275"/>
      <c r="P115" s="276"/>
      <c r="Q115" s="277"/>
      <c r="R115" s="288"/>
      <c r="S115" s="275"/>
      <c r="T115" s="277"/>
    </row>
    <row r="116" spans="1:20" s="126" customFormat="1" ht="14.25">
      <c r="A116" s="127"/>
      <c r="B116" s="194" t="s">
        <v>244</v>
      </c>
      <c r="C116" s="220" t="s">
        <v>203</v>
      </c>
      <c r="D116" s="185">
        <v>0</v>
      </c>
      <c r="E116" s="186">
        <v>0</v>
      </c>
      <c r="F116" s="186">
        <v>0</v>
      </c>
      <c r="G116" s="186">
        <v>0</v>
      </c>
      <c r="H116" s="187">
        <v>0</v>
      </c>
      <c r="I116" s="186">
        <v>0</v>
      </c>
      <c r="J116" s="188">
        <v>0</v>
      </c>
      <c r="K116" s="188">
        <v>0</v>
      </c>
      <c r="L116" s="188">
        <v>0</v>
      </c>
      <c r="M116" s="187">
        <v>0</v>
      </c>
      <c r="N116" s="288"/>
      <c r="O116" s="152">
        <v>0</v>
      </c>
      <c r="P116" s="153">
        <v>0</v>
      </c>
      <c r="Q116" s="154">
        <v>0</v>
      </c>
      <c r="R116" s="288"/>
      <c r="S116" s="152">
        <v>0</v>
      </c>
      <c r="T116" s="156" t="s">
        <v>989</v>
      </c>
    </row>
    <row r="117" spans="1:20" s="126" customFormat="1" ht="14.25">
      <c r="A117" s="127"/>
      <c r="B117" s="194" t="s">
        <v>259</v>
      </c>
      <c r="C117" s="220" t="s">
        <v>203</v>
      </c>
      <c r="D117" s="185">
        <v>0</v>
      </c>
      <c r="E117" s="186">
        <v>0</v>
      </c>
      <c r="F117" s="186">
        <v>0</v>
      </c>
      <c r="G117" s="186">
        <v>0</v>
      </c>
      <c r="H117" s="187">
        <v>0</v>
      </c>
      <c r="I117" s="186">
        <v>0</v>
      </c>
      <c r="J117" s="188">
        <v>0</v>
      </c>
      <c r="K117" s="188">
        <v>0</v>
      </c>
      <c r="L117" s="188">
        <v>0</v>
      </c>
      <c r="M117" s="187">
        <v>0</v>
      </c>
      <c r="N117" s="288"/>
      <c r="O117" s="152">
        <v>0</v>
      </c>
      <c r="P117" s="153">
        <v>0</v>
      </c>
      <c r="Q117" s="154">
        <v>0</v>
      </c>
      <c r="R117" s="288"/>
      <c r="S117" s="152">
        <v>0</v>
      </c>
      <c r="T117" s="156" t="s">
        <v>989</v>
      </c>
    </row>
    <row r="118" spans="1:20" s="126" customFormat="1" ht="15">
      <c r="A118" s="127"/>
      <c r="B118" s="193" t="s">
        <v>250</v>
      </c>
      <c r="C118" s="220" t="s">
        <v>203</v>
      </c>
      <c r="D118" s="152">
        <v>0</v>
      </c>
      <c r="E118" s="273">
        <v>0</v>
      </c>
      <c r="F118" s="273">
        <v>0</v>
      </c>
      <c r="G118" s="273">
        <v>0</v>
      </c>
      <c r="H118" s="154">
        <v>0</v>
      </c>
      <c r="I118" s="273">
        <v>0</v>
      </c>
      <c r="J118" s="153">
        <v>0</v>
      </c>
      <c r="K118" s="153">
        <v>0</v>
      </c>
      <c r="L118" s="153">
        <v>0</v>
      </c>
      <c r="M118" s="154">
        <v>0</v>
      </c>
      <c r="N118" s="288"/>
      <c r="O118" s="152">
        <v>0</v>
      </c>
      <c r="P118" s="153">
        <v>0</v>
      </c>
      <c r="Q118" s="154">
        <v>0</v>
      </c>
      <c r="R118" s="288"/>
      <c r="S118" s="152">
        <v>0</v>
      </c>
      <c r="T118" s="156" t="s">
        <v>989</v>
      </c>
    </row>
    <row r="119" spans="1:20" s="126" customFormat="1" ht="30">
      <c r="A119" s="127"/>
      <c r="B119" s="193" t="s">
        <v>262</v>
      </c>
      <c r="C119" s="274"/>
      <c r="D119" s="275"/>
      <c r="E119" s="276"/>
      <c r="F119" s="276"/>
      <c r="G119" s="276"/>
      <c r="H119" s="277"/>
      <c r="I119" s="276"/>
      <c r="J119" s="276"/>
      <c r="K119" s="276"/>
      <c r="L119" s="276"/>
      <c r="M119" s="277"/>
      <c r="N119" s="288"/>
      <c r="O119" s="275"/>
      <c r="P119" s="276"/>
      <c r="Q119" s="277"/>
      <c r="R119" s="288"/>
      <c r="S119" s="275"/>
      <c r="T119" s="277"/>
    </row>
    <row r="120" spans="1:20" s="126" customFormat="1" ht="14.25">
      <c r="A120" s="127"/>
      <c r="B120" s="194" t="s">
        <v>244</v>
      </c>
      <c r="C120" s="220" t="s">
        <v>203</v>
      </c>
      <c r="D120" s="185">
        <v>0</v>
      </c>
      <c r="E120" s="186">
        <v>0</v>
      </c>
      <c r="F120" s="186">
        <v>0</v>
      </c>
      <c r="G120" s="186">
        <v>0</v>
      </c>
      <c r="H120" s="187">
        <v>0</v>
      </c>
      <c r="I120" s="186">
        <v>0</v>
      </c>
      <c r="J120" s="188">
        <v>0</v>
      </c>
      <c r="K120" s="188">
        <v>0</v>
      </c>
      <c r="L120" s="188">
        <v>0</v>
      </c>
      <c r="M120" s="187">
        <v>0</v>
      </c>
      <c r="N120" s="288"/>
      <c r="O120" s="152">
        <v>0</v>
      </c>
      <c r="P120" s="153">
        <v>0</v>
      </c>
      <c r="Q120" s="154">
        <v>0</v>
      </c>
      <c r="R120" s="288"/>
      <c r="S120" s="152">
        <v>0</v>
      </c>
      <c r="T120" s="156" t="s">
        <v>989</v>
      </c>
    </row>
    <row r="121" spans="1:20" s="126" customFormat="1" ht="14.25">
      <c r="A121" s="127"/>
      <c r="B121" s="194" t="s">
        <v>259</v>
      </c>
      <c r="C121" s="220" t="s">
        <v>203</v>
      </c>
      <c r="D121" s="185">
        <v>0</v>
      </c>
      <c r="E121" s="186">
        <v>0</v>
      </c>
      <c r="F121" s="186">
        <v>0</v>
      </c>
      <c r="G121" s="186">
        <v>0</v>
      </c>
      <c r="H121" s="187">
        <v>0</v>
      </c>
      <c r="I121" s="186">
        <v>0</v>
      </c>
      <c r="J121" s="188">
        <v>0</v>
      </c>
      <c r="K121" s="188">
        <v>0</v>
      </c>
      <c r="L121" s="188">
        <v>0</v>
      </c>
      <c r="M121" s="187">
        <v>0</v>
      </c>
      <c r="N121" s="288"/>
      <c r="O121" s="152">
        <v>0</v>
      </c>
      <c r="P121" s="153">
        <v>0</v>
      </c>
      <c r="Q121" s="154">
        <v>0</v>
      </c>
      <c r="R121" s="288"/>
      <c r="S121" s="152">
        <v>0</v>
      </c>
      <c r="T121" s="156" t="s">
        <v>989</v>
      </c>
    </row>
    <row r="122" spans="1:20" s="126" customFormat="1" ht="15">
      <c r="A122" s="127"/>
      <c r="B122" s="193" t="s">
        <v>252</v>
      </c>
      <c r="C122" s="220" t="s">
        <v>203</v>
      </c>
      <c r="D122" s="152">
        <v>0</v>
      </c>
      <c r="E122" s="273">
        <v>0</v>
      </c>
      <c r="F122" s="273">
        <v>0</v>
      </c>
      <c r="G122" s="273">
        <v>0</v>
      </c>
      <c r="H122" s="154">
        <v>0</v>
      </c>
      <c r="I122" s="273">
        <v>0</v>
      </c>
      <c r="J122" s="153">
        <v>0</v>
      </c>
      <c r="K122" s="153">
        <v>0</v>
      </c>
      <c r="L122" s="153">
        <v>0</v>
      </c>
      <c r="M122" s="154">
        <v>0</v>
      </c>
      <c r="N122" s="288"/>
      <c r="O122" s="152">
        <v>0</v>
      </c>
      <c r="P122" s="153">
        <v>0</v>
      </c>
      <c r="Q122" s="154">
        <v>0</v>
      </c>
      <c r="R122" s="288"/>
      <c r="S122" s="152">
        <v>0</v>
      </c>
      <c r="T122" s="156" t="s">
        <v>989</v>
      </c>
    </row>
    <row r="123" spans="1:20" s="126" customFormat="1" ht="15">
      <c r="A123" s="127"/>
      <c r="B123" s="193"/>
      <c r="C123" s="220"/>
      <c r="D123" s="275"/>
      <c r="E123" s="276"/>
      <c r="F123" s="276"/>
      <c r="G123" s="276"/>
      <c r="H123" s="277"/>
      <c r="I123" s="276"/>
      <c r="J123" s="276"/>
      <c r="K123" s="276"/>
      <c r="L123" s="276"/>
      <c r="M123" s="277"/>
      <c r="N123" s="288"/>
      <c r="O123" s="275"/>
      <c r="P123" s="276"/>
      <c r="Q123" s="277"/>
      <c r="R123" s="288"/>
      <c r="S123" s="275"/>
      <c r="T123" s="277"/>
    </row>
    <row r="124" spans="1:20" s="126" customFormat="1" ht="15">
      <c r="A124" s="127"/>
      <c r="B124" s="265" t="s">
        <v>263</v>
      </c>
      <c r="C124" s="146" t="s">
        <v>203</v>
      </c>
      <c r="D124" s="165">
        <v>11.2</v>
      </c>
      <c r="E124" s="165">
        <v>25.7</v>
      </c>
      <c r="F124" s="165">
        <v>36.1</v>
      </c>
      <c r="G124" s="165">
        <v>30.999999999999996</v>
      </c>
      <c r="H124" s="164">
        <v>29.1</v>
      </c>
      <c r="I124" s="165">
        <v>27.2</v>
      </c>
      <c r="J124" s="163">
        <v>28.9</v>
      </c>
      <c r="K124" s="163">
        <v>31.400000000000002</v>
      </c>
      <c r="L124" s="163">
        <v>33.5</v>
      </c>
      <c r="M124" s="164">
        <v>35.5</v>
      </c>
      <c r="N124" s="289"/>
      <c r="O124" s="162">
        <v>73</v>
      </c>
      <c r="P124" s="163">
        <v>60.099999999999994</v>
      </c>
      <c r="Q124" s="164">
        <v>133.1</v>
      </c>
      <c r="R124" s="289"/>
      <c r="S124" s="162">
        <v>156.5</v>
      </c>
      <c r="T124" s="281">
        <v>0.17580766341096923</v>
      </c>
    </row>
    <row r="125" spans="1:20" s="126" customFormat="1" ht="15">
      <c r="A125" s="127"/>
      <c r="B125" s="265" t="s">
        <v>264</v>
      </c>
      <c r="C125" s="146" t="s">
        <v>203</v>
      </c>
      <c r="D125" s="185">
        <v>-5.6</v>
      </c>
      <c r="E125" s="186">
        <v>16.399999999999999</v>
      </c>
      <c r="F125" s="186">
        <v>18.100000000000001</v>
      </c>
      <c r="G125" s="186">
        <v>7.3</v>
      </c>
      <c r="H125" s="187">
        <v>10.199999999999999</v>
      </c>
      <c r="I125" s="186">
        <v>9.8000000000000007</v>
      </c>
      <c r="J125" s="188">
        <v>10.5</v>
      </c>
      <c r="K125" s="188">
        <v>11.4</v>
      </c>
      <c r="L125" s="188">
        <v>12.1</v>
      </c>
      <c r="M125" s="187">
        <v>12.9</v>
      </c>
      <c r="N125" s="289"/>
      <c r="O125" s="162">
        <v>28.9</v>
      </c>
      <c r="P125" s="163">
        <v>17.5</v>
      </c>
      <c r="Q125" s="164">
        <v>46.399999999999991</v>
      </c>
      <c r="R125" s="289"/>
      <c r="S125" s="162">
        <v>56.7</v>
      </c>
      <c r="T125" s="281">
        <v>0.22198275862068995</v>
      </c>
    </row>
    <row r="126" spans="1:20" s="126" customFormat="1" ht="15">
      <c r="A126" s="127"/>
      <c r="B126" s="265" t="s">
        <v>265</v>
      </c>
      <c r="C126" s="146" t="s">
        <v>203</v>
      </c>
      <c r="D126" s="162">
        <v>5.6</v>
      </c>
      <c r="E126" s="165">
        <v>42.099999999999994</v>
      </c>
      <c r="F126" s="165">
        <v>54.2</v>
      </c>
      <c r="G126" s="165">
        <v>38.299999999999997</v>
      </c>
      <c r="H126" s="164">
        <v>39.299999999999997</v>
      </c>
      <c r="I126" s="165">
        <v>37</v>
      </c>
      <c r="J126" s="163">
        <v>39.4</v>
      </c>
      <c r="K126" s="163">
        <v>42.800000000000004</v>
      </c>
      <c r="L126" s="163">
        <v>45.6</v>
      </c>
      <c r="M126" s="164">
        <v>48.4</v>
      </c>
      <c r="N126" s="289"/>
      <c r="O126" s="162">
        <v>101.9</v>
      </c>
      <c r="P126" s="163">
        <v>77.599999999999994</v>
      </c>
      <c r="Q126" s="164">
        <v>179.5</v>
      </c>
      <c r="R126" s="289"/>
      <c r="S126" s="162">
        <v>213.20000000000002</v>
      </c>
      <c r="T126" s="281">
        <v>0.18774373259052934</v>
      </c>
    </row>
    <row r="127" spans="1:20" s="126" customFormat="1" ht="15">
      <c r="A127" s="127"/>
      <c r="B127" s="265"/>
      <c r="C127" s="189"/>
      <c r="D127" s="290"/>
      <c r="E127" s="291"/>
      <c r="F127" s="291"/>
      <c r="G127" s="291"/>
      <c r="H127" s="292"/>
      <c r="I127" s="291"/>
      <c r="J127" s="291"/>
      <c r="K127" s="291"/>
      <c r="L127" s="291"/>
      <c r="M127" s="292"/>
      <c r="N127" s="288"/>
      <c r="O127" s="275"/>
      <c r="P127" s="276"/>
      <c r="Q127" s="277"/>
      <c r="R127" s="288"/>
      <c r="S127" s="275"/>
      <c r="T127" s="277"/>
    </row>
    <row r="128" spans="1:20" s="126" customFormat="1" ht="45.75" thickBot="1">
      <c r="A128" s="127"/>
      <c r="B128" s="201" t="s">
        <v>266</v>
      </c>
      <c r="C128" s="167" t="s">
        <v>203</v>
      </c>
      <c r="D128" s="171">
        <v>7.6450092226258857</v>
      </c>
      <c r="E128" s="171">
        <v>-11.632611909473546</v>
      </c>
      <c r="F128" s="171">
        <v>-10.49380295570699</v>
      </c>
      <c r="G128" s="171">
        <v>-2.9627310795847706</v>
      </c>
      <c r="H128" s="170">
        <v>-7.7874465784883711</v>
      </c>
      <c r="I128" s="171">
        <v>-6.3923692050209198</v>
      </c>
      <c r="J128" s="169">
        <v>-7.0284252045169353</v>
      </c>
      <c r="K128" s="169">
        <v>-7.7260893303571478</v>
      </c>
      <c r="L128" s="169">
        <v>-8.1955438911290344</v>
      </c>
      <c r="M128" s="170">
        <v>-8.8956225935984463</v>
      </c>
      <c r="N128" s="289"/>
      <c r="O128" s="168">
        <v>-14.48140564255465</v>
      </c>
      <c r="P128" s="169">
        <v>-10.750177658073142</v>
      </c>
      <c r="Q128" s="170">
        <v>-25.23158330062779</v>
      </c>
      <c r="R128" s="289"/>
      <c r="S128" s="168">
        <v>-38.238050224622484</v>
      </c>
      <c r="T128" s="293">
        <v>0.51548358139186135</v>
      </c>
    </row>
    <row r="129" spans="1:20" s="126" customFormat="1" ht="14.25">
      <c r="A129" s="127"/>
      <c r="B129" s="127"/>
      <c r="C129" s="129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</row>
    <row r="130" spans="1:20" s="126" customFormat="1" ht="15" thickBot="1">
      <c r="A130" s="127"/>
      <c r="B130" s="127"/>
      <c r="C130" s="129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</row>
    <row r="131" spans="1:20" s="126" customFormat="1" ht="14.25">
      <c r="A131" s="127"/>
      <c r="B131" s="1509"/>
      <c r="C131" s="1505" t="s">
        <v>190</v>
      </c>
      <c r="D131" s="204" t="s">
        <v>191</v>
      </c>
      <c r="E131" s="205"/>
      <c r="F131" s="205"/>
      <c r="G131" s="205"/>
      <c r="H131" s="206"/>
      <c r="I131" s="205" t="s">
        <v>192</v>
      </c>
      <c r="J131" s="207"/>
      <c r="K131" s="207"/>
      <c r="L131" s="207"/>
      <c r="M131" s="206"/>
      <c r="N131" s="183"/>
      <c r="O131" s="256" t="s">
        <v>191</v>
      </c>
      <c r="P131" s="257"/>
      <c r="Q131" s="258"/>
      <c r="R131" s="183"/>
      <c r="S131" s="256" t="s">
        <v>192</v>
      </c>
      <c r="T131" s="258"/>
    </row>
    <row r="132" spans="1:20" s="126" customFormat="1" ht="14.25">
      <c r="A132" s="127"/>
      <c r="B132" s="1510"/>
      <c r="C132" s="1506"/>
      <c r="D132" s="208" t="s">
        <v>79</v>
      </c>
      <c r="E132" s="209" t="s">
        <v>80</v>
      </c>
      <c r="F132" s="209" t="s">
        <v>81</v>
      </c>
      <c r="G132" s="209" t="s">
        <v>82</v>
      </c>
      <c r="H132" s="210" t="s">
        <v>44</v>
      </c>
      <c r="I132" s="211" t="s">
        <v>193</v>
      </c>
      <c r="J132" s="209" t="s">
        <v>194</v>
      </c>
      <c r="K132" s="209" t="s">
        <v>195</v>
      </c>
      <c r="L132" s="209" t="s">
        <v>196</v>
      </c>
      <c r="M132" s="210" t="s">
        <v>197</v>
      </c>
      <c r="N132" s="183"/>
      <c r="O132" s="259" t="s">
        <v>198</v>
      </c>
      <c r="P132" s="260" t="s">
        <v>199</v>
      </c>
      <c r="Q132" s="261" t="s">
        <v>200</v>
      </c>
      <c r="R132" s="183"/>
      <c r="S132" s="259" t="s">
        <v>199</v>
      </c>
      <c r="T132" s="261" t="s">
        <v>201</v>
      </c>
    </row>
    <row r="133" spans="1:20" s="126" customFormat="1" ht="15" customHeight="1">
      <c r="A133" s="127"/>
      <c r="B133" s="194" t="s">
        <v>267</v>
      </c>
      <c r="C133" s="294" t="s">
        <v>203</v>
      </c>
      <c r="D133" s="147">
        <v>1.8612022889187028</v>
      </c>
      <c r="E133" s="148">
        <v>4.2916342830448642</v>
      </c>
      <c r="F133" s="148">
        <v>5.9542738915905176</v>
      </c>
      <c r="G133" s="148">
        <v>4.4099629446366775</v>
      </c>
      <c r="H133" s="149">
        <v>2.2213589549418593</v>
      </c>
      <c r="I133" s="148">
        <v>2.1924148953974898</v>
      </c>
      <c r="J133" s="150">
        <v>2.3811381292346301</v>
      </c>
      <c r="K133" s="150">
        <v>2.552222098214286</v>
      </c>
      <c r="L133" s="150">
        <v>2.8307401572580657</v>
      </c>
      <c r="M133" s="149">
        <v>3.0010034869059155</v>
      </c>
      <c r="N133" s="295"/>
      <c r="O133" s="296">
        <v>12.107110463554084</v>
      </c>
      <c r="P133" s="297">
        <v>6.6313218995785368</v>
      </c>
      <c r="Q133" s="298">
        <v>18.73843236313262</v>
      </c>
      <c r="R133" s="288"/>
      <c r="S133" s="296">
        <v>12.957518767010388</v>
      </c>
      <c r="T133" s="299">
        <v>-0.3085057215082746</v>
      </c>
    </row>
    <row r="134" spans="1:20" s="126" customFormat="1" ht="15" customHeight="1">
      <c r="A134" s="127"/>
      <c r="B134" s="194" t="s">
        <v>268</v>
      </c>
      <c r="C134" s="294" t="s">
        <v>203</v>
      </c>
      <c r="D134" s="157">
        <v>0.18380693370718193</v>
      </c>
      <c r="E134" s="158">
        <v>0.47575380748158391</v>
      </c>
      <c r="F134" s="158">
        <v>1.6519231527024933</v>
      </c>
      <c r="G134" s="158">
        <v>9.2619913494809691E-2</v>
      </c>
      <c r="H134" s="159">
        <v>0.37740199854651157</v>
      </c>
      <c r="I134" s="158">
        <v>1.4607630794979078</v>
      </c>
      <c r="J134" s="160">
        <v>1.3595085934755333</v>
      </c>
      <c r="K134" s="160">
        <v>1.4527110714285716</v>
      </c>
      <c r="L134" s="160">
        <v>1.4482817147177418</v>
      </c>
      <c r="M134" s="159">
        <v>1.4428966527643061</v>
      </c>
      <c r="N134" s="295"/>
      <c r="O134" s="152">
        <v>2.3114838938912592</v>
      </c>
      <c r="P134" s="153">
        <v>0.47002191204132127</v>
      </c>
      <c r="Q134" s="154">
        <v>2.7815058059325803</v>
      </c>
      <c r="R134" s="288"/>
      <c r="S134" s="152">
        <v>7.1641611118840602</v>
      </c>
      <c r="T134" s="156">
        <v>1.575641257553323</v>
      </c>
    </row>
    <row r="135" spans="1:20" s="126" customFormat="1" ht="15" customHeight="1">
      <c r="A135" s="127"/>
      <c r="B135" s="194" t="s">
        <v>269</v>
      </c>
      <c r="C135" s="294" t="s">
        <v>203</v>
      </c>
      <c r="D135" s="157">
        <v>0</v>
      </c>
      <c r="E135" s="158">
        <v>0</v>
      </c>
      <c r="F135" s="158">
        <v>0</v>
      </c>
      <c r="G135" s="158">
        <v>0</v>
      </c>
      <c r="H135" s="159">
        <v>0</v>
      </c>
      <c r="I135" s="158">
        <v>0</v>
      </c>
      <c r="J135" s="160">
        <v>0</v>
      </c>
      <c r="K135" s="160">
        <v>0</v>
      </c>
      <c r="L135" s="160">
        <v>0</v>
      </c>
      <c r="M135" s="159">
        <v>0</v>
      </c>
      <c r="N135" s="295"/>
      <c r="O135" s="152">
        <v>0</v>
      </c>
      <c r="P135" s="153">
        <v>0</v>
      </c>
      <c r="Q135" s="154">
        <v>0</v>
      </c>
      <c r="R135" s="288"/>
      <c r="S135" s="152">
        <v>0</v>
      </c>
      <c r="T135" s="156" t="s">
        <v>989</v>
      </c>
    </row>
    <row r="136" spans="1:20" s="126" customFormat="1" ht="15" customHeight="1" thickBot="1">
      <c r="A136" s="127"/>
      <c r="B136" s="300" t="s">
        <v>270</v>
      </c>
      <c r="C136" s="301" t="s">
        <v>203</v>
      </c>
      <c r="D136" s="302">
        <v>0</v>
      </c>
      <c r="E136" s="303">
        <v>0</v>
      </c>
      <c r="F136" s="303">
        <v>0</v>
      </c>
      <c r="G136" s="303">
        <v>0</v>
      </c>
      <c r="H136" s="304">
        <v>0</v>
      </c>
      <c r="I136" s="303">
        <v>0</v>
      </c>
      <c r="J136" s="305">
        <v>0</v>
      </c>
      <c r="K136" s="305">
        <v>0</v>
      </c>
      <c r="L136" s="305">
        <v>0</v>
      </c>
      <c r="M136" s="304">
        <v>0</v>
      </c>
      <c r="N136" s="295"/>
      <c r="O136" s="172">
        <v>0</v>
      </c>
      <c r="P136" s="173">
        <v>0</v>
      </c>
      <c r="Q136" s="174">
        <v>0</v>
      </c>
      <c r="R136" s="288"/>
      <c r="S136" s="172">
        <v>0</v>
      </c>
      <c r="T136" s="175" t="s">
        <v>989</v>
      </c>
    </row>
    <row r="137" spans="1:20" s="126" customFormat="1" ht="14.25">
      <c r="A137" s="306"/>
      <c r="B137" s="306"/>
      <c r="C137" s="307"/>
      <c r="D137" s="307"/>
      <c r="E137" s="307"/>
      <c r="F137" s="307"/>
      <c r="G137" s="307"/>
      <c r="H137" s="307"/>
      <c r="I137" s="307"/>
      <c r="J137" s="307"/>
      <c r="K137" s="307"/>
      <c r="L137" s="307"/>
      <c r="M137" s="307"/>
      <c r="N137" s="307"/>
      <c r="O137" s="129"/>
      <c r="P137" s="129"/>
      <c r="Q137" s="129"/>
      <c r="R137" s="129"/>
      <c r="S137" s="129"/>
      <c r="T137" s="129"/>
    </row>
    <row r="138" spans="1:20" s="126" customFormat="1" ht="14.25">
      <c r="A138" s="127"/>
      <c r="B138" s="127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</row>
    <row r="139" spans="1:20" s="126" customFormat="1" ht="14.25">
      <c r="A139" s="127"/>
      <c r="B139" s="127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</row>
    <row r="140" spans="1:20" s="126" customFormat="1" ht="14.25">
      <c r="A140" s="127"/>
      <c r="B140" s="127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</row>
    <row r="141" spans="1:20" s="126" customFormat="1" ht="14.25">
      <c r="A141" s="127"/>
      <c r="B141" s="127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</row>
    <row r="142" spans="1:20" s="126" customFormat="1" ht="14.25">
      <c r="A142" s="127"/>
      <c r="B142" s="127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</row>
    <row r="143" spans="1:20" s="126" customFormat="1" ht="14.25">
      <c r="A143" s="127"/>
      <c r="B143" s="127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</row>
    <row r="144" spans="1:20" s="126" customFormat="1" ht="14.25">
      <c r="A144" s="127"/>
      <c r="B144" s="127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</row>
  </sheetData>
  <mergeCells count="12">
    <mergeCell ref="B76:B77"/>
    <mergeCell ref="C76:C77"/>
    <mergeCell ref="B105:B106"/>
    <mergeCell ref="C105:C106"/>
    <mergeCell ref="B131:B132"/>
    <mergeCell ref="C131:C132"/>
    <mergeCell ref="B8:B9"/>
    <mergeCell ref="C8:C9"/>
    <mergeCell ref="B18:B19"/>
    <mergeCell ref="C18:C19"/>
    <mergeCell ref="B51:B52"/>
    <mergeCell ref="C51:C52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28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5FFFF"/>
    <pageSetUpPr fitToPage="1"/>
  </sheetPr>
  <dimension ref="A1:AD267"/>
  <sheetViews>
    <sheetView zoomScaleSheetLayoutView="85" workbookViewId="0">
      <selection sqref="A1:XFD1048576"/>
    </sheetView>
  </sheetViews>
  <sheetFormatPr defaultColWidth="10.28515625" defaultRowHeight="12.75"/>
  <cols>
    <col min="1" max="1" width="3.7109375" style="323" customWidth="1"/>
    <col min="2" max="2" width="105.28515625" style="323" customWidth="1"/>
    <col min="3" max="3" width="7.42578125" style="324" customWidth="1"/>
    <col min="4" max="8" width="10" style="325" customWidth="1"/>
    <col min="9" max="13" width="10.28515625" style="325" customWidth="1"/>
    <col min="14" max="14" width="3.140625" style="325" customWidth="1"/>
    <col min="15" max="17" width="10.28515625" style="325" customWidth="1"/>
    <col min="18" max="18" width="3.140625" style="325" customWidth="1"/>
    <col min="19" max="19" width="10.28515625" style="325" customWidth="1"/>
    <col min="20" max="20" width="13" style="325" customWidth="1"/>
    <col min="21" max="16384" width="10.28515625" style="323"/>
  </cols>
  <sheetData>
    <row r="1" spans="1:30" s="314" customFormat="1" ht="26.25">
      <c r="A1" s="308" t="s">
        <v>74</v>
      </c>
      <c r="B1" s="309"/>
      <c r="C1" s="310"/>
      <c r="D1" s="311"/>
      <c r="E1" s="311"/>
      <c r="F1" s="311"/>
      <c r="G1" s="311"/>
      <c r="H1" s="311"/>
      <c r="I1" s="311"/>
      <c r="J1" s="312"/>
      <c r="K1" s="313"/>
      <c r="L1" s="313"/>
      <c r="M1" s="312"/>
      <c r="N1" s="312"/>
      <c r="O1" s="313"/>
      <c r="P1" s="312"/>
      <c r="Q1" s="312"/>
      <c r="R1" s="312"/>
      <c r="S1" s="312"/>
      <c r="T1" s="312"/>
      <c r="Y1" s="315"/>
      <c r="Z1" s="315"/>
      <c r="AA1" s="315"/>
      <c r="AB1" s="315"/>
      <c r="AC1" s="315"/>
      <c r="AD1" s="315"/>
    </row>
    <row r="2" spans="1:30" s="314" customFormat="1" ht="18">
      <c r="A2" s="316"/>
      <c r="C2" s="317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Y2" s="315"/>
      <c r="Z2" s="315"/>
      <c r="AA2" s="315"/>
      <c r="AB2" s="315"/>
      <c r="AC2" s="315"/>
      <c r="AD2" s="315"/>
    </row>
    <row r="3" spans="1:30" s="319" customFormat="1" ht="18.75" thickBot="1">
      <c r="A3" s="318" t="s">
        <v>271</v>
      </c>
      <c r="C3" s="320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Y3" s="322"/>
      <c r="Z3" s="322"/>
      <c r="AA3" s="322"/>
      <c r="AB3" s="322"/>
      <c r="AC3" s="322"/>
      <c r="AD3" s="322"/>
    </row>
    <row r="4" spans="1:30">
      <c r="R4" s="326"/>
    </row>
    <row r="5" spans="1:30"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6"/>
      <c r="S5" s="323"/>
      <c r="T5" s="323"/>
    </row>
    <row r="6" spans="1:30">
      <c r="B6" s="327" t="s">
        <v>272</v>
      </c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6"/>
      <c r="S6" s="323"/>
      <c r="T6" s="323"/>
    </row>
    <row r="7" spans="1:30" ht="13.5" thickBot="1"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6"/>
      <c r="S7" s="323"/>
      <c r="T7" s="323"/>
    </row>
    <row r="8" spans="1:30">
      <c r="B8" s="1511"/>
      <c r="C8" s="1513" t="s">
        <v>190</v>
      </c>
      <c r="D8" s="328" t="s">
        <v>191</v>
      </c>
      <c r="E8" s="329"/>
      <c r="F8" s="329"/>
      <c r="G8" s="329"/>
      <c r="H8" s="330"/>
      <c r="I8" s="329" t="s">
        <v>192</v>
      </c>
      <c r="J8" s="331"/>
      <c r="K8" s="331"/>
      <c r="L8" s="331"/>
      <c r="M8" s="330"/>
      <c r="N8" s="323"/>
      <c r="O8" s="332" t="s">
        <v>191</v>
      </c>
      <c r="P8" s="333"/>
      <c r="Q8" s="334"/>
      <c r="R8" s="326"/>
      <c r="S8" s="332" t="s">
        <v>192</v>
      </c>
      <c r="T8" s="334"/>
    </row>
    <row r="9" spans="1:30">
      <c r="B9" s="1512"/>
      <c r="C9" s="1514"/>
      <c r="D9" s="335" t="s">
        <v>79</v>
      </c>
      <c r="E9" s="336" t="s">
        <v>80</v>
      </c>
      <c r="F9" s="336" t="s">
        <v>81</v>
      </c>
      <c r="G9" s="336" t="s">
        <v>82</v>
      </c>
      <c r="H9" s="337" t="s">
        <v>44</v>
      </c>
      <c r="I9" s="338" t="s">
        <v>193</v>
      </c>
      <c r="J9" s="336" t="s">
        <v>194</v>
      </c>
      <c r="K9" s="336" t="s">
        <v>195</v>
      </c>
      <c r="L9" s="336" t="s">
        <v>196</v>
      </c>
      <c r="M9" s="337" t="s">
        <v>197</v>
      </c>
      <c r="N9" s="323"/>
      <c r="O9" s="339" t="s">
        <v>198</v>
      </c>
      <c r="P9" s="340" t="s">
        <v>199</v>
      </c>
      <c r="Q9" s="341" t="s">
        <v>200</v>
      </c>
      <c r="R9" s="326"/>
      <c r="S9" s="339" t="s">
        <v>199</v>
      </c>
      <c r="T9" s="341" t="s">
        <v>201</v>
      </c>
    </row>
    <row r="10" spans="1:30">
      <c r="B10" s="342" t="s">
        <v>273</v>
      </c>
      <c r="C10" s="343" t="s">
        <v>203</v>
      </c>
      <c r="D10" s="344">
        <f t="shared" ref="D10:M10" si="0">SUM(D178,D217,D240)</f>
        <v>0</v>
      </c>
      <c r="E10" s="344">
        <f t="shared" si="0"/>
        <v>0</v>
      </c>
      <c r="F10" s="344">
        <f t="shared" si="0"/>
        <v>0</v>
      </c>
      <c r="G10" s="344">
        <f t="shared" si="0"/>
        <v>0</v>
      </c>
      <c r="H10" s="345">
        <f t="shared" si="0"/>
        <v>0</v>
      </c>
      <c r="I10" s="344">
        <f t="shared" si="0"/>
        <v>0</v>
      </c>
      <c r="J10" s="346">
        <f t="shared" si="0"/>
        <v>0</v>
      </c>
      <c r="K10" s="346">
        <f t="shared" si="0"/>
        <v>0</v>
      </c>
      <c r="L10" s="346">
        <f t="shared" si="0"/>
        <v>0</v>
      </c>
      <c r="M10" s="345">
        <f t="shared" si="0"/>
        <v>0</v>
      </c>
      <c r="N10" s="323"/>
      <c r="O10" s="347">
        <f t="shared" ref="O10:O15" si="1">SUM(D10:G10)</f>
        <v>0</v>
      </c>
      <c r="P10" s="348">
        <f t="shared" ref="P10:P15" si="2">SUM(H10)</f>
        <v>0</v>
      </c>
      <c r="Q10" s="349">
        <f t="shared" ref="Q10:Q15" si="3">SUM(D10:H10)</f>
        <v>0</v>
      </c>
      <c r="R10" s="326"/>
      <c r="S10" s="347">
        <f t="shared" ref="S10:S15" si="4">SUM(I10:M10)</f>
        <v>0</v>
      </c>
      <c r="T10" s="156" t="str">
        <f t="shared" ref="T10:T15" si="5">IF(Q10&lt;&gt;0,(S10-Q10)/Q10,"0")</f>
        <v>0</v>
      </c>
    </row>
    <row r="11" spans="1:30">
      <c r="B11" s="342" t="s">
        <v>274</v>
      </c>
      <c r="C11" s="343" t="s">
        <v>203</v>
      </c>
      <c r="D11" s="350">
        <f t="shared" ref="D11:M11" si="6">D240</f>
        <v>0</v>
      </c>
      <c r="E11" s="344">
        <f t="shared" si="6"/>
        <v>0</v>
      </c>
      <c r="F11" s="344">
        <f t="shared" si="6"/>
        <v>0</v>
      </c>
      <c r="G11" s="344">
        <f t="shared" si="6"/>
        <v>0</v>
      </c>
      <c r="H11" s="345">
        <f t="shared" si="6"/>
        <v>0</v>
      </c>
      <c r="I11" s="344">
        <f t="shared" si="6"/>
        <v>0</v>
      </c>
      <c r="J11" s="346">
        <f t="shared" si="6"/>
        <v>0</v>
      </c>
      <c r="K11" s="346">
        <f t="shared" si="6"/>
        <v>0</v>
      </c>
      <c r="L11" s="346">
        <f t="shared" si="6"/>
        <v>0</v>
      </c>
      <c r="M11" s="345">
        <f t="shared" si="6"/>
        <v>0</v>
      </c>
      <c r="N11" s="323"/>
      <c r="O11" s="347">
        <f t="shared" si="1"/>
        <v>0</v>
      </c>
      <c r="P11" s="348">
        <f t="shared" si="2"/>
        <v>0</v>
      </c>
      <c r="Q11" s="349">
        <f t="shared" si="3"/>
        <v>0</v>
      </c>
      <c r="R11" s="326"/>
      <c r="S11" s="347">
        <f t="shared" si="4"/>
        <v>0</v>
      </c>
      <c r="T11" s="156" t="str">
        <f t="shared" si="5"/>
        <v>0</v>
      </c>
    </row>
    <row r="12" spans="1:30">
      <c r="B12" s="351" t="s">
        <v>275</v>
      </c>
      <c r="C12" s="343" t="s">
        <v>203</v>
      </c>
      <c r="D12" s="350">
        <f t="shared" ref="D12:M12" si="7">D263</f>
        <v>0</v>
      </c>
      <c r="E12" s="344">
        <f t="shared" si="7"/>
        <v>0</v>
      </c>
      <c r="F12" s="344">
        <f t="shared" si="7"/>
        <v>0</v>
      </c>
      <c r="G12" s="344">
        <f t="shared" si="7"/>
        <v>0</v>
      </c>
      <c r="H12" s="345">
        <f t="shared" si="7"/>
        <v>0</v>
      </c>
      <c r="I12" s="344">
        <f t="shared" si="7"/>
        <v>0</v>
      </c>
      <c r="J12" s="346">
        <f t="shared" si="7"/>
        <v>0</v>
      </c>
      <c r="K12" s="346">
        <f t="shared" si="7"/>
        <v>0</v>
      </c>
      <c r="L12" s="346">
        <f t="shared" si="7"/>
        <v>0</v>
      </c>
      <c r="M12" s="345">
        <f t="shared" si="7"/>
        <v>0</v>
      </c>
      <c r="N12" s="323"/>
      <c r="O12" s="347">
        <f t="shared" si="1"/>
        <v>0</v>
      </c>
      <c r="P12" s="348">
        <f t="shared" si="2"/>
        <v>0</v>
      </c>
      <c r="Q12" s="349">
        <f t="shared" si="3"/>
        <v>0</v>
      </c>
      <c r="R12" s="326"/>
      <c r="S12" s="347">
        <f t="shared" si="4"/>
        <v>0</v>
      </c>
      <c r="T12" s="156" t="str">
        <f t="shared" si="5"/>
        <v>0</v>
      </c>
    </row>
    <row r="13" spans="1:30">
      <c r="B13" s="342" t="s">
        <v>276</v>
      </c>
      <c r="C13" s="343" t="s">
        <v>203</v>
      </c>
      <c r="D13" s="352">
        <f t="shared" ref="D13:M13" si="8">D11-D12</f>
        <v>0</v>
      </c>
      <c r="E13" s="353">
        <f t="shared" si="8"/>
        <v>0</v>
      </c>
      <c r="F13" s="353">
        <f t="shared" si="8"/>
        <v>0</v>
      </c>
      <c r="G13" s="353">
        <f t="shared" si="8"/>
        <v>0</v>
      </c>
      <c r="H13" s="354">
        <f t="shared" si="8"/>
        <v>0</v>
      </c>
      <c r="I13" s="355">
        <f t="shared" si="8"/>
        <v>0</v>
      </c>
      <c r="J13" s="353">
        <f t="shared" si="8"/>
        <v>0</v>
      </c>
      <c r="K13" s="353">
        <f t="shared" si="8"/>
        <v>0</v>
      </c>
      <c r="L13" s="353">
        <f t="shared" si="8"/>
        <v>0</v>
      </c>
      <c r="M13" s="354">
        <f t="shared" si="8"/>
        <v>0</v>
      </c>
      <c r="N13" s="323"/>
      <c r="O13" s="347">
        <f t="shared" si="1"/>
        <v>0</v>
      </c>
      <c r="P13" s="348">
        <f t="shared" si="2"/>
        <v>0</v>
      </c>
      <c r="Q13" s="349">
        <f t="shared" si="3"/>
        <v>0</v>
      </c>
      <c r="R13" s="326"/>
      <c r="S13" s="347">
        <f t="shared" si="4"/>
        <v>0</v>
      </c>
      <c r="T13" s="156" t="str">
        <f t="shared" si="5"/>
        <v>0</v>
      </c>
    </row>
    <row r="14" spans="1:30">
      <c r="B14" s="342" t="s">
        <v>277</v>
      </c>
      <c r="C14" s="343" t="s">
        <v>203</v>
      </c>
      <c r="D14" s="356"/>
      <c r="E14" s="356"/>
      <c r="F14" s="356"/>
      <c r="G14" s="356"/>
      <c r="H14" s="356"/>
      <c r="I14" s="356"/>
      <c r="J14" s="356"/>
      <c r="K14" s="356"/>
      <c r="L14" s="356"/>
      <c r="M14" s="356">
        <v>0.3</v>
      </c>
      <c r="N14" s="323"/>
      <c r="O14" s="347">
        <f t="shared" si="1"/>
        <v>0</v>
      </c>
      <c r="P14" s="348">
        <f t="shared" si="2"/>
        <v>0</v>
      </c>
      <c r="Q14" s="349">
        <f t="shared" si="3"/>
        <v>0</v>
      </c>
      <c r="R14" s="326"/>
      <c r="S14" s="347">
        <f t="shared" si="4"/>
        <v>0.3</v>
      </c>
      <c r="T14" s="156" t="str">
        <f t="shared" si="5"/>
        <v>0</v>
      </c>
    </row>
    <row r="15" spans="1:30">
      <c r="B15" s="342" t="s">
        <v>278</v>
      </c>
      <c r="C15" s="343" t="s">
        <v>203</v>
      </c>
      <c r="D15" s="357">
        <f t="shared" ref="D15:M15" si="9">D13+D14</f>
        <v>0</v>
      </c>
      <c r="E15" s="358">
        <f t="shared" si="9"/>
        <v>0</v>
      </c>
      <c r="F15" s="358">
        <f t="shared" si="9"/>
        <v>0</v>
      </c>
      <c r="G15" s="358">
        <f t="shared" si="9"/>
        <v>0</v>
      </c>
      <c r="H15" s="359">
        <f t="shared" si="9"/>
        <v>0</v>
      </c>
      <c r="I15" s="358">
        <f t="shared" si="9"/>
        <v>0</v>
      </c>
      <c r="J15" s="360">
        <f t="shared" si="9"/>
        <v>0</v>
      </c>
      <c r="K15" s="360">
        <f t="shared" si="9"/>
        <v>0</v>
      </c>
      <c r="L15" s="360">
        <f t="shared" si="9"/>
        <v>0</v>
      </c>
      <c r="M15" s="359">
        <f t="shared" si="9"/>
        <v>0.3</v>
      </c>
      <c r="N15" s="323"/>
      <c r="O15" s="347">
        <f t="shared" si="1"/>
        <v>0</v>
      </c>
      <c r="P15" s="348">
        <f t="shared" si="2"/>
        <v>0</v>
      </c>
      <c r="Q15" s="349">
        <f t="shared" si="3"/>
        <v>0</v>
      </c>
      <c r="R15" s="326"/>
      <c r="S15" s="347">
        <f t="shared" si="4"/>
        <v>0.3</v>
      </c>
      <c r="T15" s="156" t="str">
        <f t="shared" si="5"/>
        <v>0</v>
      </c>
    </row>
    <row r="16" spans="1:30" ht="13.5" thickBot="1">
      <c r="B16" s="361" t="s">
        <v>279</v>
      </c>
      <c r="C16" s="362"/>
      <c r="D16" s="363" t="str">
        <f t="shared" ref="D16:M16" si="10">IF(D13-SUM(D31,D35,D39,D43)=0,"OK","ERROR")</f>
        <v>OK</v>
      </c>
      <c r="E16" s="364" t="str">
        <f t="shared" si="10"/>
        <v>OK</v>
      </c>
      <c r="F16" s="364" t="str">
        <f t="shared" si="10"/>
        <v>OK</v>
      </c>
      <c r="G16" s="364" t="str">
        <f t="shared" si="10"/>
        <v>OK</v>
      </c>
      <c r="H16" s="365" t="str">
        <f t="shared" si="10"/>
        <v>OK</v>
      </c>
      <c r="I16" s="364" t="str">
        <f t="shared" si="10"/>
        <v>OK</v>
      </c>
      <c r="J16" s="366" t="str">
        <f t="shared" si="10"/>
        <v>OK</v>
      </c>
      <c r="K16" s="366" t="str">
        <f t="shared" si="10"/>
        <v>OK</v>
      </c>
      <c r="L16" s="366" t="str">
        <f t="shared" si="10"/>
        <v>OK</v>
      </c>
      <c r="M16" s="365" t="str">
        <f t="shared" si="10"/>
        <v>OK</v>
      </c>
      <c r="N16" s="323"/>
      <c r="O16" s="367"/>
      <c r="P16" s="368"/>
      <c r="Q16" s="369"/>
      <c r="R16" s="326"/>
      <c r="S16" s="367"/>
      <c r="T16" s="370"/>
    </row>
    <row r="17" spans="2:20" ht="13.5" thickBot="1"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6"/>
      <c r="S17" s="323"/>
      <c r="T17" s="323"/>
    </row>
    <row r="18" spans="2:20">
      <c r="B18" s="371"/>
      <c r="C18" s="372"/>
      <c r="D18" s="328" t="s">
        <v>191</v>
      </c>
      <c r="E18" s="329"/>
      <c r="F18" s="329"/>
      <c r="G18" s="329"/>
      <c r="H18" s="330"/>
      <c r="I18" s="329" t="s">
        <v>192</v>
      </c>
      <c r="J18" s="331"/>
      <c r="K18" s="331"/>
      <c r="L18" s="331"/>
      <c r="M18" s="330"/>
      <c r="N18" s="323"/>
      <c r="O18" s="332" t="s">
        <v>191</v>
      </c>
      <c r="P18" s="333"/>
      <c r="Q18" s="334"/>
      <c r="R18" s="326"/>
      <c r="S18" s="332" t="s">
        <v>192</v>
      </c>
      <c r="T18" s="334"/>
    </row>
    <row r="19" spans="2:20">
      <c r="B19" s="373"/>
      <c r="C19" s="374" t="s">
        <v>190</v>
      </c>
      <c r="D19" s="335" t="s">
        <v>79</v>
      </c>
      <c r="E19" s="336" t="s">
        <v>80</v>
      </c>
      <c r="F19" s="336" t="s">
        <v>81</v>
      </c>
      <c r="G19" s="336" t="s">
        <v>82</v>
      </c>
      <c r="H19" s="337" t="s">
        <v>44</v>
      </c>
      <c r="I19" s="338" t="s">
        <v>193</v>
      </c>
      <c r="J19" s="336" t="s">
        <v>194</v>
      </c>
      <c r="K19" s="336" t="s">
        <v>195</v>
      </c>
      <c r="L19" s="336" t="s">
        <v>196</v>
      </c>
      <c r="M19" s="337" t="s">
        <v>197</v>
      </c>
      <c r="N19" s="323"/>
      <c r="O19" s="339" t="s">
        <v>198</v>
      </c>
      <c r="P19" s="340" t="s">
        <v>199</v>
      </c>
      <c r="Q19" s="341" t="s">
        <v>200</v>
      </c>
      <c r="R19" s="326"/>
      <c r="S19" s="339" t="s">
        <v>199</v>
      </c>
      <c r="T19" s="341" t="s">
        <v>201</v>
      </c>
    </row>
    <row r="20" spans="2:20">
      <c r="B20" s="342" t="s">
        <v>280</v>
      </c>
      <c r="C20" s="343" t="s">
        <v>203</v>
      </c>
      <c r="D20" s="356"/>
      <c r="E20" s="375"/>
      <c r="F20" s="375"/>
      <c r="G20" s="375"/>
      <c r="H20" s="376"/>
      <c r="I20" s="375"/>
      <c r="J20" s="377"/>
      <c r="K20" s="377"/>
      <c r="L20" s="377"/>
      <c r="M20" s="376"/>
      <c r="N20" s="323"/>
      <c r="O20" s="347">
        <f>SUM(D20:G20)</f>
        <v>0</v>
      </c>
      <c r="P20" s="348">
        <f>SUM(H20)</f>
        <v>0</v>
      </c>
      <c r="Q20" s="349">
        <f>SUM(D20:H20)</f>
        <v>0</v>
      </c>
      <c r="R20" s="326"/>
      <c r="S20" s="347">
        <f>SUM(I20:M20)</f>
        <v>0</v>
      </c>
      <c r="T20" s="156" t="str">
        <f>IF(Q20&lt;&gt;0,(S20-Q20)/Q20,"0")</f>
        <v>0</v>
      </c>
    </row>
    <row r="21" spans="2:20">
      <c r="B21" s="342" t="s">
        <v>281</v>
      </c>
      <c r="C21" s="343" t="s">
        <v>203</v>
      </c>
      <c r="D21" s="356"/>
      <c r="E21" s="375"/>
      <c r="F21" s="375"/>
      <c r="G21" s="375"/>
      <c r="H21" s="376"/>
      <c r="I21" s="375"/>
      <c r="J21" s="377"/>
      <c r="K21" s="377"/>
      <c r="L21" s="377"/>
      <c r="M21" s="376"/>
      <c r="N21" s="323"/>
      <c r="O21" s="347">
        <f>SUM(D21:G21)</f>
        <v>0</v>
      </c>
      <c r="P21" s="348">
        <f>SUM(H21)</f>
        <v>0</v>
      </c>
      <c r="Q21" s="349">
        <f>SUM(D21:H21)</f>
        <v>0</v>
      </c>
      <c r="R21" s="326"/>
      <c r="S21" s="347">
        <f>SUM(I21:M21)</f>
        <v>0</v>
      </c>
      <c r="T21" s="156" t="str">
        <f>IF(Q21&lt;&gt;0,(S21-Q21)/Q21,"0")</f>
        <v>0</v>
      </c>
    </row>
    <row r="22" spans="2:20" ht="13.5" thickBot="1">
      <c r="B22" s="361" t="s">
        <v>200</v>
      </c>
      <c r="C22" s="362" t="s">
        <v>203</v>
      </c>
      <c r="D22" s="378">
        <f t="shared" ref="D22:M22" si="11">D20+D21</f>
        <v>0</v>
      </c>
      <c r="E22" s="379">
        <f t="shared" si="11"/>
        <v>0</v>
      </c>
      <c r="F22" s="379">
        <f t="shared" si="11"/>
        <v>0</v>
      </c>
      <c r="G22" s="379">
        <f t="shared" si="11"/>
        <v>0</v>
      </c>
      <c r="H22" s="380">
        <f t="shared" si="11"/>
        <v>0</v>
      </c>
      <c r="I22" s="379">
        <f t="shared" si="11"/>
        <v>0</v>
      </c>
      <c r="J22" s="381">
        <f t="shared" si="11"/>
        <v>0</v>
      </c>
      <c r="K22" s="381">
        <f t="shared" si="11"/>
        <v>0</v>
      </c>
      <c r="L22" s="381">
        <f t="shared" si="11"/>
        <v>0</v>
      </c>
      <c r="M22" s="380">
        <f t="shared" si="11"/>
        <v>0</v>
      </c>
      <c r="N22" s="323"/>
      <c r="O22" s="382">
        <f>SUM(D22:G22)</f>
        <v>0</v>
      </c>
      <c r="P22" s="383">
        <f>SUM(H22)</f>
        <v>0</v>
      </c>
      <c r="Q22" s="384">
        <f>SUM(D22:H22)</f>
        <v>0</v>
      </c>
      <c r="R22" s="326"/>
      <c r="S22" s="382">
        <f>SUM(I22:M22)</f>
        <v>0</v>
      </c>
      <c r="T22" s="175" t="str">
        <f>IF(Q22&lt;&gt;0,(S22-Q22)/Q22,"0")</f>
        <v>0</v>
      </c>
    </row>
    <row r="23" spans="2:20"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6"/>
      <c r="S23" s="323"/>
      <c r="T23" s="323"/>
    </row>
    <row r="24" spans="2:20">
      <c r="B24" s="385" t="s">
        <v>282</v>
      </c>
      <c r="C24" s="386"/>
      <c r="D24" s="387"/>
      <c r="E24" s="387"/>
      <c r="F24" s="387"/>
      <c r="G24" s="387"/>
      <c r="H24" s="387"/>
      <c r="I24" s="387"/>
      <c r="J24" s="387"/>
      <c r="K24" s="387"/>
      <c r="L24" s="387"/>
      <c r="M24" s="387"/>
      <c r="N24" s="326"/>
      <c r="O24" s="387"/>
      <c r="P24" s="387"/>
      <c r="Q24" s="387"/>
      <c r="R24" s="326"/>
      <c r="S24" s="387"/>
      <c r="T24" s="387"/>
    </row>
    <row r="25" spans="2:20" ht="13.5" thickBot="1">
      <c r="B25" s="385"/>
      <c r="C25" s="386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26"/>
      <c r="O25" s="387"/>
      <c r="P25" s="387"/>
      <c r="Q25" s="387"/>
      <c r="R25" s="326"/>
      <c r="S25" s="387"/>
      <c r="T25" s="387"/>
    </row>
    <row r="26" spans="2:20">
      <c r="B26" s="1515"/>
      <c r="C26" s="1513" t="s">
        <v>190</v>
      </c>
      <c r="D26" s="328" t="s">
        <v>191</v>
      </c>
      <c r="E26" s="329"/>
      <c r="F26" s="329"/>
      <c r="G26" s="329"/>
      <c r="H26" s="330"/>
      <c r="I26" s="329" t="s">
        <v>192</v>
      </c>
      <c r="J26" s="331"/>
      <c r="K26" s="331"/>
      <c r="L26" s="331"/>
      <c r="M26" s="330"/>
      <c r="N26" s="326"/>
      <c r="O26" s="332" t="s">
        <v>191</v>
      </c>
      <c r="P26" s="333"/>
      <c r="Q26" s="334"/>
      <c r="R26" s="326"/>
      <c r="S26" s="332" t="s">
        <v>192</v>
      </c>
      <c r="T26" s="334"/>
    </row>
    <row r="27" spans="2:20">
      <c r="B27" s="1516"/>
      <c r="C27" s="1514"/>
      <c r="D27" s="335" t="s">
        <v>79</v>
      </c>
      <c r="E27" s="336" t="s">
        <v>80</v>
      </c>
      <c r="F27" s="336" t="s">
        <v>81</v>
      </c>
      <c r="G27" s="336" t="s">
        <v>82</v>
      </c>
      <c r="H27" s="337" t="s">
        <v>44</v>
      </c>
      <c r="I27" s="338" t="s">
        <v>193</v>
      </c>
      <c r="J27" s="336" t="s">
        <v>194</v>
      </c>
      <c r="K27" s="336" t="s">
        <v>195</v>
      </c>
      <c r="L27" s="336" t="s">
        <v>196</v>
      </c>
      <c r="M27" s="337" t="s">
        <v>197</v>
      </c>
      <c r="N27" s="326"/>
      <c r="O27" s="339" t="s">
        <v>198</v>
      </c>
      <c r="P27" s="340" t="s">
        <v>199</v>
      </c>
      <c r="Q27" s="341" t="s">
        <v>200</v>
      </c>
      <c r="R27" s="326"/>
      <c r="S27" s="339" t="s">
        <v>199</v>
      </c>
      <c r="T27" s="341" t="s">
        <v>201</v>
      </c>
    </row>
    <row r="28" spans="2:20">
      <c r="B28" s="388" t="s">
        <v>258</v>
      </c>
      <c r="C28" s="389"/>
      <c r="D28" s="390"/>
      <c r="E28" s="391"/>
      <c r="F28" s="391"/>
      <c r="G28" s="391"/>
      <c r="H28" s="392"/>
      <c r="I28" s="391"/>
      <c r="J28" s="391"/>
      <c r="K28" s="391"/>
      <c r="L28" s="391"/>
      <c r="M28" s="392"/>
      <c r="N28" s="326"/>
      <c r="O28" s="393"/>
      <c r="P28" s="394"/>
      <c r="Q28" s="395"/>
      <c r="R28" s="326"/>
      <c r="S28" s="390"/>
      <c r="T28" s="392"/>
    </row>
    <row r="29" spans="2:20">
      <c r="B29" s="396" t="s">
        <v>283</v>
      </c>
      <c r="C29" s="397" t="s">
        <v>203</v>
      </c>
      <c r="D29" s="398"/>
      <c r="E29" s="399"/>
      <c r="F29" s="399"/>
      <c r="G29" s="399"/>
      <c r="H29" s="400"/>
      <c r="I29" s="401">
        <f t="shared" ref="I29:M30" si="12">I225-I248</f>
        <v>0</v>
      </c>
      <c r="J29" s="402">
        <f t="shared" si="12"/>
        <v>0</v>
      </c>
      <c r="K29" s="402">
        <f t="shared" si="12"/>
        <v>0</v>
      </c>
      <c r="L29" s="402">
        <f t="shared" si="12"/>
        <v>0</v>
      </c>
      <c r="M29" s="403">
        <f t="shared" si="12"/>
        <v>0</v>
      </c>
      <c r="N29" s="326"/>
      <c r="O29" s="367"/>
      <c r="P29" s="368"/>
      <c r="Q29" s="369"/>
      <c r="R29" s="326"/>
      <c r="S29" s="367"/>
      <c r="T29" s="370"/>
    </row>
    <row r="30" spans="2:20">
      <c r="B30" s="396" t="s">
        <v>284</v>
      </c>
      <c r="C30" s="397" t="s">
        <v>203</v>
      </c>
      <c r="D30" s="398"/>
      <c r="E30" s="399"/>
      <c r="F30" s="399"/>
      <c r="G30" s="399"/>
      <c r="H30" s="400"/>
      <c r="I30" s="401">
        <f t="shared" si="12"/>
        <v>0</v>
      </c>
      <c r="J30" s="402">
        <f t="shared" si="12"/>
        <v>0</v>
      </c>
      <c r="K30" s="402">
        <f t="shared" si="12"/>
        <v>0</v>
      </c>
      <c r="L30" s="402">
        <f t="shared" si="12"/>
        <v>0</v>
      </c>
      <c r="M30" s="403">
        <f t="shared" si="12"/>
        <v>0</v>
      </c>
      <c r="N30" s="326"/>
      <c r="O30" s="367"/>
      <c r="P30" s="368"/>
      <c r="Q30" s="369"/>
      <c r="R30" s="326"/>
      <c r="S30" s="367"/>
      <c r="T30" s="370"/>
    </row>
    <row r="31" spans="2:20">
      <c r="B31" s="404" t="s">
        <v>246</v>
      </c>
      <c r="C31" s="397" t="s">
        <v>203</v>
      </c>
      <c r="D31" s="347">
        <f>D227-D250</f>
        <v>0</v>
      </c>
      <c r="E31" s="405">
        <f>E227-E250</f>
        <v>0</v>
      </c>
      <c r="F31" s="405">
        <f>F227-F250</f>
        <v>0</v>
      </c>
      <c r="G31" s="405">
        <f>G227-G250</f>
        <v>0</v>
      </c>
      <c r="H31" s="349">
        <f>H227-H250</f>
        <v>0</v>
      </c>
      <c r="I31" s="405">
        <f>SUM(I29:I30)</f>
        <v>0</v>
      </c>
      <c r="J31" s="348">
        <f>SUM(J29:J30)</f>
        <v>0</v>
      </c>
      <c r="K31" s="348">
        <f>SUM(K29:K30)</f>
        <v>0</v>
      </c>
      <c r="L31" s="348">
        <f>SUM(L29:L30)</f>
        <v>0</v>
      </c>
      <c r="M31" s="349">
        <f>SUM(M29:M30)</f>
        <v>0</v>
      </c>
      <c r="N31" s="326"/>
      <c r="O31" s="347">
        <f>SUM(D31:G31)</f>
        <v>0</v>
      </c>
      <c r="P31" s="348">
        <f>SUM(H31)</f>
        <v>0</v>
      </c>
      <c r="Q31" s="349">
        <f>SUM(D31:H31)</f>
        <v>0</v>
      </c>
      <c r="R31" s="326"/>
      <c r="S31" s="347">
        <f>SUM(I31:M31)</f>
        <v>0</v>
      </c>
      <c r="T31" s="156" t="str">
        <f>IF(Q31&lt;&gt;0,(S31-Q31)/Q31,"0")</f>
        <v>0</v>
      </c>
    </row>
    <row r="32" spans="2:20">
      <c r="B32" s="388" t="s">
        <v>260</v>
      </c>
      <c r="C32" s="406"/>
      <c r="D32" s="407"/>
      <c r="E32" s="408"/>
      <c r="F32" s="408"/>
      <c r="G32" s="408"/>
      <c r="H32" s="409"/>
      <c r="I32" s="408"/>
      <c r="J32" s="408"/>
      <c r="K32" s="408"/>
      <c r="L32" s="408"/>
      <c r="M32" s="409"/>
      <c r="N32" s="326"/>
      <c r="O32" s="410"/>
      <c r="P32" s="408"/>
      <c r="Q32" s="409"/>
      <c r="R32" s="326"/>
      <c r="S32" s="407"/>
      <c r="T32" s="409"/>
    </row>
    <row r="33" spans="2:20">
      <c r="B33" s="396" t="s">
        <v>285</v>
      </c>
      <c r="C33" s="397" t="s">
        <v>203</v>
      </c>
      <c r="D33" s="398"/>
      <c r="E33" s="399"/>
      <c r="F33" s="399"/>
      <c r="G33" s="399"/>
      <c r="H33" s="400"/>
      <c r="I33" s="401">
        <f t="shared" ref="I33:M34" si="13">I229-I252</f>
        <v>0</v>
      </c>
      <c r="J33" s="402">
        <f t="shared" si="13"/>
        <v>0</v>
      </c>
      <c r="K33" s="402">
        <f t="shared" si="13"/>
        <v>0</v>
      </c>
      <c r="L33" s="402">
        <f t="shared" si="13"/>
        <v>0</v>
      </c>
      <c r="M33" s="403">
        <f t="shared" si="13"/>
        <v>0</v>
      </c>
      <c r="N33" s="326"/>
      <c r="O33" s="367"/>
      <c r="P33" s="368"/>
      <c r="Q33" s="369"/>
      <c r="R33" s="326"/>
      <c r="S33" s="367"/>
      <c r="T33" s="370"/>
    </row>
    <row r="34" spans="2:20">
      <c r="B34" s="396" t="s">
        <v>286</v>
      </c>
      <c r="C34" s="397" t="s">
        <v>203</v>
      </c>
      <c r="D34" s="398"/>
      <c r="E34" s="399"/>
      <c r="F34" s="399"/>
      <c r="G34" s="399"/>
      <c r="H34" s="400"/>
      <c r="I34" s="401">
        <f t="shared" si="13"/>
        <v>0</v>
      </c>
      <c r="J34" s="402">
        <f t="shared" si="13"/>
        <v>0</v>
      </c>
      <c r="K34" s="402">
        <f t="shared" si="13"/>
        <v>0</v>
      </c>
      <c r="L34" s="402">
        <f t="shared" si="13"/>
        <v>0</v>
      </c>
      <c r="M34" s="403">
        <f t="shared" si="13"/>
        <v>0</v>
      </c>
      <c r="N34" s="326"/>
      <c r="O34" s="367"/>
      <c r="P34" s="368"/>
      <c r="Q34" s="369"/>
      <c r="R34" s="326"/>
      <c r="S34" s="367"/>
      <c r="T34" s="370"/>
    </row>
    <row r="35" spans="2:20">
      <c r="B35" s="404" t="s">
        <v>248</v>
      </c>
      <c r="C35" s="397" t="s">
        <v>203</v>
      </c>
      <c r="D35" s="347">
        <f>D231-D254</f>
        <v>0</v>
      </c>
      <c r="E35" s="405">
        <f>E231-E254</f>
        <v>0</v>
      </c>
      <c r="F35" s="405">
        <f>F231-F254</f>
        <v>0</v>
      </c>
      <c r="G35" s="405">
        <f>G231-G254</f>
        <v>0</v>
      </c>
      <c r="H35" s="349">
        <f>H231-H254</f>
        <v>0</v>
      </c>
      <c r="I35" s="405">
        <f>SUM(I33:I34)</f>
        <v>0</v>
      </c>
      <c r="J35" s="348">
        <f>SUM(J33:J34)</f>
        <v>0</v>
      </c>
      <c r="K35" s="348">
        <f>SUM(K33:K34)</f>
        <v>0</v>
      </c>
      <c r="L35" s="348">
        <f>SUM(L33:L34)</f>
        <v>0</v>
      </c>
      <c r="M35" s="349">
        <f>SUM(M33:M34)</f>
        <v>0</v>
      </c>
      <c r="N35" s="326"/>
      <c r="O35" s="347">
        <f>SUM(D35:G35)</f>
        <v>0</v>
      </c>
      <c r="P35" s="348">
        <f>SUM(H35)</f>
        <v>0</v>
      </c>
      <c r="Q35" s="349">
        <f>SUM(D35:H35)</f>
        <v>0</v>
      </c>
      <c r="R35" s="326"/>
      <c r="S35" s="347">
        <f>SUM(I35:M35)</f>
        <v>0</v>
      </c>
      <c r="T35" s="156" t="str">
        <f>IF(Q35&lt;&gt;0,(S35-Q35)/Q35,"0")</f>
        <v>0</v>
      </c>
    </row>
    <row r="36" spans="2:20">
      <c r="B36" s="388" t="s">
        <v>261</v>
      </c>
      <c r="C36" s="406"/>
      <c r="D36" s="407"/>
      <c r="E36" s="408"/>
      <c r="F36" s="408"/>
      <c r="G36" s="408"/>
      <c r="H36" s="409"/>
      <c r="I36" s="408"/>
      <c r="J36" s="408"/>
      <c r="K36" s="408"/>
      <c r="L36" s="408"/>
      <c r="M36" s="409"/>
      <c r="N36" s="326"/>
      <c r="O36" s="407"/>
      <c r="P36" s="408"/>
      <c r="Q36" s="409"/>
      <c r="R36" s="326"/>
      <c r="S36" s="407"/>
      <c r="T36" s="409"/>
    </row>
    <row r="37" spans="2:20">
      <c r="B37" s="396" t="s">
        <v>287</v>
      </c>
      <c r="C37" s="397" t="s">
        <v>203</v>
      </c>
      <c r="D37" s="398"/>
      <c r="E37" s="399"/>
      <c r="F37" s="399"/>
      <c r="G37" s="399"/>
      <c r="H37" s="400"/>
      <c r="I37" s="401">
        <f t="shared" ref="I37:M38" si="14">I233-I256</f>
        <v>0</v>
      </c>
      <c r="J37" s="402">
        <f t="shared" si="14"/>
        <v>0</v>
      </c>
      <c r="K37" s="402">
        <f t="shared" si="14"/>
        <v>0</v>
      </c>
      <c r="L37" s="402">
        <f t="shared" si="14"/>
        <v>0</v>
      </c>
      <c r="M37" s="403">
        <f t="shared" si="14"/>
        <v>0</v>
      </c>
      <c r="N37" s="326"/>
      <c r="O37" s="367"/>
      <c r="P37" s="368"/>
      <c r="Q37" s="369"/>
      <c r="R37" s="326"/>
      <c r="S37" s="367"/>
      <c r="T37" s="370"/>
    </row>
    <row r="38" spans="2:20">
      <c r="B38" s="396" t="s">
        <v>288</v>
      </c>
      <c r="C38" s="397" t="s">
        <v>203</v>
      </c>
      <c r="D38" s="398"/>
      <c r="E38" s="399"/>
      <c r="F38" s="399"/>
      <c r="G38" s="399"/>
      <c r="H38" s="400"/>
      <c r="I38" s="401">
        <f t="shared" si="14"/>
        <v>0</v>
      </c>
      <c r="J38" s="402">
        <f t="shared" si="14"/>
        <v>0</v>
      </c>
      <c r="K38" s="402">
        <f t="shared" si="14"/>
        <v>0</v>
      </c>
      <c r="L38" s="402">
        <f t="shared" si="14"/>
        <v>0</v>
      </c>
      <c r="M38" s="403">
        <f t="shared" si="14"/>
        <v>0</v>
      </c>
      <c r="N38" s="326"/>
      <c r="O38" s="367"/>
      <c r="P38" s="368"/>
      <c r="Q38" s="369"/>
      <c r="R38" s="326"/>
      <c r="S38" s="367"/>
      <c r="T38" s="370"/>
    </row>
    <row r="39" spans="2:20">
      <c r="B39" s="404" t="s">
        <v>250</v>
      </c>
      <c r="C39" s="397" t="s">
        <v>203</v>
      </c>
      <c r="D39" s="347">
        <f>D235-D258</f>
        <v>0</v>
      </c>
      <c r="E39" s="405">
        <f>E235-E258</f>
        <v>0</v>
      </c>
      <c r="F39" s="405">
        <f>F235-F258</f>
        <v>0</v>
      </c>
      <c r="G39" s="405">
        <f>G235-G258</f>
        <v>0</v>
      </c>
      <c r="H39" s="349">
        <f>H235-H258</f>
        <v>0</v>
      </c>
      <c r="I39" s="405">
        <f>SUM(I37:I38)</f>
        <v>0</v>
      </c>
      <c r="J39" s="348">
        <f>SUM(J37:J38)</f>
        <v>0</v>
      </c>
      <c r="K39" s="348">
        <f>SUM(K37:K38)</f>
        <v>0</v>
      </c>
      <c r="L39" s="348">
        <f>SUM(L37:L38)</f>
        <v>0</v>
      </c>
      <c r="M39" s="349">
        <f>SUM(M37:M38)</f>
        <v>0</v>
      </c>
      <c r="N39" s="326"/>
      <c r="O39" s="347">
        <f>SUM(D39:G39)</f>
        <v>0</v>
      </c>
      <c r="P39" s="348">
        <f>SUM(H39)</f>
        <v>0</v>
      </c>
      <c r="Q39" s="349">
        <f>SUM(D39:H39)</f>
        <v>0</v>
      </c>
      <c r="R39" s="326"/>
      <c r="S39" s="347">
        <f>SUM(I39:M39)</f>
        <v>0</v>
      </c>
      <c r="T39" s="156" t="str">
        <f>IF(Q39&lt;&gt;0,(S39-Q39)/Q39,"0")</f>
        <v>0</v>
      </c>
    </row>
    <row r="40" spans="2:20">
      <c r="B40" s="388" t="s">
        <v>262</v>
      </c>
      <c r="C40" s="406"/>
      <c r="D40" s="407"/>
      <c r="E40" s="408"/>
      <c r="F40" s="408"/>
      <c r="G40" s="408"/>
      <c r="H40" s="409"/>
      <c r="I40" s="408"/>
      <c r="J40" s="408"/>
      <c r="K40" s="408"/>
      <c r="L40" s="408"/>
      <c r="M40" s="409"/>
      <c r="N40" s="326"/>
      <c r="O40" s="407"/>
      <c r="P40" s="408"/>
      <c r="Q40" s="409"/>
      <c r="R40" s="326"/>
      <c r="S40" s="407"/>
      <c r="T40" s="409"/>
    </row>
    <row r="41" spans="2:20">
      <c r="B41" s="396" t="s">
        <v>289</v>
      </c>
      <c r="C41" s="397" t="s">
        <v>203</v>
      </c>
      <c r="D41" s="398"/>
      <c r="E41" s="399"/>
      <c r="F41" s="399"/>
      <c r="G41" s="399"/>
      <c r="H41" s="400"/>
      <c r="I41" s="401">
        <f t="shared" ref="I41:M42" si="15">I237-I260</f>
        <v>0</v>
      </c>
      <c r="J41" s="402">
        <f t="shared" si="15"/>
        <v>0</v>
      </c>
      <c r="K41" s="402">
        <f t="shared" si="15"/>
        <v>0</v>
      </c>
      <c r="L41" s="402">
        <f t="shared" si="15"/>
        <v>0</v>
      </c>
      <c r="M41" s="403">
        <f t="shared" si="15"/>
        <v>0</v>
      </c>
      <c r="N41" s="326"/>
      <c r="O41" s="367"/>
      <c r="P41" s="368"/>
      <c r="Q41" s="369"/>
      <c r="R41" s="326"/>
      <c r="S41" s="367"/>
      <c r="T41" s="370"/>
    </row>
    <row r="42" spans="2:20">
      <c r="B42" s="396" t="s">
        <v>290</v>
      </c>
      <c r="C42" s="397" t="s">
        <v>203</v>
      </c>
      <c r="D42" s="398"/>
      <c r="E42" s="399"/>
      <c r="F42" s="399"/>
      <c r="G42" s="399"/>
      <c r="H42" s="400"/>
      <c r="I42" s="401">
        <f t="shared" si="15"/>
        <v>0</v>
      </c>
      <c r="J42" s="402">
        <f t="shared" si="15"/>
        <v>0</v>
      </c>
      <c r="K42" s="402">
        <f t="shared" si="15"/>
        <v>0</v>
      </c>
      <c r="L42" s="402">
        <f t="shared" si="15"/>
        <v>0</v>
      </c>
      <c r="M42" s="403">
        <f t="shared" si="15"/>
        <v>0</v>
      </c>
      <c r="N42" s="326"/>
      <c r="O42" s="367"/>
      <c r="P42" s="368"/>
      <c r="Q42" s="369"/>
      <c r="R42" s="326"/>
      <c r="S42" s="367"/>
      <c r="T42" s="370"/>
    </row>
    <row r="43" spans="2:20" ht="13.5" thickBot="1">
      <c r="B43" s="411" t="s">
        <v>252</v>
      </c>
      <c r="C43" s="412" t="s">
        <v>203</v>
      </c>
      <c r="D43" s="382">
        <f>D239-D262</f>
        <v>0</v>
      </c>
      <c r="E43" s="413">
        <f>E239-E262</f>
        <v>0</v>
      </c>
      <c r="F43" s="413">
        <f>F239-F262</f>
        <v>0</v>
      </c>
      <c r="G43" s="413">
        <f>G239-G262</f>
        <v>0</v>
      </c>
      <c r="H43" s="384">
        <f>H239-H262</f>
        <v>0</v>
      </c>
      <c r="I43" s="413">
        <f>SUM(I41:I42)</f>
        <v>0</v>
      </c>
      <c r="J43" s="383">
        <f>SUM(J41:J42)</f>
        <v>0</v>
      </c>
      <c r="K43" s="383">
        <f>SUM(K41:K42)</f>
        <v>0</v>
      </c>
      <c r="L43" s="383">
        <f>SUM(L41:L42)</f>
        <v>0</v>
      </c>
      <c r="M43" s="384">
        <f>SUM(M41:M42)</f>
        <v>0</v>
      </c>
      <c r="N43" s="326"/>
      <c r="O43" s="347">
        <f>SUM(D43:G43)</f>
        <v>0</v>
      </c>
      <c r="P43" s="348">
        <f>SUM(H43)</f>
        <v>0</v>
      </c>
      <c r="Q43" s="349">
        <f>SUM(D43:H43)</f>
        <v>0</v>
      </c>
      <c r="R43" s="326"/>
      <c r="S43" s="347">
        <f>SUM(I43:M43)</f>
        <v>0</v>
      </c>
      <c r="T43" s="156" t="str">
        <f>IF(Q43&lt;&gt;0,(S43-Q43)/Q43,"0")</f>
        <v>0</v>
      </c>
    </row>
    <row r="44" spans="2:20"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6"/>
      <c r="S44" s="323"/>
      <c r="T44" s="323"/>
    </row>
    <row r="45" spans="2:20">
      <c r="N45" s="326"/>
      <c r="O45" s="326"/>
      <c r="P45" s="326"/>
      <c r="Q45" s="326"/>
      <c r="R45" s="326"/>
      <c r="S45" s="326"/>
      <c r="T45" s="326"/>
    </row>
    <row r="46" spans="2:20">
      <c r="B46" s="327" t="s">
        <v>291</v>
      </c>
      <c r="N46" s="326"/>
      <c r="O46" s="326"/>
      <c r="P46" s="326"/>
      <c r="Q46" s="326"/>
      <c r="R46" s="326"/>
      <c r="S46" s="326"/>
      <c r="T46" s="326"/>
    </row>
    <row r="47" spans="2:20" ht="13.5" thickBot="1">
      <c r="B47" s="327"/>
      <c r="N47" s="326"/>
      <c r="O47" s="326"/>
      <c r="P47" s="326"/>
      <c r="Q47" s="326"/>
      <c r="R47" s="326"/>
      <c r="S47" s="326"/>
      <c r="T47" s="326"/>
    </row>
    <row r="48" spans="2:20">
      <c r="B48" s="1511"/>
      <c r="C48" s="1513" t="s">
        <v>190</v>
      </c>
      <c r="D48" s="328" t="s">
        <v>191</v>
      </c>
      <c r="E48" s="329"/>
      <c r="F48" s="329"/>
      <c r="G48" s="329"/>
      <c r="H48" s="330"/>
      <c r="I48" s="328" t="s">
        <v>192</v>
      </c>
      <c r="J48" s="331"/>
      <c r="K48" s="331"/>
      <c r="L48" s="331"/>
      <c r="M48" s="330"/>
      <c r="N48" s="326"/>
      <c r="O48" s="326"/>
      <c r="P48" s="326"/>
      <c r="Q48" s="326"/>
      <c r="R48" s="326"/>
      <c r="S48" s="326"/>
      <c r="T48" s="326"/>
    </row>
    <row r="49" spans="2:20">
      <c r="B49" s="1512"/>
      <c r="C49" s="1514"/>
      <c r="D49" s="335" t="s">
        <v>79</v>
      </c>
      <c r="E49" s="336" t="s">
        <v>80</v>
      </c>
      <c r="F49" s="336" t="s">
        <v>81</v>
      </c>
      <c r="G49" s="336" t="s">
        <v>82</v>
      </c>
      <c r="H49" s="337" t="s">
        <v>44</v>
      </c>
      <c r="I49" s="335" t="s">
        <v>193</v>
      </c>
      <c r="J49" s="336" t="s">
        <v>194</v>
      </c>
      <c r="K49" s="336" t="s">
        <v>195</v>
      </c>
      <c r="L49" s="336" t="s">
        <v>196</v>
      </c>
      <c r="M49" s="337" t="s">
        <v>197</v>
      </c>
      <c r="N49" s="326"/>
      <c r="O49" s="326"/>
      <c r="P49" s="326"/>
      <c r="Q49" s="326"/>
      <c r="R49" s="326"/>
      <c r="S49" s="326"/>
      <c r="T49" s="326"/>
    </row>
    <row r="50" spans="2:20">
      <c r="B50" s="414" t="s">
        <v>292</v>
      </c>
      <c r="C50" s="415"/>
      <c r="D50" s="416"/>
      <c r="E50" s="417"/>
      <c r="F50" s="417"/>
      <c r="G50" s="417"/>
      <c r="H50" s="418"/>
      <c r="I50" s="419"/>
      <c r="J50" s="420"/>
      <c r="K50" s="420"/>
      <c r="L50" s="420"/>
      <c r="M50" s="421"/>
      <c r="N50" s="422"/>
      <c r="O50" s="326"/>
      <c r="P50" s="326"/>
      <c r="Q50" s="326"/>
      <c r="R50" s="326"/>
      <c r="S50" s="326"/>
      <c r="T50" s="326"/>
    </row>
    <row r="51" spans="2:20">
      <c r="B51" s="423" t="s">
        <v>293</v>
      </c>
      <c r="C51" s="397"/>
      <c r="D51" s="424"/>
      <c r="E51" s="425"/>
      <c r="F51" s="425"/>
      <c r="G51" s="425"/>
      <c r="H51" s="426"/>
      <c r="I51" s="427"/>
      <c r="J51" s="428"/>
      <c r="K51" s="428"/>
      <c r="L51" s="428"/>
      <c r="M51" s="429"/>
      <c r="N51" s="422"/>
      <c r="O51" s="326"/>
      <c r="P51" s="326"/>
      <c r="Q51" s="326"/>
      <c r="R51" s="326"/>
      <c r="S51" s="326"/>
      <c r="T51" s="326"/>
    </row>
    <row r="52" spans="2:20">
      <c r="B52" s="430" t="s">
        <v>232</v>
      </c>
      <c r="C52" s="397" t="s">
        <v>233</v>
      </c>
      <c r="D52" s="431">
        <f t="shared" ref="D52:M56" si="16">D83+D114</f>
        <v>0</v>
      </c>
      <c r="E52" s="432">
        <f t="shared" si="16"/>
        <v>0</v>
      </c>
      <c r="F52" s="432">
        <f t="shared" si="16"/>
        <v>0</v>
      </c>
      <c r="G52" s="432">
        <f t="shared" si="16"/>
        <v>0</v>
      </c>
      <c r="H52" s="433">
        <f t="shared" si="16"/>
        <v>0</v>
      </c>
      <c r="I52" s="431">
        <f t="shared" si="16"/>
        <v>0</v>
      </c>
      <c r="J52" s="434">
        <f t="shared" si="16"/>
        <v>0</v>
      </c>
      <c r="K52" s="434">
        <f t="shared" si="16"/>
        <v>0</v>
      </c>
      <c r="L52" s="434">
        <f t="shared" si="16"/>
        <v>0</v>
      </c>
      <c r="M52" s="433">
        <f t="shared" si="16"/>
        <v>0</v>
      </c>
      <c r="N52" s="326"/>
      <c r="O52" s="326"/>
      <c r="P52" s="326"/>
      <c r="Q52" s="326"/>
      <c r="R52" s="326"/>
      <c r="S52" s="326"/>
      <c r="T52" s="326"/>
    </row>
    <row r="53" spans="2:20">
      <c r="B53" s="435" t="s">
        <v>294</v>
      </c>
      <c r="C53" s="397"/>
      <c r="D53" s="431">
        <f t="shared" si="16"/>
        <v>0</v>
      </c>
      <c r="E53" s="432">
        <f t="shared" si="16"/>
        <v>0</v>
      </c>
      <c r="F53" s="432">
        <f t="shared" si="16"/>
        <v>0</v>
      </c>
      <c r="G53" s="432">
        <f t="shared" si="16"/>
        <v>0</v>
      </c>
      <c r="H53" s="433">
        <f t="shared" si="16"/>
        <v>0</v>
      </c>
      <c r="I53" s="431">
        <f t="shared" si="16"/>
        <v>0</v>
      </c>
      <c r="J53" s="434">
        <f t="shared" si="16"/>
        <v>0</v>
      </c>
      <c r="K53" s="434">
        <f t="shared" si="16"/>
        <v>0</v>
      </c>
      <c r="L53" s="434">
        <f t="shared" si="16"/>
        <v>0</v>
      </c>
      <c r="M53" s="433">
        <f t="shared" si="16"/>
        <v>0</v>
      </c>
      <c r="N53" s="326"/>
      <c r="O53" s="326"/>
      <c r="P53" s="326"/>
      <c r="Q53" s="326"/>
      <c r="R53" s="326"/>
      <c r="S53" s="326"/>
      <c r="T53" s="326"/>
    </row>
    <row r="54" spans="2:20">
      <c r="B54" s="396" t="s">
        <v>295</v>
      </c>
      <c r="C54" s="397"/>
      <c r="D54" s="436"/>
      <c r="E54" s="437"/>
      <c r="F54" s="437"/>
      <c r="G54" s="437"/>
      <c r="H54" s="438"/>
      <c r="I54" s="431">
        <f t="shared" si="16"/>
        <v>0</v>
      </c>
      <c r="J54" s="434">
        <f t="shared" si="16"/>
        <v>0</v>
      </c>
      <c r="K54" s="434">
        <f t="shared" si="16"/>
        <v>0</v>
      </c>
      <c r="L54" s="434">
        <f t="shared" si="16"/>
        <v>0</v>
      </c>
      <c r="M54" s="433">
        <f t="shared" si="16"/>
        <v>0</v>
      </c>
      <c r="N54" s="326"/>
      <c r="O54" s="326"/>
      <c r="P54" s="326"/>
      <c r="Q54" s="326"/>
      <c r="R54" s="326"/>
      <c r="S54" s="326"/>
      <c r="T54" s="326"/>
    </row>
    <row r="55" spans="2:20">
      <c r="B55" s="396" t="s">
        <v>296</v>
      </c>
      <c r="C55" s="397" t="s">
        <v>233</v>
      </c>
      <c r="D55" s="436"/>
      <c r="E55" s="437"/>
      <c r="F55" s="437"/>
      <c r="G55" s="437"/>
      <c r="H55" s="438"/>
      <c r="I55" s="431">
        <f t="shared" si="16"/>
        <v>0</v>
      </c>
      <c r="J55" s="434">
        <f t="shared" si="16"/>
        <v>0</v>
      </c>
      <c r="K55" s="434">
        <f t="shared" si="16"/>
        <v>0</v>
      </c>
      <c r="L55" s="434">
        <f t="shared" si="16"/>
        <v>0</v>
      </c>
      <c r="M55" s="433">
        <f t="shared" si="16"/>
        <v>0</v>
      </c>
      <c r="N55" s="326"/>
      <c r="O55" s="326"/>
      <c r="P55" s="326"/>
      <c r="Q55" s="326"/>
      <c r="R55" s="326"/>
      <c r="S55" s="326"/>
      <c r="T55" s="326"/>
    </row>
    <row r="56" spans="2:20">
      <c r="B56" s="396" t="s">
        <v>297</v>
      </c>
      <c r="C56" s="397"/>
      <c r="D56" s="431">
        <f>D87+D118</f>
        <v>0</v>
      </c>
      <c r="E56" s="434">
        <f>E87+E118</f>
        <v>0</v>
      </c>
      <c r="F56" s="434">
        <f>F87+F118</f>
        <v>0</v>
      </c>
      <c r="G56" s="434">
        <f>G87+G118</f>
        <v>0</v>
      </c>
      <c r="H56" s="433">
        <f>H87+H118</f>
        <v>0</v>
      </c>
      <c r="I56" s="431">
        <f t="shared" si="16"/>
        <v>0</v>
      </c>
      <c r="J56" s="434">
        <f t="shared" si="16"/>
        <v>0</v>
      </c>
      <c r="K56" s="434">
        <f t="shared" si="16"/>
        <v>0</v>
      </c>
      <c r="L56" s="434">
        <f t="shared" si="16"/>
        <v>0</v>
      </c>
      <c r="M56" s="433">
        <f t="shared" si="16"/>
        <v>0</v>
      </c>
      <c r="N56" s="326"/>
      <c r="O56" s="326"/>
      <c r="P56" s="326"/>
      <c r="Q56" s="326"/>
      <c r="R56" s="326"/>
      <c r="S56" s="326"/>
      <c r="T56" s="326"/>
    </row>
    <row r="57" spans="2:20">
      <c r="B57" s="439" t="s">
        <v>298</v>
      </c>
      <c r="C57" s="397"/>
      <c r="D57" s="440"/>
      <c r="E57" s="441"/>
      <c r="F57" s="441"/>
      <c r="G57" s="441"/>
      <c r="H57" s="442"/>
      <c r="I57" s="443"/>
      <c r="J57" s="444"/>
      <c r="K57" s="444"/>
      <c r="L57" s="444"/>
      <c r="M57" s="445"/>
      <c r="N57" s="422"/>
      <c r="O57" s="326"/>
      <c r="P57" s="326"/>
      <c r="Q57" s="326"/>
      <c r="R57" s="326"/>
      <c r="S57" s="326"/>
      <c r="T57" s="326"/>
    </row>
    <row r="58" spans="2:20">
      <c r="B58" s="446" t="s">
        <v>232</v>
      </c>
      <c r="C58" s="397" t="s">
        <v>233</v>
      </c>
      <c r="D58" s="431">
        <f t="shared" ref="D58:M62" si="17">D89+D120</f>
        <v>0</v>
      </c>
      <c r="E58" s="432">
        <f t="shared" si="17"/>
        <v>0</v>
      </c>
      <c r="F58" s="432">
        <f t="shared" si="17"/>
        <v>0</v>
      </c>
      <c r="G58" s="432">
        <f t="shared" si="17"/>
        <v>0</v>
      </c>
      <c r="H58" s="433">
        <f t="shared" si="17"/>
        <v>0</v>
      </c>
      <c r="I58" s="431">
        <f t="shared" si="17"/>
        <v>0</v>
      </c>
      <c r="J58" s="434">
        <f t="shared" si="17"/>
        <v>0</v>
      </c>
      <c r="K58" s="434">
        <f t="shared" si="17"/>
        <v>0</v>
      </c>
      <c r="L58" s="434">
        <f t="shared" si="17"/>
        <v>0</v>
      </c>
      <c r="M58" s="433">
        <f t="shared" si="17"/>
        <v>0</v>
      </c>
      <c r="N58" s="326"/>
      <c r="O58" s="326"/>
      <c r="P58" s="326"/>
      <c r="Q58" s="326"/>
      <c r="R58" s="326"/>
      <c r="S58" s="326"/>
      <c r="T58" s="326"/>
    </row>
    <row r="59" spans="2:20">
      <c r="B59" s="447" t="s">
        <v>294</v>
      </c>
      <c r="C59" s="397"/>
      <c r="D59" s="431">
        <f t="shared" si="17"/>
        <v>0</v>
      </c>
      <c r="E59" s="432">
        <f t="shared" si="17"/>
        <v>0</v>
      </c>
      <c r="F59" s="432">
        <f t="shared" si="17"/>
        <v>0</v>
      </c>
      <c r="G59" s="432">
        <f t="shared" si="17"/>
        <v>0</v>
      </c>
      <c r="H59" s="433">
        <f t="shared" si="17"/>
        <v>0</v>
      </c>
      <c r="I59" s="431">
        <f t="shared" si="17"/>
        <v>0</v>
      </c>
      <c r="J59" s="434">
        <f t="shared" si="17"/>
        <v>0</v>
      </c>
      <c r="K59" s="434">
        <f t="shared" si="17"/>
        <v>0</v>
      </c>
      <c r="L59" s="434">
        <f t="shared" si="17"/>
        <v>0</v>
      </c>
      <c r="M59" s="433">
        <f t="shared" si="17"/>
        <v>0</v>
      </c>
      <c r="N59" s="326"/>
      <c r="O59" s="326"/>
      <c r="P59" s="326"/>
      <c r="Q59" s="326"/>
      <c r="R59" s="326"/>
      <c r="S59" s="326"/>
      <c r="T59" s="326"/>
    </row>
    <row r="60" spans="2:20">
      <c r="B60" s="396" t="s">
        <v>285</v>
      </c>
      <c r="C60" s="397"/>
      <c r="D60" s="448"/>
      <c r="E60" s="449"/>
      <c r="F60" s="449"/>
      <c r="G60" s="449"/>
      <c r="H60" s="450"/>
      <c r="I60" s="431">
        <f t="shared" si="17"/>
        <v>0</v>
      </c>
      <c r="J60" s="434">
        <f t="shared" si="17"/>
        <v>0</v>
      </c>
      <c r="K60" s="434">
        <f t="shared" si="17"/>
        <v>0</v>
      </c>
      <c r="L60" s="434">
        <f t="shared" si="17"/>
        <v>0</v>
      </c>
      <c r="M60" s="433">
        <f t="shared" si="17"/>
        <v>0</v>
      </c>
      <c r="N60" s="326"/>
      <c r="O60" s="326"/>
      <c r="P60" s="326"/>
      <c r="Q60" s="326"/>
      <c r="R60" s="326"/>
      <c r="S60" s="326"/>
      <c r="T60" s="326"/>
    </row>
    <row r="61" spans="2:20">
      <c r="B61" s="396" t="s">
        <v>286</v>
      </c>
      <c r="C61" s="397" t="s">
        <v>233</v>
      </c>
      <c r="D61" s="448"/>
      <c r="E61" s="449"/>
      <c r="F61" s="449"/>
      <c r="G61" s="449"/>
      <c r="H61" s="450"/>
      <c r="I61" s="431">
        <f t="shared" si="17"/>
        <v>0</v>
      </c>
      <c r="J61" s="434">
        <f t="shared" si="17"/>
        <v>0</v>
      </c>
      <c r="K61" s="434">
        <f t="shared" si="17"/>
        <v>0</v>
      </c>
      <c r="L61" s="434">
        <f t="shared" si="17"/>
        <v>0</v>
      </c>
      <c r="M61" s="433">
        <f t="shared" si="17"/>
        <v>0</v>
      </c>
      <c r="N61" s="326"/>
      <c r="O61" s="326"/>
      <c r="P61" s="326"/>
      <c r="Q61" s="326"/>
      <c r="R61" s="326"/>
      <c r="S61" s="326"/>
      <c r="T61" s="326"/>
    </row>
    <row r="62" spans="2:20">
      <c r="B62" s="396" t="s">
        <v>299</v>
      </c>
      <c r="C62" s="397"/>
      <c r="D62" s="431">
        <f>D93+D124</f>
        <v>0</v>
      </c>
      <c r="E62" s="434">
        <f>E93+E124</f>
        <v>0</v>
      </c>
      <c r="F62" s="434">
        <f>F93+F124</f>
        <v>0</v>
      </c>
      <c r="G62" s="434">
        <f>G93+G124</f>
        <v>0</v>
      </c>
      <c r="H62" s="433">
        <f>H93+H124</f>
        <v>0</v>
      </c>
      <c r="I62" s="431">
        <f t="shared" si="17"/>
        <v>0</v>
      </c>
      <c r="J62" s="434">
        <f t="shared" si="17"/>
        <v>0</v>
      </c>
      <c r="K62" s="434">
        <f t="shared" si="17"/>
        <v>0</v>
      </c>
      <c r="L62" s="434">
        <f t="shared" si="17"/>
        <v>0</v>
      </c>
      <c r="M62" s="433">
        <f t="shared" si="17"/>
        <v>0</v>
      </c>
      <c r="N62" s="326"/>
      <c r="O62" s="326"/>
      <c r="P62" s="326"/>
      <c r="Q62" s="326"/>
      <c r="R62" s="326"/>
      <c r="S62" s="326"/>
      <c r="T62" s="326"/>
    </row>
    <row r="63" spans="2:20">
      <c r="B63" s="439" t="s">
        <v>300</v>
      </c>
      <c r="C63" s="397"/>
      <c r="D63" s="440"/>
      <c r="E63" s="441"/>
      <c r="F63" s="441"/>
      <c r="G63" s="441"/>
      <c r="H63" s="442"/>
      <c r="I63" s="451"/>
      <c r="J63" s="452"/>
      <c r="K63" s="452"/>
      <c r="L63" s="452"/>
      <c r="M63" s="453"/>
      <c r="N63" s="422"/>
      <c r="O63" s="326"/>
      <c r="P63" s="326"/>
      <c r="Q63" s="326"/>
      <c r="R63" s="326"/>
      <c r="S63" s="326"/>
      <c r="T63" s="326"/>
    </row>
    <row r="64" spans="2:20">
      <c r="B64" s="446" t="s">
        <v>232</v>
      </c>
      <c r="C64" s="397" t="s">
        <v>233</v>
      </c>
      <c r="D64" s="431">
        <f t="shared" ref="D64:M68" si="18">D95+D126</f>
        <v>0</v>
      </c>
      <c r="E64" s="432">
        <f t="shared" si="18"/>
        <v>0</v>
      </c>
      <c r="F64" s="432">
        <f t="shared" si="18"/>
        <v>0</v>
      </c>
      <c r="G64" s="432">
        <f t="shared" si="18"/>
        <v>0</v>
      </c>
      <c r="H64" s="433">
        <f t="shared" si="18"/>
        <v>0</v>
      </c>
      <c r="I64" s="431">
        <f t="shared" si="18"/>
        <v>0</v>
      </c>
      <c r="J64" s="434">
        <f t="shared" si="18"/>
        <v>0</v>
      </c>
      <c r="K64" s="434">
        <f t="shared" si="18"/>
        <v>0</v>
      </c>
      <c r="L64" s="434">
        <f t="shared" si="18"/>
        <v>0</v>
      </c>
      <c r="M64" s="433">
        <f t="shared" si="18"/>
        <v>0</v>
      </c>
      <c r="N64" s="326"/>
      <c r="O64" s="326"/>
      <c r="P64" s="326"/>
      <c r="Q64" s="326"/>
      <c r="R64" s="326"/>
      <c r="S64" s="326"/>
      <c r="T64" s="326"/>
    </row>
    <row r="65" spans="1:20">
      <c r="B65" s="447" t="s">
        <v>294</v>
      </c>
      <c r="C65" s="397"/>
      <c r="D65" s="431">
        <f t="shared" si="18"/>
        <v>0</v>
      </c>
      <c r="E65" s="432">
        <f t="shared" si="18"/>
        <v>0</v>
      </c>
      <c r="F65" s="432">
        <f t="shared" si="18"/>
        <v>0</v>
      </c>
      <c r="G65" s="432">
        <f t="shared" si="18"/>
        <v>0</v>
      </c>
      <c r="H65" s="433">
        <f t="shared" si="18"/>
        <v>0</v>
      </c>
      <c r="I65" s="431">
        <f t="shared" si="18"/>
        <v>0</v>
      </c>
      <c r="J65" s="434">
        <f t="shared" si="18"/>
        <v>0</v>
      </c>
      <c r="K65" s="434">
        <f t="shared" si="18"/>
        <v>0</v>
      </c>
      <c r="L65" s="434">
        <f t="shared" si="18"/>
        <v>0</v>
      </c>
      <c r="M65" s="433">
        <f t="shared" si="18"/>
        <v>0</v>
      </c>
      <c r="N65" s="326"/>
      <c r="O65" s="326"/>
      <c r="P65" s="326"/>
      <c r="Q65" s="326"/>
      <c r="R65" s="326"/>
      <c r="S65" s="326"/>
      <c r="T65" s="326"/>
    </row>
    <row r="66" spans="1:20">
      <c r="B66" s="396" t="s">
        <v>287</v>
      </c>
      <c r="C66" s="397"/>
      <c r="D66" s="448"/>
      <c r="E66" s="449"/>
      <c r="F66" s="449"/>
      <c r="G66" s="449"/>
      <c r="H66" s="450"/>
      <c r="I66" s="431">
        <f t="shared" si="18"/>
        <v>0</v>
      </c>
      <c r="J66" s="434">
        <f t="shared" si="18"/>
        <v>0</v>
      </c>
      <c r="K66" s="434">
        <f t="shared" si="18"/>
        <v>0</v>
      </c>
      <c r="L66" s="434">
        <f t="shared" si="18"/>
        <v>0</v>
      </c>
      <c r="M66" s="433">
        <f t="shared" si="18"/>
        <v>0</v>
      </c>
      <c r="N66" s="326"/>
      <c r="O66" s="326"/>
      <c r="P66" s="326"/>
      <c r="Q66" s="326"/>
      <c r="R66" s="326"/>
      <c r="S66" s="326"/>
      <c r="T66" s="326"/>
    </row>
    <row r="67" spans="1:20">
      <c r="B67" s="396" t="s">
        <v>288</v>
      </c>
      <c r="C67" s="397" t="s">
        <v>233</v>
      </c>
      <c r="D67" s="448"/>
      <c r="E67" s="449"/>
      <c r="F67" s="449"/>
      <c r="G67" s="449"/>
      <c r="H67" s="450"/>
      <c r="I67" s="431">
        <f t="shared" si="18"/>
        <v>0</v>
      </c>
      <c r="J67" s="434">
        <f t="shared" si="18"/>
        <v>0</v>
      </c>
      <c r="K67" s="434">
        <f t="shared" si="18"/>
        <v>0</v>
      </c>
      <c r="L67" s="434">
        <f t="shared" si="18"/>
        <v>0</v>
      </c>
      <c r="M67" s="433">
        <f t="shared" si="18"/>
        <v>0</v>
      </c>
      <c r="N67" s="326"/>
      <c r="O67" s="326"/>
      <c r="P67" s="326"/>
      <c r="Q67" s="326"/>
      <c r="R67" s="326"/>
      <c r="S67" s="326"/>
      <c r="T67" s="326"/>
    </row>
    <row r="68" spans="1:20">
      <c r="B68" s="396" t="s">
        <v>301</v>
      </c>
      <c r="C68" s="397"/>
      <c r="D68" s="431">
        <f>D99+D130</f>
        <v>0</v>
      </c>
      <c r="E68" s="434">
        <f>E99+E130</f>
        <v>0</v>
      </c>
      <c r="F68" s="434">
        <f>F99+F130</f>
        <v>0</v>
      </c>
      <c r="G68" s="434">
        <f>G99+G130</f>
        <v>0</v>
      </c>
      <c r="H68" s="433">
        <f>H99+H130</f>
        <v>0</v>
      </c>
      <c r="I68" s="431">
        <f t="shared" si="18"/>
        <v>0</v>
      </c>
      <c r="J68" s="434">
        <f t="shared" si="18"/>
        <v>0</v>
      </c>
      <c r="K68" s="434">
        <f t="shared" si="18"/>
        <v>0</v>
      </c>
      <c r="L68" s="434">
        <f t="shared" si="18"/>
        <v>0</v>
      </c>
      <c r="M68" s="433">
        <f t="shared" si="18"/>
        <v>0</v>
      </c>
      <c r="N68" s="326"/>
      <c r="O68" s="326"/>
      <c r="P68" s="326"/>
      <c r="Q68" s="326"/>
      <c r="R68" s="326"/>
      <c r="S68" s="326"/>
      <c r="T68" s="326"/>
    </row>
    <row r="69" spans="1:20">
      <c r="B69" s="439" t="s">
        <v>302</v>
      </c>
      <c r="C69" s="397"/>
      <c r="D69" s="440"/>
      <c r="E69" s="441"/>
      <c r="F69" s="441"/>
      <c r="G69" s="441"/>
      <c r="H69" s="442"/>
      <c r="I69" s="451"/>
      <c r="J69" s="452"/>
      <c r="K69" s="452"/>
      <c r="L69" s="452"/>
      <c r="M69" s="453"/>
      <c r="N69" s="422"/>
      <c r="O69" s="326"/>
      <c r="P69" s="326"/>
      <c r="Q69" s="326"/>
      <c r="R69" s="326"/>
      <c r="S69" s="326"/>
      <c r="T69" s="326"/>
    </row>
    <row r="70" spans="1:20">
      <c r="B70" s="446" t="s">
        <v>232</v>
      </c>
      <c r="C70" s="397" t="s">
        <v>233</v>
      </c>
      <c r="D70" s="454">
        <f t="shared" ref="D70:M74" si="19">D101+D132</f>
        <v>0</v>
      </c>
      <c r="E70" s="455">
        <f t="shared" si="19"/>
        <v>0</v>
      </c>
      <c r="F70" s="455">
        <f t="shared" si="19"/>
        <v>0</v>
      </c>
      <c r="G70" s="455">
        <f t="shared" si="19"/>
        <v>0</v>
      </c>
      <c r="H70" s="456">
        <f t="shared" si="19"/>
        <v>0</v>
      </c>
      <c r="I70" s="454">
        <f t="shared" si="19"/>
        <v>0</v>
      </c>
      <c r="J70" s="457">
        <f t="shared" si="19"/>
        <v>0</v>
      </c>
      <c r="K70" s="457">
        <f t="shared" si="19"/>
        <v>0</v>
      </c>
      <c r="L70" s="457">
        <f t="shared" si="19"/>
        <v>0</v>
      </c>
      <c r="M70" s="456">
        <f t="shared" si="19"/>
        <v>0</v>
      </c>
      <c r="N70" s="326"/>
      <c r="O70" s="326"/>
      <c r="P70" s="326"/>
      <c r="Q70" s="326"/>
      <c r="R70" s="326"/>
      <c r="S70" s="326"/>
      <c r="T70" s="326"/>
    </row>
    <row r="71" spans="1:20">
      <c r="B71" s="447" t="s">
        <v>294</v>
      </c>
      <c r="C71" s="397"/>
      <c r="D71" s="454">
        <f t="shared" si="19"/>
        <v>0</v>
      </c>
      <c r="E71" s="455">
        <f t="shared" si="19"/>
        <v>0</v>
      </c>
      <c r="F71" s="455">
        <f t="shared" si="19"/>
        <v>0</v>
      </c>
      <c r="G71" s="455">
        <f t="shared" si="19"/>
        <v>0</v>
      </c>
      <c r="H71" s="456">
        <f t="shared" si="19"/>
        <v>0</v>
      </c>
      <c r="I71" s="454">
        <f t="shared" si="19"/>
        <v>0</v>
      </c>
      <c r="J71" s="457">
        <f t="shared" si="19"/>
        <v>0</v>
      </c>
      <c r="K71" s="457">
        <f t="shared" si="19"/>
        <v>0</v>
      </c>
      <c r="L71" s="457">
        <f t="shared" si="19"/>
        <v>0</v>
      </c>
      <c r="M71" s="456">
        <f t="shared" si="19"/>
        <v>0</v>
      </c>
      <c r="N71" s="326"/>
      <c r="O71" s="326"/>
      <c r="P71" s="326"/>
      <c r="Q71" s="326"/>
      <c r="R71" s="326"/>
      <c r="S71" s="326"/>
      <c r="T71" s="326"/>
    </row>
    <row r="72" spans="1:20">
      <c r="B72" s="396" t="s">
        <v>289</v>
      </c>
      <c r="C72" s="397"/>
      <c r="D72" s="458"/>
      <c r="E72" s="459"/>
      <c r="F72" s="459"/>
      <c r="G72" s="459"/>
      <c r="H72" s="460"/>
      <c r="I72" s="454">
        <f t="shared" si="19"/>
        <v>0</v>
      </c>
      <c r="J72" s="457">
        <f t="shared" si="19"/>
        <v>0</v>
      </c>
      <c r="K72" s="457">
        <f t="shared" si="19"/>
        <v>0</v>
      </c>
      <c r="L72" s="457">
        <f t="shared" si="19"/>
        <v>0</v>
      </c>
      <c r="M72" s="456">
        <f t="shared" si="19"/>
        <v>0</v>
      </c>
      <c r="N72" s="326"/>
      <c r="O72" s="326"/>
      <c r="P72" s="326"/>
      <c r="Q72" s="326"/>
      <c r="R72" s="326"/>
      <c r="S72" s="326"/>
      <c r="T72" s="326"/>
    </row>
    <row r="73" spans="1:20">
      <c r="B73" s="396" t="s">
        <v>290</v>
      </c>
      <c r="C73" s="397" t="s">
        <v>233</v>
      </c>
      <c r="D73" s="458"/>
      <c r="E73" s="459"/>
      <c r="F73" s="459"/>
      <c r="G73" s="459"/>
      <c r="H73" s="460"/>
      <c r="I73" s="454">
        <f t="shared" si="19"/>
        <v>0</v>
      </c>
      <c r="J73" s="457">
        <f t="shared" si="19"/>
        <v>0</v>
      </c>
      <c r="K73" s="457">
        <f t="shared" si="19"/>
        <v>0</v>
      </c>
      <c r="L73" s="457">
        <f t="shared" si="19"/>
        <v>0</v>
      </c>
      <c r="M73" s="456">
        <f t="shared" si="19"/>
        <v>0</v>
      </c>
      <c r="N73" s="326"/>
      <c r="O73" s="326"/>
      <c r="P73" s="326"/>
      <c r="Q73" s="326"/>
      <c r="R73" s="326"/>
      <c r="S73" s="326"/>
      <c r="T73" s="326"/>
    </row>
    <row r="74" spans="1:20">
      <c r="B74" s="396" t="s">
        <v>303</v>
      </c>
      <c r="C74" s="397"/>
      <c r="D74" s="454">
        <f>D105+D136</f>
        <v>0</v>
      </c>
      <c r="E74" s="455">
        <f>E105+E136</f>
        <v>0</v>
      </c>
      <c r="F74" s="455">
        <f>F105+F136</f>
        <v>0</v>
      </c>
      <c r="G74" s="455">
        <f>G105+G136</f>
        <v>0</v>
      </c>
      <c r="H74" s="456">
        <f>H105+H136</f>
        <v>0</v>
      </c>
      <c r="I74" s="454">
        <f t="shared" si="19"/>
        <v>0</v>
      </c>
      <c r="J74" s="457">
        <f t="shared" si="19"/>
        <v>0</v>
      </c>
      <c r="K74" s="457">
        <f t="shared" si="19"/>
        <v>0</v>
      </c>
      <c r="L74" s="457">
        <f t="shared" si="19"/>
        <v>0</v>
      </c>
      <c r="M74" s="456">
        <f t="shared" si="19"/>
        <v>0</v>
      </c>
      <c r="N74" s="326"/>
      <c r="O74" s="326"/>
      <c r="P74" s="326"/>
      <c r="Q74" s="326"/>
      <c r="R74" s="326"/>
      <c r="S74" s="326"/>
      <c r="T74" s="326"/>
    </row>
    <row r="75" spans="1:20" ht="13.5" thickBot="1">
      <c r="B75" s="461" t="s">
        <v>239</v>
      </c>
      <c r="C75" s="412" t="s">
        <v>233</v>
      </c>
      <c r="D75" s="462">
        <f t="shared" ref="D75:M75" si="20">SUM(D52:D55,D58:D61,D64:D67,D70:D73)</f>
        <v>0</v>
      </c>
      <c r="E75" s="463">
        <f t="shared" si="20"/>
        <v>0</v>
      </c>
      <c r="F75" s="463">
        <f t="shared" si="20"/>
        <v>0</v>
      </c>
      <c r="G75" s="463">
        <f t="shared" si="20"/>
        <v>0</v>
      </c>
      <c r="H75" s="464">
        <f t="shared" si="20"/>
        <v>0</v>
      </c>
      <c r="I75" s="462">
        <f t="shared" si="20"/>
        <v>0</v>
      </c>
      <c r="J75" s="463">
        <f t="shared" si="20"/>
        <v>0</v>
      </c>
      <c r="K75" s="463">
        <f t="shared" si="20"/>
        <v>0</v>
      </c>
      <c r="L75" s="463">
        <f t="shared" si="20"/>
        <v>0</v>
      </c>
      <c r="M75" s="464">
        <f t="shared" si="20"/>
        <v>0</v>
      </c>
      <c r="N75" s="465"/>
      <c r="O75" s="326"/>
      <c r="P75" s="326"/>
      <c r="Q75" s="326"/>
      <c r="R75" s="326"/>
      <c r="S75" s="326"/>
      <c r="T75" s="326"/>
    </row>
    <row r="76" spans="1:20">
      <c r="B76" s="466"/>
      <c r="C76" s="467"/>
      <c r="D76" s="326"/>
      <c r="E76" s="326"/>
      <c r="F76" s="326"/>
      <c r="G76" s="326"/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</row>
    <row r="77" spans="1:20">
      <c r="B77" s="327" t="s">
        <v>304</v>
      </c>
      <c r="N77" s="326"/>
      <c r="O77" s="326"/>
      <c r="P77" s="326"/>
      <c r="Q77" s="326"/>
      <c r="R77" s="326"/>
      <c r="S77" s="326"/>
      <c r="T77" s="326"/>
    </row>
    <row r="78" spans="1:20" ht="13.5" thickBot="1">
      <c r="B78" s="327"/>
      <c r="N78" s="326"/>
      <c r="O78" s="326"/>
      <c r="P78" s="326"/>
      <c r="Q78" s="326"/>
      <c r="R78" s="326"/>
      <c r="S78" s="326"/>
      <c r="T78" s="326"/>
    </row>
    <row r="79" spans="1:20">
      <c r="A79" s="468"/>
      <c r="B79" s="1511"/>
      <c r="C79" s="1513" t="s">
        <v>190</v>
      </c>
      <c r="D79" s="328" t="s">
        <v>191</v>
      </c>
      <c r="E79" s="329"/>
      <c r="F79" s="329"/>
      <c r="G79" s="329"/>
      <c r="H79" s="330"/>
      <c r="I79" s="328" t="s">
        <v>192</v>
      </c>
      <c r="J79" s="331"/>
      <c r="K79" s="331"/>
      <c r="L79" s="330"/>
      <c r="M79" s="330"/>
      <c r="N79" s="326"/>
      <c r="O79" s="326"/>
      <c r="P79" s="326"/>
      <c r="Q79" s="326"/>
      <c r="R79" s="326"/>
      <c r="S79" s="326"/>
      <c r="T79" s="326"/>
    </row>
    <row r="80" spans="1:20">
      <c r="A80" s="468"/>
      <c r="B80" s="1512"/>
      <c r="C80" s="1514"/>
      <c r="D80" s="335" t="s">
        <v>79</v>
      </c>
      <c r="E80" s="336" t="s">
        <v>80</v>
      </c>
      <c r="F80" s="336" t="s">
        <v>81</v>
      </c>
      <c r="G80" s="336" t="s">
        <v>82</v>
      </c>
      <c r="H80" s="337" t="s">
        <v>44</v>
      </c>
      <c r="I80" s="335" t="s">
        <v>193</v>
      </c>
      <c r="J80" s="336" t="s">
        <v>194</v>
      </c>
      <c r="K80" s="336" t="s">
        <v>195</v>
      </c>
      <c r="L80" s="340" t="s">
        <v>196</v>
      </c>
      <c r="M80" s="469" t="s">
        <v>197</v>
      </c>
      <c r="N80" s="326"/>
      <c r="O80" s="326"/>
      <c r="P80" s="326"/>
      <c r="Q80" s="326"/>
      <c r="R80" s="326"/>
      <c r="S80" s="326"/>
      <c r="T80" s="326"/>
    </row>
    <row r="81" spans="1:20">
      <c r="A81" s="468"/>
      <c r="B81" s="414" t="s">
        <v>292</v>
      </c>
      <c r="C81" s="415"/>
      <c r="D81" s="416"/>
      <c r="E81" s="417"/>
      <c r="F81" s="417"/>
      <c r="G81" s="417"/>
      <c r="H81" s="418"/>
      <c r="I81" s="419"/>
      <c r="J81" s="420"/>
      <c r="K81" s="420"/>
      <c r="L81" s="470"/>
      <c r="M81" s="421"/>
      <c r="N81" s="422"/>
      <c r="O81" s="326"/>
      <c r="P81" s="326"/>
      <c r="Q81" s="326"/>
      <c r="R81" s="326"/>
      <c r="S81" s="326"/>
      <c r="T81" s="326"/>
    </row>
    <row r="82" spans="1:20">
      <c r="A82" s="468"/>
      <c r="B82" s="471" t="s">
        <v>293</v>
      </c>
      <c r="C82" s="472"/>
      <c r="D82" s="424"/>
      <c r="E82" s="425"/>
      <c r="F82" s="425"/>
      <c r="G82" s="425"/>
      <c r="H82" s="426"/>
      <c r="I82" s="427"/>
      <c r="J82" s="428"/>
      <c r="K82" s="428"/>
      <c r="L82" s="473"/>
      <c r="M82" s="429"/>
      <c r="N82" s="422"/>
      <c r="O82" s="326"/>
      <c r="P82" s="326"/>
      <c r="Q82" s="326"/>
      <c r="R82" s="326"/>
      <c r="S82" s="326"/>
      <c r="T82" s="326"/>
    </row>
    <row r="83" spans="1:20">
      <c r="A83" s="468"/>
      <c r="B83" s="430" t="s">
        <v>232</v>
      </c>
      <c r="C83" s="397" t="s">
        <v>233</v>
      </c>
      <c r="D83" s="474"/>
      <c r="E83" s="475"/>
      <c r="F83" s="475"/>
      <c r="G83" s="475"/>
      <c r="H83" s="476"/>
      <c r="I83" s="474"/>
      <c r="J83" s="477"/>
      <c r="K83" s="477"/>
      <c r="L83" s="477"/>
      <c r="M83" s="478"/>
      <c r="N83" s="326"/>
      <c r="O83" s="326"/>
      <c r="P83" s="326"/>
      <c r="Q83" s="326"/>
      <c r="R83" s="326"/>
      <c r="S83" s="326"/>
      <c r="T83" s="326"/>
    </row>
    <row r="84" spans="1:20">
      <c r="A84" s="468"/>
      <c r="B84" s="435" t="s">
        <v>294</v>
      </c>
      <c r="C84" s="397"/>
      <c r="D84" s="474"/>
      <c r="E84" s="475"/>
      <c r="F84" s="475"/>
      <c r="G84" s="475"/>
      <c r="H84" s="476"/>
      <c r="I84" s="474"/>
      <c r="J84" s="477"/>
      <c r="K84" s="477"/>
      <c r="L84" s="477"/>
      <c r="M84" s="478"/>
      <c r="N84" s="326"/>
      <c r="O84" s="326"/>
      <c r="P84" s="326"/>
      <c r="Q84" s="326"/>
      <c r="R84" s="326"/>
      <c r="S84" s="326"/>
      <c r="T84" s="326"/>
    </row>
    <row r="85" spans="1:20">
      <c r="A85" s="468"/>
      <c r="B85" s="396" t="s">
        <v>295</v>
      </c>
      <c r="C85" s="397"/>
      <c r="D85" s="448"/>
      <c r="E85" s="449"/>
      <c r="F85" s="449"/>
      <c r="G85" s="449"/>
      <c r="H85" s="450"/>
      <c r="I85" s="474"/>
      <c r="J85" s="477"/>
      <c r="K85" s="477"/>
      <c r="L85" s="477"/>
      <c r="M85" s="478"/>
      <c r="N85" s="326"/>
      <c r="O85" s="326"/>
      <c r="P85" s="326"/>
      <c r="Q85" s="326"/>
      <c r="R85" s="326"/>
      <c r="S85" s="326"/>
      <c r="T85" s="326"/>
    </row>
    <row r="86" spans="1:20">
      <c r="A86" s="468"/>
      <c r="B86" s="396" t="s">
        <v>296</v>
      </c>
      <c r="C86" s="397" t="s">
        <v>233</v>
      </c>
      <c r="D86" s="448"/>
      <c r="E86" s="449"/>
      <c r="F86" s="449"/>
      <c r="G86" s="449"/>
      <c r="H86" s="450"/>
      <c r="I86" s="474"/>
      <c r="J86" s="477"/>
      <c r="K86" s="477"/>
      <c r="L86" s="477"/>
      <c r="M86" s="478"/>
      <c r="N86" s="326"/>
      <c r="O86" s="326"/>
      <c r="P86" s="326"/>
      <c r="Q86" s="326"/>
      <c r="R86" s="326"/>
      <c r="S86" s="326"/>
      <c r="T86" s="326"/>
    </row>
    <row r="87" spans="1:20">
      <c r="A87" s="468"/>
      <c r="B87" s="396" t="s">
        <v>297</v>
      </c>
      <c r="C87" s="397"/>
      <c r="D87" s="474"/>
      <c r="E87" s="477"/>
      <c r="F87" s="477"/>
      <c r="G87" s="477"/>
      <c r="H87" s="476"/>
      <c r="I87" s="479">
        <f>SUM(I85:I86)</f>
        <v>0</v>
      </c>
      <c r="J87" s="480">
        <f>SUM(J85:J86)</f>
        <v>0</v>
      </c>
      <c r="K87" s="480">
        <f>SUM(K85:K86)</f>
        <v>0</v>
      </c>
      <c r="L87" s="480">
        <f>SUM(L85:L86)</f>
        <v>0</v>
      </c>
      <c r="M87" s="481">
        <f>SUM(M85:M86)</f>
        <v>0</v>
      </c>
      <c r="N87" s="326"/>
      <c r="O87" s="326"/>
      <c r="P87" s="326"/>
      <c r="Q87" s="326"/>
      <c r="R87" s="326"/>
      <c r="S87" s="326"/>
      <c r="T87" s="326"/>
    </row>
    <row r="88" spans="1:20">
      <c r="A88" s="468"/>
      <c r="B88" s="439" t="s">
        <v>305</v>
      </c>
      <c r="C88" s="397"/>
      <c r="D88" s="440"/>
      <c r="E88" s="441"/>
      <c r="F88" s="441"/>
      <c r="G88" s="441"/>
      <c r="H88" s="442"/>
      <c r="I88" s="443"/>
      <c r="J88" s="444"/>
      <c r="K88" s="444"/>
      <c r="L88" s="482"/>
      <c r="M88" s="445"/>
      <c r="N88" s="422"/>
      <c r="O88" s="326"/>
      <c r="P88" s="326"/>
      <c r="Q88" s="326"/>
      <c r="R88" s="326"/>
      <c r="S88" s="326"/>
      <c r="T88" s="326"/>
    </row>
    <row r="89" spans="1:20">
      <c r="A89" s="468"/>
      <c r="B89" s="446" t="s">
        <v>232</v>
      </c>
      <c r="C89" s="397" t="s">
        <v>233</v>
      </c>
      <c r="D89" s="474"/>
      <c r="E89" s="475"/>
      <c r="F89" s="475"/>
      <c r="G89" s="475"/>
      <c r="H89" s="476"/>
      <c r="I89" s="474"/>
      <c r="J89" s="477"/>
      <c r="K89" s="477"/>
      <c r="L89" s="477"/>
      <c r="M89" s="478"/>
      <c r="N89" s="326"/>
      <c r="O89" s="326"/>
      <c r="P89" s="326"/>
      <c r="Q89" s="326"/>
      <c r="R89" s="326"/>
      <c r="S89" s="326"/>
      <c r="T89" s="326"/>
    </row>
    <row r="90" spans="1:20">
      <c r="A90" s="468"/>
      <c r="B90" s="447" t="s">
        <v>294</v>
      </c>
      <c r="C90" s="397"/>
      <c r="D90" s="474"/>
      <c r="E90" s="475"/>
      <c r="F90" s="475"/>
      <c r="G90" s="475"/>
      <c r="H90" s="476"/>
      <c r="I90" s="474"/>
      <c r="J90" s="477"/>
      <c r="K90" s="477"/>
      <c r="L90" s="477"/>
      <c r="M90" s="478"/>
      <c r="N90" s="326"/>
      <c r="O90" s="326"/>
      <c r="P90" s="326"/>
      <c r="Q90" s="326"/>
      <c r="R90" s="326"/>
      <c r="S90" s="326"/>
      <c r="T90" s="326"/>
    </row>
    <row r="91" spans="1:20">
      <c r="A91" s="468"/>
      <c r="B91" s="396" t="s">
        <v>285</v>
      </c>
      <c r="C91" s="397"/>
      <c r="D91" s="448"/>
      <c r="E91" s="449"/>
      <c r="F91" s="449"/>
      <c r="G91" s="449"/>
      <c r="H91" s="450"/>
      <c r="I91" s="474"/>
      <c r="J91" s="477"/>
      <c r="K91" s="477"/>
      <c r="L91" s="477"/>
      <c r="M91" s="478"/>
      <c r="N91" s="326"/>
      <c r="O91" s="326"/>
      <c r="P91" s="326"/>
      <c r="Q91" s="326"/>
      <c r="R91" s="326"/>
      <c r="S91" s="326"/>
      <c r="T91" s="326"/>
    </row>
    <row r="92" spans="1:20">
      <c r="A92" s="468"/>
      <c r="B92" s="396" t="s">
        <v>286</v>
      </c>
      <c r="C92" s="397" t="s">
        <v>233</v>
      </c>
      <c r="D92" s="448"/>
      <c r="E92" s="449"/>
      <c r="F92" s="449"/>
      <c r="G92" s="449"/>
      <c r="H92" s="450"/>
      <c r="I92" s="474"/>
      <c r="J92" s="477"/>
      <c r="K92" s="477"/>
      <c r="L92" s="477"/>
      <c r="M92" s="478"/>
      <c r="N92" s="326"/>
      <c r="O92" s="326"/>
      <c r="P92" s="326"/>
      <c r="Q92" s="326"/>
      <c r="R92" s="326"/>
      <c r="S92" s="326"/>
      <c r="T92" s="326"/>
    </row>
    <row r="93" spans="1:20">
      <c r="A93" s="468"/>
      <c r="B93" s="396" t="s">
        <v>299</v>
      </c>
      <c r="C93" s="397"/>
      <c r="D93" s="474"/>
      <c r="E93" s="477"/>
      <c r="F93" s="477"/>
      <c r="G93" s="477"/>
      <c r="H93" s="476"/>
      <c r="I93" s="479">
        <f>SUM(I91:I92)</f>
        <v>0</v>
      </c>
      <c r="J93" s="479">
        <f>SUM(J91:J92)</f>
        <v>0</v>
      </c>
      <c r="K93" s="479">
        <f>SUM(K91:K92)</f>
        <v>0</v>
      </c>
      <c r="L93" s="479">
        <f>SUM(L91:L92)</f>
        <v>0</v>
      </c>
      <c r="M93" s="479">
        <f>SUM(M91:M92)</f>
        <v>0</v>
      </c>
      <c r="N93" s="326"/>
      <c r="O93" s="326"/>
      <c r="P93" s="326"/>
      <c r="Q93" s="326"/>
      <c r="R93" s="326"/>
      <c r="S93" s="326"/>
      <c r="T93" s="326"/>
    </row>
    <row r="94" spans="1:20">
      <c r="A94" s="468"/>
      <c r="B94" s="439" t="s">
        <v>306</v>
      </c>
      <c r="C94" s="397"/>
      <c r="D94" s="440"/>
      <c r="E94" s="441"/>
      <c r="F94" s="441"/>
      <c r="G94" s="441"/>
      <c r="H94" s="442"/>
      <c r="I94" s="443"/>
      <c r="J94" s="444"/>
      <c r="K94" s="444"/>
      <c r="L94" s="482"/>
      <c r="M94" s="445"/>
      <c r="N94" s="422"/>
      <c r="O94" s="326"/>
      <c r="P94" s="326"/>
      <c r="Q94" s="326"/>
      <c r="R94" s="326"/>
      <c r="S94" s="326"/>
      <c r="T94" s="326"/>
    </row>
    <row r="95" spans="1:20">
      <c r="A95" s="468"/>
      <c r="B95" s="446" t="s">
        <v>232</v>
      </c>
      <c r="C95" s="397" t="s">
        <v>233</v>
      </c>
      <c r="D95" s="474"/>
      <c r="E95" s="475"/>
      <c r="F95" s="475"/>
      <c r="G95" s="475"/>
      <c r="H95" s="476"/>
      <c r="I95" s="474"/>
      <c r="J95" s="477"/>
      <c r="K95" s="477"/>
      <c r="L95" s="477"/>
      <c r="M95" s="478"/>
      <c r="N95" s="326"/>
      <c r="O95" s="326"/>
      <c r="P95" s="326"/>
      <c r="Q95" s="326"/>
      <c r="R95" s="326"/>
      <c r="S95" s="326"/>
      <c r="T95" s="326"/>
    </row>
    <row r="96" spans="1:20">
      <c r="A96" s="468"/>
      <c r="B96" s="447" t="s">
        <v>294</v>
      </c>
      <c r="C96" s="397"/>
      <c r="D96" s="474"/>
      <c r="E96" s="475"/>
      <c r="F96" s="475"/>
      <c r="G96" s="475"/>
      <c r="H96" s="476"/>
      <c r="I96" s="474"/>
      <c r="J96" s="477"/>
      <c r="K96" s="477"/>
      <c r="L96" s="477"/>
      <c r="M96" s="478"/>
      <c r="N96" s="326"/>
      <c r="O96" s="326"/>
      <c r="P96" s="326"/>
      <c r="Q96" s="326"/>
      <c r="R96" s="326"/>
      <c r="S96" s="326"/>
      <c r="T96" s="326"/>
    </row>
    <row r="97" spans="1:20">
      <c r="A97" s="468"/>
      <c r="B97" s="396" t="s">
        <v>287</v>
      </c>
      <c r="C97" s="397"/>
      <c r="D97" s="436"/>
      <c r="E97" s="437"/>
      <c r="F97" s="437"/>
      <c r="G97" s="437"/>
      <c r="H97" s="438"/>
      <c r="I97" s="474"/>
      <c r="J97" s="477"/>
      <c r="K97" s="477"/>
      <c r="L97" s="477"/>
      <c r="M97" s="478"/>
      <c r="N97" s="326"/>
      <c r="O97" s="326"/>
      <c r="P97" s="326"/>
      <c r="Q97" s="326"/>
      <c r="R97" s="326"/>
      <c r="S97" s="326"/>
      <c r="T97" s="326"/>
    </row>
    <row r="98" spans="1:20">
      <c r="A98" s="468"/>
      <c r="B98" s="396" t="s">
        <v>288</v>
      </c>
      <c r="C98" s="397" t="s">
        <v>233</v>
      </c>
      <c r="D98" s="436"/>
      <c r="E98" s="437"/>
      <c r="F98" s="437"/>
      <c r="G98" s="437"/>
      <c r="H98" s="438"/>
      <c r="I98" s="474"/>
      <c r="J98" s="477"/>
      <c r="K98" s="477"/>
      <c r="L98" s="477"/>
      <c r="M98" s="478"/>
      <c r="N98" s="326"/>
      <c r="O98" s="326"/>
      <c r="P98" s="326"/>
      <c r="Q98" s="326"/>
      <c r="R98" s="326"/>
      <c r="S98" s="326"/>
      <c r="T98" s="326"/>
    </row>
    <row r="99" spans="1:20">
      <c r="A99" s="468"/>
      <c r="B99" s="396" t="s">
        <v>301</v>
      </c>
      <c r="C99" s="397"/>
      <c r="D99" s="474"/>
      <c r="E99" s="477"/>
      <c r="F99" s="477"/>
      <c r="G99" s="477"/>
      <c r="H99" s="476"/>
      <c r="I99" s="479">
        <f>SUM(I97:I98)</f>
        <v>0</v>
      </c>
      <c r="J99" s="479">
        <f>SUM(J97:J98)</f>
        <v>0</v>
      </c>
      <c r="K99" s="479">
        <f>SUM(K97:K98)</f>
        <v>0</v>
      </c>
      <c r="L99" s="479">
        <f>SUM(L97:L98)</f>
        <v>0</v>
      </c>
      <c r="M99" s="479">
        <f>SUM(M97:M98)</f>
        <v>0</v>
      </c>
      <c r="N99" s="326"/>
      <c r="O99" s="326"/>
      <c r="P99" s="326"/>
      <c r="Q99" s="326"/>
      <c r="R99" s="326"/>
      <c r="S99" s="326"/>
      <c r="T99" s="326"/>
    </row>
    <row r="100" spans="1:20">
      <c r="A100" s="468"/>
      <c r="B100" s="439" t="s">
        <v>307</v>
      </c>
      <c r="C100" s="397"/>
      <c r="D100" s="440"/>
      <c r="E100" s="441"/>
      <c r="F100" s="441"/>
      <c r="G100" s="441"/>
      <c r="H100" s="442"/>
      <c r="I100" s="443"/>
      <c r="J100" s="444"/>
      <c r="K100" s="444"/>
      <c r="L100" s="482"/>
      <c r="M100" s="445"/>
      <c r="N100" s="422"/>
      <c r="O100" s="326"/>
      <c r="P100" s="326"/>
      <c r="Q100" s="326"/>
      <c r="R100" s="326"/>
      <c r="S100" s="326"/>
      <c r="T100" s="326"/>
    </row>
    <row r="101" spans="1:20">
      <c r="A101" s="468"/>
      <c r="B101" s="446" t="s">
        <v>232</v>
      </c>
      <c r="C101" s="397" t="s">
        <v>233</v>
      </c>
      <c r="D101" s="483"/>
      <c r="E101" s="484"/>
      <c r="F101" s="484"/>
      <c r="G101" s="484"/>
      <c r="H101" s="485"/>
      <c r="I101" s="483"/>
      <c r="J101" s="486"/>
      <c r="K101" s="486"/>
      <c r="L101" s="486"/>
      <c r="M101" s="487"/>
      <c r="N101" s="326"/>
      <c r="O101" s="326"/>
      <c r="P101" s="326"/>
      <c r="Q101" s="326"/>
      <c r="R101" s="326"/>
      <c r="S101" s="326"/>
      <c r="T101" s="326"/>
    </row>
    <row r="102" spans="1:20">
      <c r="A102" s="468"/>
      <c r="B102" s="447" t="s">
        <v>294</v>
      </c>
      <c r="C102" s="397"/>
      <c r="D102" s="483"/>
      <c r="E102" s="484"/>
      <c r="F102" s="484"/>
      <c r="G102" s="484"/>
      <c r="H102" s="485"/>
      <c r="I102" s="483"/>
      <c r="J102" s="486"/>
      <c r="K102" s="486"/>
      <c r="L102" s="486"/>
      <c r="M102" s="487"/>
      <c r="N102" s="326"/>
      <c r="O102" s="326"/>
      <c r="P102" s="326"/>
      <c r="Q102" s="326"/>
      <c r="R102" s="326"/>
      <c r="S102" s="326"/>
      <c r="T102" s="326"/>
    </row>
    <row r="103" spans="1:20">
      <c r="A103" s="468"/>
      <c r="B103" s="396" t="s">
        <v>289</v>
      </c>
      <c r="C103" s="397"/>
      <c r="D103" s="488"/>
      <c r="E103" s="489"/>
      <c r="F103" s="489"/>
      <c r="G103" s="489"/>
      <c r="H103" s="490"/>
      <c r="I103" s="483"/>
      <c r="J103" s="486"/>
      <c r="K103" s="486"/>
      <c r="L103" s="486"/>
      <c r="M103" s="487"/>
      <c r="N103" s="326"/>
      <c r="O103" s="326"/>
      <c r="P103" s="326"/>
      <c r="Q103" s="326"/>
      <c r="R103" s="326"/>
      <c r="S103" s="326"/>
      <c r="T103" s="326"/>
    </row>
    <row r="104" spans="1:20">
      <c r="A104" s="468"/>
      <c r="B104" s="396" t="s">
        <v>290</v>
      </c>
      <c r="C104" s="397" t="s">
        <v>233</v>
      </c>
      <c r="D104" s="488"/>
      <c r="E104" s="489"/>
      <c r="F104" s="489"/>
      <c r="G104" s="489"/>
      <c r="H104" s="490"/>
      <c r="I104" s="483"/>
      <c r="J104" s="486"/>
      <c r="K104" s="486"/>
      <c r="L104" s="486"/>
      <c r="M104" s="487"/>
      <c r="N104" s="326"/>
      <c r="O104" s="326"/>
      <c r="P104" s="326"/>
      <c r="Q104" s="326"/>
      <c r="R104" s="326"/>
      <c r="S104" s="326"/>
      <c r="T104" s="326"/>
    </row>
    <row r="105" spans="1:20">
      <c r="A105" s="468"/>
      <c r="B105" s="396" t="s">
        <v>303</v>
      </c>
      <c r="C105" s="397"/>
      <c r="D105" s="483"/>
      <c r="E105" s="484"/>
      <c r="F105" s="484"/>
      <c r="G105" s="484"/>
      <c r="H105" s="485"/>
      <c r="I105" s="491">
        <f>SUM(I103:I104)</f>
        <v>0</v>
      </c>
      <c r="J105" s="491">
        <f>SUM(J103:J104)</f>
        <v>0</v>
      </c>
      <c r="K105" s="491">
        <f>SUM(K103:K104)</f>
        <v>0</v>
      </c>
      <c r="L105" s="491">
        <f>SUM(L103:L104)</f>
        <v>0</v>
      </c>
      <c r="M105" s="491">
        <f>SUM(M103:M104)</f>
        <v>0</v>
      </c>
      <c r="N105" s="326"/>
      <c r="O105" s="326"/>
      <c r="P105" s="326"/>
      <c r="Q105" s="326"/>
      <c r="R105" s="326"/>
      <c r="S105" s="326"/>
      <c r="T105" s="326"/>
    </row>
    <row r="106" spans="1:20" ht="13.5" thickBot="1">
      <c r="A106" s="468"/>
      <c r="B106" s="461" t="s">
        <v>239</v>
      </c>
      <c r="C106" s="412" t="s">
        <v>233</v>
      </c>
      <c r="D106" s="462">
        <f t="shared" ref="D106:M106" si="21">SUM(D83:D84,D87,D89:D90,D93,D95:D96,D99,D101:D102,D105)</f>
        <v>0</v>
      </c>
      <c r="E106" s="463">
        <f t="shared" si="21"/>
        <v>0</v>
      </c>
      <c r="F106" s="463">
        <f t="shared" si="21"/>
        <v>0</v>
      </c>
      <c r="G106" s="463">
        <f t="shared" si="21"/>
        <v>0</v>
      </c>
      <c r="H106" s="464">
        <f t="shared" si="21"/>
        <v>0</v>
      </c>
      <c r="I106" s="462">
        <f t="shared" si="21"/>
        <v>0</v>
      </c>
      <c r="J106" s="463">
        <f t="shared" si="21"/>
        <v>0</v>
      </c>
      <c r="K106" s="463">
        <f t="shared" si="21"/>
        <v>0</v>
      </c>
      <c r="L106" s="463">
        <f t="shared" si="21"/>
        <v>0</v>
      </c>
      <c r="M106" s="492">
        <f t="shared" si="21"/>
        <v>0</v>
      </c>
      <c r="N106" s="465"/>
      <c r="O106" s="326"/>
      <c r="P106" s="326"/>
      <c r="Q106" s="326"/>
      <c r="R106" s="326"/>
      <c r="S106" s="326"/>
      <c r="T106" s="326"/>
    </row>
    <row r="107" spans="1:20">
      <c r="B107" s="493"/>
      <c r="C107" s="386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26"/>
      <c r="O107" s="387"/>
      <c r="P107" s="387"/>
      <c r="Q107" s="387"/>
      <c r="R107" s="326"/>
      <c r="S107" s="387"/>
      <c r="T107" s="387"/>
    </row>
    <row r="108" spans="1:20">
      <c r="B108" s="327" t="s">
        <v>308</v>
      </c>
      <c r="N108" s="326"/>
      <c r="O108" s="326"/>
      <c r="P108" s="326"/>
      <c r="Q108" s="326"/>
      <c r="R108" s="326"/>
      <c r="S108" s="326"/>
      <c r="T108" s="326"/>
    </row>
    <row r="109" spans="1:20" ht="13.5" thickBot="1">
      <c r="B109" s="327"/>
      <c r="F109" s="428"/>
      <c r="N109" s="326"/>
      <c r="O109" s="326"/>
      <c r="P109" s="326"/>
      <c r="Q109" s="326"/>
      <c r="R109" s="326"/>
      <c r="S109" s="326"/>
      <c r="T109" s="326"/>
    </row>
    <row r="110" spans="1:20">
      <c r="B110" s="1511"/>
      <c r="C110" s="1513" t="s">
        <v>190</v>
      </c>
      <c r="D110" s="328" t="s">
        <v>191</v>
      </c>
      <c r="E110" s="329"/>
      <c r="F110" s="329"/>
      <c r="G110" s="329"/>
      <c r="H110" s="330"/>
      <c r="I110" s="329" t="s">
        <v>192</v>
      </c>
      <c r="J110" s="331"/>
      <c r="K110" s="331"/>
      <c r="L110" s="331"/>
      <c r="M110" s="330"/>
      <c r="N110" s="326"/>
      <c r="O110" s="326"/>
      <c r="P110" s="326"/>
      <c r="Q110" s="326"/>
      <c r="R110" s="326"/>
      <c r="S110" s="326"/>
      <c r="T110" s="326"/>
    </row>
    <row r="111" spans="1:20">
      <c r="B111" s="1512"/>
      <c r="C111" s="1514"/>
      <c r="D111" s="335" t="s">
        <v>79</v>
      </c>
      <c r="E111" s="336" t="s">
        <v>80</v>
      </c>
      <c r="F111" s="336" t="s">
        <v>81</v>
      </c>
      <c r="G111" s="336" t="s">
        <v>82</v>
      </c>
      <c r="H111" s="337" t="s">
        <v>44</v>
      </c>
      <c r="I111" s="338" t="s">
        <v>193</v>
      </c>
      <c r="J111" s="336" t="s">
        <v>194</v>
      </c>
      <c r="K111" s="336" t="s">
        <v>195</v>
      </c>
      <c r="L111" s="336" t="s">
        <v>196</v>
      </c>
      <c r="M111" s="337" t="s">
        <v>197</v>
      </c>
      <c r="N111" s="326"/>
      <c r="O111" s="326"/>
      <c r="P111" s="326"/>
      <c r="Q111" s="326"/>
      <c r="R111" s="326"/>
      <c r="S111" s="326"/>
      <c r="T111" s="326"/>
    </row>
    <row r="112" spans="1:20">
      <c r="B112" s="414" t="s">
        <v>292</v>
      </c>
      <c r="C112" s="415"/>
      <c r="D112" s="416"/>
      <c r="E112" s="417"/>
      <c r="F112" s="417"/>
      <c r="G112" s="417"/>
      <c r="H112" s="418"/>
      <c r="I112" s="420"/>
      <c r="J112" s="420"/>
      <c r="K112" s="420"/>
      <c r="L112" s="420"/>
      <c r="M112" s="421"/>
      <c r="N112" s="422"/>
      <c r="O112" s="326"/>
      <c r="P112" s="326"/>
      <c r="Q112" s="326"/>
      <c r="R112" s="326"/>
      <c r="S112" s="326"/>
      <c r="T112" s="326"/>
    </row>
    <row r="113" spans="2:20">
      <c r="B113" s="471" t="s">
        <v>293</v>
      </c>
      <c r="C113" s="397"/>
      <c r="D113" s="424"/>
      <c r="E113" s="425"/>
      <c r="F113" s="425"/>
      <c r="G113" s="425"/>
      <c r="H113" s="426"/>
      <c r="I113" s="428"/>
      <c r="J113" s="428"/>
      <c r="K113" s="428"/>
      <c r="L113" s="428"/>
      <c r="M113" s="429"/>
      <c r="N113" s="422"/>
      <c r="O113" s="326"/>
      <c r="P113" s="326"/>
      <c r="Q113" s="326"/>
      <c r="R113" s="326"/>
      <c r="S113" s="326"/>
      <c r="T113" s="326"/>
    </row>
    <row r="114" spans="2:20">
      <c r="B114" s="430" t="s">
        <v>232</v>
      </c>
      <c r="C114" s="397" t="s">
        <v>233</v>
      </c>
      <c r="D114" s="474"/>
      <c r="E114" s="475"/>
      <c r="F114" s="475"/>
      <c r="G114" s="475"/>
      <c r="H114" s="476"/>
      <c r="I114" s="474"/>
      <c r="J114" s="477"/>
      <c r="K114" s="477"/>
      <c r="L114" s="477"/>
      <c r="M114" s="478"/>
      <c r="N114" s="326"/>
      <c r="O114" s="326"/>
      <c r="P114" s="326"/>
      <c r="Q114" s="326"/>
      <c r="R114" s="326"/>
      <c r="S114" s="326"/>
      <c r="T114" s="326"/>
    </row>
    <row r="115" spans="2:20">
      <c r="B115" s="435" t="s">
        <v>294</v>
      </c>
      <c r="C115" s="397"/>
      <c r="D115" s="474"/>
      <c r="E115" s="475"/>
      <c r="F115" s="475"/>
      <c r="G115" s="475"/>
      <c r="H115" s="476"/>
      <c r="I115" s="474"/>
      <c r="J115" s="477"/>
      <c r="K115" s="477"/>
      <c r="L115" s="477"/>
      <c r="M115" s="478"/>
      <c r="N115" s="326"/>
      <c r="O115" s="326"/>
      <c r="P115" s="326"/>
      <c r="Q115" s="326"/>
      <c r="R115" s="326"/>
      <c r="S115" s="326"/>
      <c r="T115" s="326"/>
    </row>
    <row r="116" spans="2:20">
      <c r="B116" s="396" t="s">
        <v>295</v>
      </c>
      <c r="C116" s="397"/>
      <c r="D116" s="448"/>
      <c r="E116" s="449"/>
      <c r="F116" s="449"/>
      <c r="G116" s="449"/>
      <c r="H116" s="450"/>
      <c r="I116" s="474"/>
      <c r="J116" s="477"/>
      <c r="K116" s="477"/>
      <c r="L116" s="477"/>
      <c r="M116" s="478"/>
      <c r="N116" s="326"/>
      <c r="O116" s="326"/>
      <c r="P116" s="326"/>
      <c r="Q116" s="326"/>
      <c r="R116" s="326"/>
      <c r="S116" s="326"/>
      <c r="T116" s="326"/>
    </row>
    <row r="117" spans="2:20">
      <c r="B117" s="396" t="s">
        <v>296</v>
      </c>
      <c r="C117" s="397" t="s">
        <v>233</v>
      </c>
      <c r="D117" s="448"/>
      <c r="E117" s="449"/>
      <c r="F117" s="449"/>
      <c r="G117" s="449"/>
      <c r="H117" s="450"/>
      <c r="I117" s="474"/>
      <c r="J117" s="477"/>
      <c r="K117" s="477"/>
      <c r="L117" s="477"/>
      <c r="M117" s="478"/>
      <c r="N117" s="326"/>
      <c r="O117" s="326"/>
      <c r="P117" s="326"/>
      <c r="Q117" s="326"/>
      <c r="R117" s="326"/>
      <c r="S117" s="326"/>
      <c r="T117" s="326"/>
    </row>
    <row r="118" spans="2:20">
      <c r="B118" s="396" t="s">
        <v>297</v>
      </c>
      <c r="C118" s="397"/>
      <c r="D118" s="474"/>
      <c r="E118" s="477"/>
      <c r="F118" s="477"/>
      <c r="G118" s="477"/>
      <c r="H118" s="476"/>
      <c r="I118" s="479">
        <f>SUM(I116:I117)</f>
        <v>0</v>
      </c>
      <c r="J118" s="480">
        <f>SUM(J116:J117)</f>
        <v>0</v>
      </c>
      <c r="K118" s="480">
        <f>SUM(K116:K117)</f>
        <v>0</v>
      </c>
      <c r="L118" s="480">
        <f>SUM(L116:L117)</f>
        <v>0</v>
      </c>
      <c r="M118" s="481">
        <f>SUM(M116:M117)</f>
        <v>0</v>
      </c>
      <c r="N118" s="326"/>
      <c r="O118" s="326"/>
      <c r="P118" s="326"/>
      <c r="Q118" s="326"/>
      <c r="R118" s="326"/>
      <c r="S118" s="326"/>
      <c r="T118" s="326"/>
    </row>
    <row r="119" spans="2:20">
      <c r="B119" s="439" t="s">
        <v>305</v>
      </c>
      <c r="C119" s="397"/>
      <c r="D119" s="440"/>
      <c r="E119" s="441"/>
      <c r="F119" s="441"/>
      <c r="G119" s="441"/>
      <c r="H119" s="442"/>
      <c r="I119" s="443"/>
      <c r="J119" s="444"/>
      <c r="K119" s="444"/>
      <c r="L119" s="482"/>
      <c r="M119" s="445"/>
      <c r="N119" s="422"/>
      <c r="O119" s="326"/>
      <c r="P119" s="326"/>
      <c r="Q119" s="326"/>
      <c r="R119" s="326"/>
      <c r="S119" s="326"/>
      <c r="T119" s="326"/>
    </row>
    <row r="120" spans="2:20">
      <c r="B120" s="446" t="s">
        <v>232</v>
      </c>
      <c r="C120" s="397" t="s">
        <v>233</v>
      </c>
      <c r="D120" s="474"/>
      <c r="E120" s="475"/>
      <c r="F120" s="475"/>
      <c r="G120" s="475"/>
      <c r="H120" s="476"/>
      <c r="I120" s="474"/>
      <c r="J120" s="477"/>
      <c r="K120" s="477"/>
      <c r="L120" s="477"/>
      <c r="M120" s="478"/>
      <c r="N120" s="326"/>
      <c r="O120" s="326"/>
      <c r="P120" s="326"/>
      <c r="Q120" s="326"/>
      <c r="R120" s="326"/>
      <c r="S120" s="326"/>
      <c r="T120" s="326"/>
    </row>
    <row r="121" spans="2:20">
      <c r="B121" s="447" t="s">
        <v>294</v>
      </c>
      <c r="C121" s="397"/>
      <c r="D121" s="474"/>
      <c r="E121" s="475"/>
      <c r="F121" s="475"/>
      <c r="G121" s="475"/>
      <c r="H121" s="476"/>
      <c r="I121" s="474"/>
      <c r="J121" s="477"/>
      <c r="K121" s="477"/>
      <c r="L121" s="477"/>
      <c r="M121" s="478"/>
      <c r="N121" s="326"/>
      <c r="O121" s="326"/>
      <c r="P121" s="326"/>
      <c r="Q121" s="326"/>
      <c r="R121" s="326"/>
      <c r="S121" s="326"/>
      <c r="T121" s="326"/>
    </row>
    <row r="122" spans="2:20">
      <c r="B122" s="396" t="s">
        <v>285</v>
      </c>
      <c r="C122" s="397"/>
      <c r="D122" s="448"/>
      <c r="E122" s="449"/>
      <c r="F122" s="449"/>
      <c r="G122" s="449"/>
      <c r="H122" s="450"/>
      <c r="I122" s="474"/>
      <c r="J122" s="477"/>
      <c r="K122" s="477"/>
      <c r="L122" s="477"/>
      <c r="M122" s="478"/>
      <c r="N122" s="326"/>
      <c r="O122" s="326"/>
      <c r="P122" s="326"/>
      <c r="Q122" s="326"/>
      <c r="R122" s="326"/>
      <c r="S122" s="326"/>
      <c r="T122" s="326"/>
    </row>
    <row r="123" spans="2:20">
      <c r="B123" s="396" t="s">
        <v>286</v>
      </c>
      <c r="C123" s="397" t="s">
        <v>233</v>
      </c>
      <c r="D123" s="448"/>
      <c r="E123" s="449"/>
      <c r="F123" s="449"/>
      <c r="G123" s="449"/>
      <c r="H123" s="450"/>
      <c r="I123" s="474"/>
      <c r="J123" s="477"/>
      <c r="K123" s="477"/>
      <c r="L123" s="477"/>
      <c r="M123" s="478"/>
      <c r="N123" s="326"/>
      <c r="O123" s="326"/>
      <c r="P123" s="326"/>
      <c r="Q123" s="326"/>
      <c r="R123" s="326"/>
      <c r="S123" s="326"/>
      <c r="T123" s="326"/>
    </row>
    <row r="124" spans="2:20">
      <c r="B124" s="396" t="s">
        <v>299</v>
      </c>
      <c r="C124" s="397"/>
      <c r="D124" s="474"/>
      <c r="E124" s="477"/>
      <c r="F124" s="477"/>
      <c r="G124" s="477"/>
      <c r="H124" s="476"/>
      <c r="I124" s="479">
        <f>SUM(I122:I123)</f>
        <v>0</v>
      </c>
      <c r="J124" s="479">
        <f>SUM(J122:J123)</f>
        <v>0</v>
      </c>
      <c r="K124" s="479">
        <f>SUM(K122:K123)</f>
        <v>0</v>
      </c>
      <c r="L124" s="479">
        <f>SUM(L122:L123)</f>
        <v>0</v>
      </c>
      <c r="M124" s="494">
        <f>SUM(M122:M123)</f>
        <v>0</v>
      </c>
      <c r="N124" s="326"/>
      <c r="O124" s="326"/>
      <c r="P124" s="326"/>
      <c r="Q124" s="326"/>
      <c r="R124" s="326"/>
      <c r="S124" s="326"/>
      <c r="T124" s="326"/>
    </row>
    <row r="125" spans="2:20">
      <c r="B125" s="439" t="s">
        <v>306</v>
      </c>
      <c r="C125" s="397"/>
      <c r="D125" s="440"/>
      <c r="E125" s="441"/>
      <c r="F125" s="441"/>
      <c r="G125" s="441"/>
      <c r="H125" s="442"/>
      <c r="I125" s="443"/>
      <c r="J125" s="444"/>
      <c r="K125" s="444"/>
      <c r="L125" s="482"/>
      <c r="M125" s="445"/>
      <c r="N125" s="422"/>
      <c r="O125" s="326"/>
      <c r="P125" s="326"/>
      <c r="Q125" s="326"/>
      <c r="R125" s="326"/>
      <c r="S125" s="326"/>
      <c r="T125" s="326"/>
    </row>
    <row r="126" spans="2:20">
      <c r="B126" s="446" t="s">
        <v>232</v>
      </c>
      <c r="C126" s="397" t="s">
        <v>233</v>
      </c>
      <c r="D126" s="474"/>
      <c r="E126" s="475"/>
      <c r="F126" s="475"/>
      <c r="G126" s="475"/>
      <c r="H126" s="476"/>
      <c r="I126" s="474"/>
      <c r="J126" s="477"/>
      <c r="K126" s="477"/>
      <c r="L126" s="477"/>
      <c r="M126" s="478"/>
      <c r="N126" s="326"/>
      <c r="O126" s="326"/>
      <c r="P126" s="326"/>
      <c r="Q126" s="326"/>
      <c r="R126" s="326"/>
      <c r="S126" s="326"/>
      <c r="T126" s="326"/>
    </row>
    <row r="127" spans="2:20">
      <c r="B127" s="447" t="s">
        <v>294</v>
      </c>
      <c r="C127" s="397"/>
      <c r="D127" s="474"/>
      <c r="E127" s="475"/>
      <c r="F127" s="475"/>
      <c r="G127" s="475"/>
      <c r="H127" s="476"/>
      <c r="I127" s="474"/>
      <c r="J127" s="477"/>
      <c r="K127" s="477"/>
      <c r="L127" s="477"/>
      <c r="M127" s="478"/>
      <c r="N127" s="326"/>
      <c r="O127" s="326"/>
      <c r="P127" s="326"/>
      <c r="Q127" s="326"/>
      <c r="R127" s="326"/>
      <c r="S127" s="326"/>
      <c r="T127" s="326"/>
    </row>
    <row r="128" spans="2:20">
      <c r="B128" s="396" t="s">
        <v>287</v>
      </c>
      <c r="C128" s="397"/>
      <c r="D128" s="436"/>
      <c r="E128" s="437"/>
      <c r="F128" s="437"/>
      <c r="G128" s="437"/>
      <c r="H128" s="438"/>
      <c r="I128" s="474"/>
      <c r="J128" s="477"/>
      <c r="K128" s="477"/>
      <c r="L128" s="477"/>
      <c r="M128" s="478"/>
      <c r="N128" s="326"/>
      <c r="O128" s="326"/>
      <c r="P128" s="326"/>
      <c r="Q128" s="326"/>
      <c r="R128" s="326"/>
      <c r="S128" s="326"/>
      <c r="T128" s="326"/>
    </row>
    <row r="129" spans="2:20">
      <c r="B129" s="396" t="s">
        <v>288</v>
      </c>
      <c r="C129" s="397" t="s">
        <v>233</v>
      </c>
      <c r="D129" s="436"/>
      <c r="E129" s="437"/>
      <c r="F129" s="437"/>
      <c r="G129" s="437"/>
      <c r="H129" s="438"/>
      <c r="I129" s="474"/>
      <c r="J129" s="477"/>
      <c r="K129" s="477"/>
      <c r="L129" s="477"/>
      <c r="M129" s="478"/>
      <c r="N129" s="326"/>
      <c r="O129" s="326"/>
      <c r="P129" s="326"/>
      <c r="Q129" s="326"/>
      <c r="R129" s="326"/>
      <c r="S129" s="326"/>
      <c r="T129" s="326"/>
    </row>
    <row r="130" spans="2:20">
      <c r="B130" s="396" t="s">
        <v>301</v>
      </c>
      <c r="C130" s="397"/>
      <c r="D130" s="474"/>
      <c r="E130" s="477"/>
      <c r="F130" s="477"/>
      <c r="G130" s="477"/>
      <c r="H130" s="476"/>
      <c r="I130" s="479">
        <f>SUM(I128:I129)</f>
        <v>0</v>
      </c>
      <c r="J130" s="479">
        <f>SUM(J128:J129)</f>
        <v>0</v>
      </c>
      <c r="K130" s="479">
        <f>SUM(K128:K129)</f>
        <v>0</v>
      </c>
      <c r="L130" s="479">
        <f>SUM(L128:L129)</f>
        <v>0</v>
      </c>
      <c r="M130" s="494">
        <f>SUM(M128:M129)</f>
        <v>0</v>
      </c>
      <c r="N130" s="326"/>
      <c r="O130" s="326"/>
      <c r="P130" s="326"/>
      <c r="Q130" s="326"/>
      <c r="R130" s="326"/>
      <c r="S130" s="326"/>
      <c r="T130" s="326"/>
    </row>
    <row r="131" spans="2:20">
      <c r="B131" s="439" t="s">
        <v>307</v>
      </c>
      <c r="C131" s="397"/>
      <c r="D131" s="440"/>
      <c r="E131" s="441"/>
      <c r="F131" s="441"/>
      <c r="G131" s="441"/>
      <c r="H131" s="442"/>
      <c r="I131" s="443"/>
      <c r="J131" s="444"/>
      <c r="K131" s="444"/>
      <c r="L131" s="482"/>
      <c r="M131" s="445"/>
      <c r="N131" s="422"/>
      <c r="O131" s="326"/>
      <c r="P131" s="326"/>
      <c r="Q131" s="326"/>
      <c r="R131" s="326"/>
      <c r="S131" s="326"/>
      <c r="T131" s="326"/>
    </row>
    <row r="132" spans="2:20">
      <c r="B132" s="446" t="s">
        <v>232</v>
      </c>
      <c r="C132" s="397" t="s">
        <v>233</v>
      </c>
      <c r="D132" s="483"/>
      <c r="E132" s="484"/>
      <c r="F132" s="484"/>
      <c r="G132" s="484"/>
      <c r="H132" s="485"/>
      <c r="I132" s="483"/>
      <c r="J132" s="486"/>
      <c r="K132" s="486"/>
      <c r="L132" s="486"/>
      <c r="M132" s="487"/>
      <c r="N132" s="326"/>
      <c r="O132" s="326"/>
      <c r="P132" s="326"/>
      <c r="Q132" s="326"/>
      <c r="R132" s="326"/>
      <c r="S132" s="326"/>
      <c r="T132" s="326"/>
    </row>
    <row r="133" spans="2:20">
      <c r="B133" s="447" t="s">
        <v>294</v>
      </c>
      <c r="C133" s="397"/>
      <c r="D133" s="483"/>
      <c r="E133" s="484"/>
      <c r="F133" s="484"/>
      <c r="G133" s="484"/>
      <c r="H133" s="485"/>
      <c r="I133" s="483"/>
      <c r="J133" s="486"/>
      <c r="K133" s="486"/>
      <c r="L133" s="486"/>
      <c r="M133" s="487"/>
      <c r="N133" s="326"/>
      <c r="O133" s="326"/>
      <c r="P133" s="326"/>
      <c r="Q133" s="326"/>
      <c r="R133" s="326"/>
      <c r="S133" s="326"/>
      <c r="T133" s="326"/>
    </row>
    <row r="134" spans="2:20">
      <c r="B134" s="396" t="s">
        <v>289</v>
      </c>
      <c r="C134" s="397"/>
      <c r="D134" s="488"/>
      <c r="E134" s="489"/>
      <c r="F134" s="489"/>
      <c r="G134" s="489"/>
      <c r="H134" s="490"/>
      <c r="I134" s="483"/>
      <c r="J134" s="486"/>
      <c r="K134" s="486"/>
      <c r="L134" s="486"/>
      <c r="M134" s="487"/>
      <c r="N134" s="326"/>
      <c r="O134" s="326"/>
      <c r="P134" s="326"/>
      <c r="Q134" s="326"/>
      <c r="R134" s="326"/>
      <c r="S134" s="326"/>
      <c r="T134" s="326"/>
    </row>
    <row r="135" spans="2:20">
      <c r="B135" s="396" t="s">
        <v>290</v>
      </c>
      <c r="C135" s="397" t="s">
        <v>233</v>
      </c>
      <c r="D135" s="488"/>
      <c r="E135" s="489"/>
      <c r="F135" s="489"/>
      <c r="G135" s="489"/>
      <c r="H135" s="490"/>
      <c r="I135" s="483"/>
      <c r="J135" s="486"/>
      <c r="K135" s="486"/>
      <c r="L135" s="486"/>
      <c r="M135" s="487"/>
      <c r="N135" s="326"/>
      <c r="O135" s="326"/>
      <c r="P135" s="326"/>
      <c r="Q135" s="326"/>
      <c r="R135" s="326"/>
      <c r="S135" s="326"/>
      <c r="T135" s="326"/>
    </row>
    <row r="136" spans="2:20">
      <c r="B136" s="396" t="s">
        <v>303</v>
      </c>
      <c r="C136" s="397"/>
      <c r="D136" s="483"/>
      <c r="E136" s="484"/>
      <c r="F136" s="484"/>
      <c r="G136" s="484"/>
      <c r="H136" s="485"/>
      <c r="I136" s="491">
        <f>SUM(I134:I135)</f>
        <v>0</v>
      </c>
      <c r="J136" s="491">
        <f>SUM(J134:J135)</f>
        <v>0</v>
      </c>
      <c r="K136" s="491">
        <f>SUM(K134:K135)</f>
        <v>0</v>
      </c>
      <c r="L136" s="491">
        <f>SUM(L134:L135)</f>
        <v>0</v>
      </c>
      <c r="M136" s="495">
        <f>SUM(M134:M135)</f>
        <v>0</v>
      </c>
      <c r="N136" s="326"/>
      <c r="O136" s="326"/>
      <c r="P136" s="326"/>
      <c r="Q136" s="326"/>
      <c r="R136" s="326"/>
      <c r="S136" s="326"/>
      <c r="T136" s="326"/>
    </row>
    <row r="137" spans="2:20" ht="13.5" thickBot="1">
      <c r="B137" s="461" t="s">
        <v>239</v>
      </c>
      <c r="C137" s="412" t="s">
        <v>233</v>
      </c>
      <c r="D137" s="462">
        <f t="shared" ref="D137:M137" si="22">SUM(D114:D115,D118,D120:D121,D124,D126:D127,D130,D132:D133,D136)</f>
        <v>0</v>
      </c>
      <c r="E137" s="463">
        <f t="shared" si="22"/>
        <v>0</v>
      </c>
      <c r="F137" s="463">
        <f t="shared" si="22"/>
        <v>0</v>
      </c>
      <c r="G137" s="463">
        <f t="shared" si="22"/>
        <v>0</v>
      </c>
      <c r="H137" s="464">
        <f t="shared" si="22"/>
        <v>0</v>
      </c>
      <c r="I137" s="462">
        <f t="shared" si="22"/>
        <v>0</v>
      </c>
      <c r="J137" s="463">
        <f t="shared" si="22"/>
        <v>0</v>
      </c>
      <c r="K137" s="463">
        <f t="shared" si="22"/>
        <v>0</v>
      </c>
      <c r="L137" s="463">
        <f t="shared" si="22"/>
        <v>0</v>
      </c>
      <c r="M137" s="492">
        <f t="shared" si="22"/>
        <v>0</v>
      </c>
      <c r="N137" s="465"/>
      <c r="O137" s="326"/>
      <c r="P137" s="326"/>
      <c r="Q137" s="326"/>
      <c r="R137" s="326"/>
      <c r="S137" s="326"/>
      <c r="T137" s="326"/>
    </row>
    <row r="138" spans="2:20">
      <c r="B138" s="493"/>
      <c r="C138" s="386"/>
      <c r="D138" s="387"/>
      <c r="E138" s="387"/>
      <c r="F138" s="387"/>
      <c r="G138" s="387"/>
      <c r="H138" s="387"/>
      <c r="I138" s="387"/>
      <c r="J138" s="387"/>
      <c r="K138" s="387"/>
      <c r="L138" s="387"/>
      <c r="M138" s="387"/>
      <c r="N138" s="326"/>
      <c r="O138" s="387"/>
      <c r="P138" s="387"/>
      <c r="Q138" s="387"/>
      <c r="R138" s="326"/>
      <c r="S138" s="387"/>
      <c r="T138" s="387"/>
    </row>
    <row r="139" spans="2:20">
      <c r="B139" s="493"/>
      <c r="C139" s="386"/>
      <c r="D139" s="387"/>
      <c r="E139" s="387"/>
      <c r="F139" s="387"/>
      <c r="G139" s="387"/>
      <c r="H139" s="387"/>
      <c r="I139" s="387"/>
      <c r="J139" s="387"/>
      <c r="K139" s="387"/>
      <c r="L139" s="387"/>
      <c r="M139" s="387"/>
      <c r="N139" s="326"/>
      <c r="O139" s="387"/>
      <c r="P139" s="387"/>
      <c r="Q139" s="387"/>
      <c r="R139" s="326"/>
      <c r="S139" s="387"/>
      <c r="T139" s="387"/>
    </row>
    <row r="140" spans="2:20">
      <c r="B140" s="493"/>
      <c r="C140" s="386"/>
      <c r="D140" s="387"/>
      <c r="E140" s="387"/>
      <c r="F140" s="387"/>
      <c r="G140" s="387"/>
      <c r="H140" s="387"/>
      <c r="I140" s="387"/>
      <c r="J140" s="387"/>
      <c r="K140" s="387"/>
      <c r="L140" s="387"/>
      <c r="M140" s="387"/>
      <c r="N140" s="326"/>
      <c r="O140" s="387"/>
      <c r="P140" s="387"/>
      <c r="Q140" s="387"/>
      <c r="R140" s="326"/>
      <c r="S140" s="387"/>
      <c r="T140" s="387"/>
    </row>
    <row r="141" spans="2:20">
      <c r="B141" s="385" t="s">
        <v>309</v>
      </c>
      <c r="C141" s="386"/>
      <c r="D141" s="387"/>
      <c r="E141" s="387"/>
      <c r="F141" s="387"/>
      <c r="G141" s="387"/>
      <c r="H141" s="387"/>
      <c r="I141" s="387"/>
      <c r="J141" s="387"/>
      <c r="K141" s="387"/>
      <c r="L141" s="387"/>
      <c r="M141" s="387"/>
      <c r="N141" s="326"/>
      <c r="O141" s="387"/>
      <c r="P141" s="387"/>
      <c r="Q141" s="387"/>
      <c r="R141" s="326"/>
      <c r="S141" s="387"/>
      <c r="T141" s="387"/>
    </row>
    <row r="142" spans="2:20" ht="13.5" thickBot="1">
      <c r="B142" s="385"/>
      <c r="C142" s="386"/>
      <c r="D142" s="387"/>
      <c r="E142" s="387"/>
      <c r="F142" s="387"/>
      <c r="G142" s="387"/>
      <c r="H142" s="387"/>
      <c r="I142" s="387"/>
      <c r="J142" s="387"/>
      <c r="K142" s="387"/>
      <c r="L142" s="387"/>
      <c r="M142" s="387"/>
      <c r="N142" s="326"/>
      <c r="O142" s="387"/>
      <c r="P142" s="387"/>
      <c r="Q142" s="387"/>
      <c r="R142" s="326"/>
      <c r="S142" s="387"/>
      <c r="T142" s="387"/>
    </row>
    <row r="143" spans="2:20">
      <c r="B143" s="1515"/>
      <c r="C143" s="1513" t="s">
        <v>190</v>
      </c>
      <c r="D143" s="328" t="s">
        <v>191</v>
      </c>
      <c r="E143" s="329"/>
      <c r="F143" s="329"/>
      <c r="G143" s="329"/>
      <c r="H143" s="330"/>
      <c r="I143" s="329" t="s">
        <v>192</v>
      </c>
      <c r="J143" s="331"/>
      <c r="K143" s="331"/>
      <c r="L143" s="331"/>
      <c r="M143" s="330"/>
      <c r="N143" s="326"/>
      <c r="O143" s="332" t="s">
        <v>191</v>
      </c>
      <c r="P143" s="333"/>
      <c r="Q143" s="334"/>
      <c r="R143" s="326"/>
      <c r="S143" s="332" t="s">
        <v>192</v>
      </c>
      <c r="T143" s="334"/>
    </row>
    <row r="144" spans="2:20">
      <c r="B144" s="1516"/>
      <c r="C144" s="1514"/>
      <c r="D144" s="335" t="s">
        <v>79</v>
      </c>
      <c r="E144" s="336" t="s">
        <v>80</v>
      </c>
      <c r="F144" s="336" t="s">
        <v>81</v>
      </c>
      <c r="G144" s="336" t="s">
        <v>82</v>
      </c>
      <c r="H144" s="337" t="s">
        <v>44</v>
      </c>
      <c r="I144" s="338" t="s">
        <v>193</v>
      </c>
      <c r="J144" s="336" t="s">
        <v>194</v>
      </c>
      <c r="K144" s="336" t="s">
        <v>195</v>
      </c>
      <c r="L144" s="336" t="s">
        <v>196</v>
      </c>
      <c r="M144" s="337" t="s">
        <v>197</v>
      </c>
      <c r="N144" s="326"/>
      <c r="O144" s="339" t="s">
        <v>198</v>
      </c>
      <c r="P144" s="340" t="s">
        <v>199</v>
      </c>
      <c r="Q144" s="341" t="s">
        <v>200</v>
      </c>
      <c r="R144" s="326"/>
      <c r="S144" s="339" t="s">
        <v>199</v>
      </c>
      <c r="T144" s="341" t="s">
        <v>201</v>
      </c>
    </row>
    <row r="145" spans="2:20">
      <c r="B145" s="496" t="s">
        <v>242</v>
      </c>
      <c r="C145" s="497"/>
      <c r="D145" s="416"/>
      <c r="E145" s="417"/>
      <c r="F145" s="417"/>
      <c r="G145" s="417"/>
      <c r="H145" s="418"/>
      <c r="I145" s="420"/>
      <c r="J145" s="420"/>
      <c r="K145" s="420"/>
      <c r="L145" s="420"/>
      <c r="M145" s="421"/>
      <c r="N145" s="326"/>
      <c r="O145" s="419"/>
      <c r="P145" s="420"/>
      <c r="Q145" s="421"/>
      <c r="R145" s="326"/>
      <c r="S145" s="419"/>
      <c r="T145" s="421"/>
    </row>
    <row r="146" spans="2:20">
      <c r="B146" s="388" t="s">
        <v>243</v>
      </c>
      <c r="C146" s="389"/>
      <c r="D146" s="390"/>
      <c r="E146" s="391"/>
      <c r="F146" s="391"/>
      <c r="G146" s="391"/>
      <c r="H146" s="392"/>
      <c r="I146" s="391"/>
      <c r="J146" s="391"/>
      <c r="K146" s="391"/>
      <c r="L146" s="391"/>
      <c r="M146" s="392"/>
      <c r="N146" s="326"/>
      <c r="O146" s="393"/>
      <c r="P146" s="394"/>
      <c r="Q146" s="395"/>
      <c r="R146" s="326"/>
      <c r="S146" s="390"/>
      <c r="T146" s="392"/>
    </row>
    <row r="147" spans="2:20">
      <c r="B147" s="396" t="s">
        <v>283</v>
      </c>
      <c r="C147" s="397" t="s">
        <v>203</v>
      </c>
      <c r="D147" s="498"/>
      <c r="E147" s="499"/>
      <c r="F147" s="499"/>
      <c r="G147" s="499"/>
      <c r="H147" s="500"/>
      <c r="I147" s="375"/>
      <c r="J147" s="377"/>
      <c r="K147" s="377"/>
      <c r="L147" s="377"/>
      <c r="M147" s="376"/>
      <c r="N147" s="326"/>
      <c r="O147" s="367"/>
      <c r="P147" s="368"/>
      <c r="Q147" s="369"/>
      <c r="R147" s="326"/>
      <c r="S147" s="367"/>
      <c r="T147" s="370"/>
    </row>
    <row r="148" spans="2:20">
      <c r="B148" s="396" t="s">
        <v>310</v>
      </c>
      <c r="C148" s="397" t="s">
        <v>311</v>
      </c>
      <c r="D148" s="501"/>
      <c r="E148" s="502"/>
      <c r="F148" s="502"/>
      <c r="G148" s="502"/>
      <c r="H148" s="503"/>
      <c r="I148" s="504"/>
      <c r="J148" s="505"/>
      <c r="K148" s="505"/>
      <c r="L148" s="505"/>
      <c r="M148" s="506"/>
      <c r="N148" s="326"/>
      <c r="O148" s="367"/>
      <c r="P148" s="368"/>
      <c r="Q148" s="369"/>
      <c r="R148" s="326"/>
      <c r="S148" s="367"/>
      <c r="T148" s="370"/>
    </row>
    <row r="149" spans="2:20">
      <c r="B149" s="396" t="s">
        <v>312</v>
      </c>
      <c r="C149" s="397" t="s">
        <v>311</v>
      </c>
      <c r="D149" s="501"/>
      <c r="E149" s="502"/>
      <c r="F149" s="502"/>
      <c r="G149" s="502"/>
      <c r="H149" s="503"/>
      <c r="I149" s="507">
        <f>1-I148</f>
        <v>1</v>
      </c>
      <c r="J149" s="508">
        <f>1-J148</f>
        <v>1</v>
      </c>
      <c r="K149" s="508">
        <f>1-K148</f>
        <v>1</v>
      </c>
      <c r="L149" s="508">
        <f>1-L148</f>
        <v>1</v>
      </c>
      <c r="M149" s="509">
        <f>1-M148</f>
        <v>1</v>
      </c>
      <c r="N149" s="326"/>
      <c r="O149" s="367"/>
      <c r="P149" s="368"/>
      <c r="Q149" s="369"/>
      <c r="R149" s="326"/>
      <c r="S149" s="367"/>
      <c r="T149" s="370"/>
    </row>
    <row r="150" spans="2:20">
      <c r="B150" s="396" t="s">
        <v>284</v>
      </c>
      <c r="C150" s="397" t="s">
        <v>203</v>
      </c>
      <c r="D150" s="498"/>
      <c r="E150" s="499"/>
      <c r="F150" s="499"/>
      <c r="G150" s="499"/>
      <c r="H150" s="500"/>
      <c r="I150" s="375"/>
      <c r="J150" s="377"/>
      <c r="K150" s="377"/>
      <c r="L150" s="377"/>
      <c r="M150" s="376"/>
      <c r="N150" s="326"/>
      <c r="O150" s="367"/>
      <c r="P150" s="368"/>
      <c r="Q150" s="369"/>
      <c r="R150" s="326"/>
      <c r="S150" s="367"/>
      <c r="T150" s="370"/>
    </row>
    <row r="151" spans="2:20">
      <c r="B151" s="396" t="s">
        <v>313</v>
      </c>
      <c r="C151" s="397" t="s">
        <v>311</v>
      </c>
      <c r="D151" s="498"/>
      <c r="E151" s="499"/>
      <c r="F151" s="499"/>
      <c r="G151" s="499"/>
      <c r="H151" s="500"/>
      <c r="I151" s="375"/>
      <c r="J151" s="377"/>
      <c r="K151" s="377"/>
      <c r="L151" s="377"/>
      <c r="M151" s="376"/>
      <c r="N151" s="326"/>
      <c r="O151" s="367"/>
      <c r="P151" s="368"/>
      <c r="Q151" s="369"/>
      <c r="R151" s="326"/>
      <c r="S151" s="367"/>
      <c r="T151" s="370"/>
    </row>
    <row r="152" spans="2:20">
      <c r="B152" s="396" t="s">
        <v>314</v>
      </c>
      <c r="C152" s="397" t="s">
        <v>311</v>
      </c>
      <c r="D152" s="501"/>
      <c r="E152" s="502"/>
      <c r="F152" s="502"/>
      <c r="G152" s="502"/>
      <c r="H152" s="503"/>
      <c r="I152" s="507">
        <f>1-I151</f>
        <v>1</v>
      </c>
      <c r="J152" s="508">
        <f>1-J151</f>
        <v>1</v>
      </c>
      <c r="K152" s="508">
        <f>1-K151</f>
        <v>1</v>
      </c>
      <c r="L152" s="508">
        <f>1-L151</f>
        <v>1</v>
      </c>
      <c r="M152" s="509">
        <f>1-M151</f>
        <v>1</v>
      </c>
      <c r="N152" s="326"/>
      <c r="O152" s="367"/>
      <c r="P152" s="368"/>
      <c r="Q152" s="369"/>
      <c r="R152" s="326"/>
      <c r="S152" s="367"/>
      <c r="T152" s="370"/>
    </row>
    <row r="153" spans="2:20">
      <c r="B153" s="404" t="s">
        <v>246</v>
      </c>
      <c r="C153" s="397" t="s">
        <v>203</v>
      </c>
      <c r="D153" s="356"/>
      <c r="E153" s="375"/>
      <c r="F153" s="375"/>
      <c r="G153" s="375"/>
      <c r="H153" s="376"/>
      <c r="I153" s="405">
        <f>SUM(I147,I150)</f>
        <v>0</v>
      </c>
      <c r="J153" s="348">
        <f>SUM(J147,J150)</f>
        <v>0</v>
      </c>
      <c r="K153" s="348">
        <f>SUM(K147,K150)</f>
        <v>0</v>
      </c>
      <c r="L153" s="348">
        <f>SUM(L147,L150)</f>
        <v>0</v>
      </c>
      <c r="M153" s="349">
        <f>SUM(M147,M150)</f>
        <v>0</v>
      </c>
      <c r="N153" s="326"/>
      <c r="O153" s="347">
        <f>SUM(D153:G153)</f>
        <v>0</v>
      </c>
      <c r="P153" s="348">
        <f>SUM(H153)</f>
        <v>0</v>
      </c>
      <c r="Q153" s="349">
        <f>SUM(D153:H153)</f>
        <v>0</v>
      </c>
      <c r="R153" s="326"/>
      <c r="S153" s="347">
        <f>SUM(I153:M153)</f>
        <v>0</v>
      </c>
      <c r="T153" s="156" t="str">
        <f>IF(Q153&lt;&gt;0,(S153-Q153)/Q153,"0")</f>
        <v>0</v>
      </c>
    </row>
    <row r="154" spans="2:20">
      <c r="B154" s="388" t="s">
        <v>315</v>
      </c>
      <c r="C154" s="406"/>
      <c r="D154" s="407"/>
      <c r="E154" s="408"/>
      <c r="F154" s="408"/>
      <c r="G154" s="408"/>
      <c r="H154" s="409"/>
      <c r="I154" s="408"/>
      <c r="J154" s="408"/>
      <c r="K154" s="408"/>
      <c r="L154" s="408"/>
      <c r="M154" s="409"/>
      <c r="N154" s="326"/>
      <c r="O154" s="410"/>
      <c r="P154" s="408"/>
      <c r="Q154" s="409"/>
      <c r="R154" s="326"/>
      <c r="S154" s="407"/>
      <c r="T154" s="409"/>
    </row>
    <row r="155" spans="2:20">
      <c r="B155" s="396" t="s">
        <v>285</v>
      </c>
      <c r="C155" s="397" t="s">
        <v>203</v>
      </c>
      <c r="D155" s="498"/>
      <c r="E155" s="499"/>
      <c r="F155" s="499"/>
      <c r="G155" s="499"/>
      <c r="H155" s="500"/>
      <c r="I155" s="375"/>
      <c r="J155" s="377"/>
      <c r="K155" s="377"/>
      <c r="L155" s="377"/>
      <c r="M155" s="376"/>
      <c r="N155" s="326"/>
      <c r="O155" s="367"/>
      <c r="P155" s="368"/>
      <c r="Q155" s="369"/>
      <c r="R155" s="326"/>
      <c r="S155" s="367"/>
      <c r="T155" s="370"/>
    </row>
    <row r="156" spans="2:20">
      <c r="B156" s="396" t="s">
        <v>316</v>
      </c>
      <c r="C156" s="397" t="s">
        <v>311</v>
      </c>
      <c r="D156" s="501"/>
      <c r="E156" s="502"/>
      <c r="F156" s="502"/>
      <c r="G156" s="502"/>
      <c r="H156" s="503"/>
      <c r="I156" s="504"/>
      <c r="J156" s="505"/>
      <c r="K156" s="505"/>
      <c r="L156" s="505"/>
      <c r="M156" s="506"/>
      <c r="N156" s="326"/>
      <c r="O156" s="367"/>
      <c r="P156" s="368"/>
      <c r="Q156" s="369"/>
      <c r="R156" s="326"/>
      <c r="S156" s="367"/>
      <c r="T156" s="370"/>
    </row>
    <row r="157" spans="2:20">
      <c r="B157" s="396" t="s">
        <v>317</v>
      </c>
      <c r="C157" s="397" t="s">
        <v>311</v>
      </c>
      <c r="D157" s="501"/>
      <c r="E157" s="502"/>
      <c r="F157" s="502"/>
      <c r="G157" s="502"/>
      <c r="H157" s="503"/>
      <c r="I157" s="507">
        <f>1-I156</f>
        <v>1</v>
      </c>
      <c r="J157" s="508">
        <f>1-J156</f>
        <v>1</v>
      </c>
      <c r="K157" s="508">
        <f>1-K156</f>
        <v>1</v>
      </c>
      <c r="L157" s="508">
        <f>1-L156</f>
        <v>1</v>
      </c>
      <c r="M157" s="509">
        <f>1-M156</f>
        <v>1</v>
      </c>
      <c r="N157" s="326"/>
      <c r="O157" s="367"/>
      <c r="P157" s="368"/>
      <c r="Q157" s="369"/>
      <c r="R157" s="326"/>
      <c r="S157" s="367"/>
      <c r="T157" s="370"/>
    </row>
    <row r="158" spans="2:20">
      <c r="B158" s="396" t="s">
        <v>286</v>
      </c>
      <c r="C158" s="397" t="s">
        <v>203</v>
      </c>
      <c r="D158" s="498"/>
      <c r="E158" s="499"/>
      <c r="F158" s="499"/>
      <c r="G158" s="499"/>
      <c r="H158" s="500"/>
      <c r="I158" s="375"/>
      <c r="J158" s="377"/>
      <c r="K158" s="377"/>
      <c r="L158" s="377"/>
      <c r="M158" s="376"/>
      <c r="N158" s="326"/>
      <c r="O158" s="367"/>
      <c r="P158" s="368"/>
      <c r="Q158" s="369"/>
      <c r="R158" s="326"/>
      <c r="S158" s="367"/>
      <c r="T158" s="370"/>
    </row>
    <row r="159" spans="2:20">
      <c r="B159" s="396" t="s">
        <v>318</v>
      </c>
      <c r="C159" s="397" t="s">
        <v>311</v>
      </c>
      <c r="D159" s="498"/>
      <c r="E159" s="499"/>
      <c r="F159" s="499"/>
      <c r="G159" s="499"/>
      <c r="H159" s="500"/>
      <c r="I159" s="375"/>
      <c r="J159" s="377"/>
      <c r="K159" s="377"/>
      <c r="L159" s="377"/>
      <c r="M159" s="376"/>
      <c r="N159" s="326"/>
      <c r="O159" s="367"/>
      <c r="P159" s="368"/>
      <c r="Q159" s="369"/>
      <c r="R159" s="326"/>
      <c r="S159" s="367"/>
      <c r="T159" s="370"/>
    </row>
    <row r="160" spans="2:20">
      <c r="B160" s="396" t="s">
        <v>319</v>
      </c>
      <c r="C160" s="397" t="s">
        <v>311</v>
      </c>
      <c r="D160" s="501"/>
      <c r="E160" s="502"/>
      <c r="F160" s="502"/>
      <c r="G160" s="502"/>
      <c r="H160" s="503"/>
      <c r="I160" s="507">
        <f>1-I159</f>
        <v>1</v>
      </c>
      <c r="J160" s="508">
        <f>1-J159</f>
        <v>1</v>
      </c>
      <c r="K160" s="508">
        <f>1-K159</f>
        <v>1</v>
      </c>
      <c r="L160" s="508">
        <f>1-L159</f>
        <v>1</v>
      </c>
      <c r="M160" s="509">
        <f>1-M159</f>
        <v>1</v>
      </c>
      <c r="N160" s="326"/>
      <c r="O160" s="367"/>
      <c r="P160" s="368"/>
      <c r="Q160" s="369"/>
      <c r="R160" s="326"/>
      <c r="S160" s="367"/>
      <c r="T160" s="370"/>
    </row>
    <row r="161" spans="2:20">
      <c r="B161" s="404" t="s">
        <v>248</v>
      </c>
      <c r="C161" s="397" t="s">
        <v>203</v>
      </c>
      <c r="D161" s="356"/>
      <c r="E161" s="375"/>
      <c r="F161" s="375"/>
      <c r="G161" s="375"/>
      <c r="H161" s="376"/>
      <c r="I161" s="405">
        <f>SUM(I155,I158)</f>
        <v>0</v>
      </c>
      <c r="J161" s="348">
        <f>SUM(J155,J158)</f>
        <v>0</v>
      </c>
      <c r="K161" s="348">
        <f>SUM(K155,K158)</f>
        <v>0</v>
      </c>
      <c r="L161" s="348">
        <f>SUM(L155,L158)</f>
        <v>0</v>
      </c>
      <c r="M161" s="349">
        <f>SUM(M155,M158)</f>
        <v>0</v>
      </c>
      <c r="N161" s="326"/>
      <c r="O161" s="347">
        <f>SUM(D161:G161)</f>
        <v>0</v>
      </c>
      <c r="P161" s="348">
        <f>SUM(H161)</f>
        <v>0</v>
      </c>
      <c r="Q161" s="349">
        <f>SUM(D161:H161)</f>
        <v>0</v>
      </c>
      <c r="R161" s="326"/>
      <c r="S161" s="347">
        <f>SUM(I161:M161)</f>
        <v>0</v>
      </c>
      <c r="T161" s="156" t="str">
        <f>IF(Q161&lt;&gt;0,(S161-Q161)/Q161,"0")</f>
        <v>0</v>
      </c>
    </row>
    <row r="162" spans="2:20">
      <c r="B162" s="388" t="s">
        <v>320</v>
      </c>
      <c r="C162" s="406"/>
      <c r="D162" s="407"/>
      <c r="E162" s="408"/>
      <c r="F162" s="408"/>
      <c r="G162" s="408"/>
      <c r="H162" s="409"/>
      <c r="I162" s="408"/>
      <c r="J162" s="408"/>
      <c r="K162" s="408"/>
      <c r="L162" s="408"/>
      <c r="M162" s="409"/>
      <c r="N162" s="326"/>
      <c r="O162" s="407"/>
      <c r="P162" s="408"/>
      <c r="Q162" s="409"/>
      <c r="R162" s="326"/>
      <c r="S162" s="407"/>
      <c r="T162" s="409"/>
    </row>
    <row r="163" spans="2:20">
      <c r="B163" s="396" t="s">
        <v>287</v>
      </c>
      <c r="C163" s="397" t="s">
        <v>203</v>
      </c>
      <c r="D163" s="498"/>
      <c r="E163" s="499"/>
      <c r="F163" s="499"/>
      <c r="G163" s="499"/>
      <c r="H163" s="500"/>
      <c r="I163" s="375"/>
      <c r="J163" s="377"/>
      <c r="K163" s="377"/>
      <c r="L163" s="377"/>
      <c r="M163" s="376"/>
      <c r="N163" s="326"/>
      <c r="O163" s="367"/>
      <c r="P163" s="368"/>
      <c r="Q163" s="369"/>
      <c r="R163" s="326"/>
      <c r="S163" s="367"/>
      <c r="T163" s="370"/>
    </row>
    <row r="164" spans="2:20">
      <c r="B164" s="396" t="s">
        <v>321</v>
      </c>
      <c r="C164" s="397" t="s">
        <v>311</v>
      </c>
      <c r="D164" s="501"/>
      <c r="E164" s="502"/>
      <c r="F164" s="502"/>
      <c r="G164" s="502"/>
      <c r="H164" s="503"/>
      <c r="I164" s="504"/>
      <c r="J164" s="505"/>
      <c r="K164" s="505"/>
      <c r="L164" s="505"/>
      <c r="M164" s="506"/>
      <c r="N164" s="326"/>
      <c r="O164" s="367"/>
      <c r="P164" s="368"/>
      <c r="Q164" s="369"/>
      <c r="R164" s="326"/>
      <c r="S164" s="367"/>
      <c r="T164" s="370"/>
    </row>
    <row r="165" spans="2:20">
      <c r="B165" s="396" t="s">
        <v>322</v>
      </c>
      <c r="C165" s="397" t="s">
        <v>311</v>
      </c>
      <c r="D165" s="501"/>
      <c r="E165" s="502"/>
      <c r="F165" s="502"/>
      <c r="G165" s="502"/>
      <c r="H165" s="503"/>
      <c r="I165" s="507">
        <f>1-I164</f>
        <v>1</v>
      </c>
      <c r="J165" s="508">
        <f>1-J164</f>
        <v>1</v>
      </c>
      <c r="K165" s="508">
        <f>1-K164</f>
        <v>1</v>
      </c>
      <c r="L165" s="508">
        <f>1-L164</f>
        <v>1</v>
      </c>
      <c r="M165" s="509">
        <f>1-M164</f>
        <v>1</v>
      </c>
      <c r="N165" s="326"/>
      <c r="O165" s="367"/>
      <c r="P165" s="368"/>
      <c r="Q165" s="369"/>
      <c r="R165" s="326"/>
      <c r="S165" s="367"/>
      <c r="T165" s="370"/>
    </row>
    <row r="166" spans="2:20">
      <c r="B166" s="396" t="s">
        <v>288</v>
      </c>
      <c r="C166" s="397" t="s">
        <v>203</v>
      </c>
      <c r="D166" s="498"/>
      <c r="E166" s="499"/>
      <c r="F166" s="499"/>
      <c r="G166" s="499"/>
      <c r="H166" s="500"/>
      <c r="I166" s="375"/>
      <c r="J166" s="377"/>
      <c r="K166" s="377"/>
      <c r="L166" s="377"/>
      <c r="M166" s="376"/>
      <c r="N166" s="326"/>
      <c r="O166" s="367"/>
      <c r="P166" s="368"/>
      <c r="Q166" s="369"/>
      <c r="R166" s="326"/>
      <c r="S166" s="367"/>
      <c r="T166" s="370"/>
    </row>
    <row r="167" spans="2:20">
      <c r="B167" s="396" t="s">
        <v>323</v>
      </c>
      <c r="C167" s="397" t="s">
        <v>311</v>
      </c>
      <c r="D167" s="510"/>
      <c r="E167" s="511"/>
      <c r="F167" s="511"/>
      <c r="G167" s="511"/>
      <c r="H167" s="512"/>
      <c r="I167" s="513"/>
      <c r="J167" s="514"/>
      <c r="K167" s="514"/>
      <c r="L167" s="514"/>
      <c r="M167" s="515"/>
      <c r="N167" s="326"/>
      <c r="O167" s="367"/>
      <c r="P167" s="368"/>
      <c r="Q167" s="369"/>
      <c r="R167" s="326"/>
      <c r="S167" s="367"/>
      <c r="T167" s="370"/>
    </row>
    <row r="168" spans="2:20">
      <c r="B168" s="396" t="s">
        <v>324</v>
      </c>
      <c r="C168" s="397" t="s">
        <v>311</v>
      </c>
      <c r="D168" s="501"/>
      <c r="E168" s="502"/>
      <c r="F168" s="502"/>
      <c r="G168" s="502"/>
      <c r="H168" s="503"/>
      <c r="I168" s="507">
        <f>1-I167</f>
        <v>1</v>
      </c>
      <c r="J168" s="508">
        <f>1-J167</f>
        <v>1</v>
      </c>
      <c r="K168" s="508">
        <f>1-K167</f>
        <v>1</v>
      </c>
      <c r="L168" s="508">
        <f>1-L167</f>
        <v>1</v>
      </c>
      <c r="M168" s="509">
        <f>1-M167</f>
        <v>1</v>
      </c>
      <c r="N168" s="326"/>
      <c r="O168" s="367"/>
      <c r="P168" s="368"/>
      <c r="Q168" s="369"/>
      <c r="R168" s="326"/>
      <c r="S168" s="367"/>
      <c r="T168" s="370"/>
    </row>
    <row r="169" spans="2:20">
      <c r="B169" s="404" t="s">
        <v>250</v>
      </c>
      <c r="C169" s="397" t="s">
        <v>203</v>
      </c>
      <c r="D169" s="356"/>
      <c r="E169" s="375"/>
      <c r="F169" s="375"/>
      <c r="G169" s="375"/>
      <c r="H169" s="376"/>
      <c r="I169" s="405">
        <f>SUM(I163,I166)</f>
        <v>0</v>
      </c>
      <c r="J169" s="348">
        <f>SUM(J163,J166)</f>
        <v>0</v>
      </c>
      <c r="K169" s="348">
        <f>SUM(K163,K166)</f>
        <v>0</v>
      </c>
      <c r="L169" s="348">
        <f>SUM(L163,L166)</f>
        <v>0</v>
      </c>
      <c r="M169" s="349">
        <f>SUM(M163,M166)</f>
        <v>0</v>
      </c>
      <c r="N169" s="326"/>
      <c r="O169" s="347">
        <f>SUM(D169:G169)</f>
        <v>0</v>
      </c>
      <c r="P169" s="348">
        <f>SUM(H169)</f>
        <v>0</v>
      </c>
      <c r="Q169" s="349">
        <f>SUM(D169:H169)</f>
        <v>0</v>
      </c>
      <c r="R169" s="326"/>
      <c r="S169" s="347">
        <f>SUM(I169:M169)</f>
        <v>0</v>
      </c>
      <c r="T169" s="156" t="str">
        <f>IF(Q169&lt;&gt;0,(S169-Q169)/Q169,"0")</f>
        <v>0</v>
      </c>
    </row>
    <row r="170" spans="2:20">
      <c r="B170" s="388" t="s">
        <v>325</v>
      </c>
      <c r="C170" s="406"/>
      <c r="D170" s="407"/>
      <c r="E170" s="408"/>
      <c r="F170" s="408"/>
      <c r="G170" s="408"/>
      <c r="H170" s="409"/>
      <c r="I170" s="408"/>
      <c r="J170" s="408"/>
      <c r="K170" s="408"/>
      <c r="L170" s="408"/>
      <c r="M170" s="409"/>
      <c r="N170" s="326"/>
      <c r="O170" s="407"/>
      <c r="P170" s="408"/>
      <c r="Q170" s="409"/>
      <c r="R170" s="326"/>
      <c r="S170" s="407"/>
      <c r="T170" s="409"/>
    </row>
    <row r="171" spans="2:20">
      <c r="B171" s="396" t="s">
        <v>289</v>
      </c>
      <c r="C171" s="397" t="s">
        <v>203</v>
      </c>
      <c r="D171" s="498"/>
      <c r="E171" s="499"/>
      <c r="F171" s="499"/>
      <c r="G171" s="499"/>
      <c r="H171" s="500"/>
      <c r="I171" s="375"/>
      <c r="J171" s="377"/>
      <c r="K171" s="377"/>
      <c r="L171" s="377"/>
      <c r="M171" s="376"/>
      <c r="N171" s="326"/>
      <c r="O171" s="367"/>
      <c r="P171" s="368"/>
      <c r="Q171" s="369"/>
      <c r="R171" s="326"/>
      <c r="S171" s="367"/>
      <c r="T171" s="370"/>
    </row>
    <row r="172" spans="2:20">
      <c r="B172" s="396" t="s">
        <v>326</v>
      </c>
      <c r="C172" s="397" t="s">
        <v>311</v>
      </c>
      <c r="D172" s="501"/>
      <c r="E172" s="502"/>
      <c r="F172" s="502"/>
      <c r="G172" s="502"/>
      <c r="H172" s="503"/>
      <c r="I172" s="504"/>
      <c r="J172" s="505"/>
      <c r="K172" s="505"/>
      <c r="L172" s="505"/>
      <c r="M172" s="506"/>
      <c r="N172" s="326"/>
      <c r="O172" s="367"/>
      <c r="P172" s="368"/>
      <c r="Q172" s="369"/>
      <c r="R172" s="326"/>
      <c r="S172" s="367"/>
      <c r="T172" s="370"/>
    </row>
    <row r="173" spans="2:20">
      <c r="B173" s="396" t="s">
        <v>327</v>
      </c>
      <c r="C173" s="397" t="s">
        <v>311</v>
      </c>
      <c r="D173" s="501"/>
      <c r="E173" s="502"/>
      <c r="F173" s="502"/>
      <c r="G173" s="502"/>
      <c r="H173" s="503"/>
      <c r="I173" s="507">
        <f>1-I172</f>
        <v>1</v>
      </c>
      <c r="J173" s="508">
        <f>1-J172</f>
        <v>1</v>
      </c>
      <c r="K173" s="508">
        <f>1-K172</f>
        <v>1</v>
      </c>
      <c r="L173" s="508">
        <f>1-L172</f>
        <v>1</v>
      </c>
      <c r="M173" s="509">
        <f>1-M172</f>
        <v>1</v>
      </c>
      <c r="N173" s="326"/>
      <c r="O173" s="367"/>
      <c r="P173" s="368"/>
      <c r="Q173" s="369"/>
      <c r="R173" s="326"/>
      <c r="S173" s="367"/>
      <c r="T173" s="370"/>
    </row>
    <row r="174" spans="2:20">
      <c r="B174" s="396" t="s">
        <v>290</v>
      </c>
      <c r="C174" s="397" t="s">
        <v>203</v>
      </c>
      <c r="D174" s="498"/>
      <c r="E174" s="499"/>
      <c r="F174" s="499"/>
      <c r="G174" s="499"/>
      <c r="H174" s="500"/>
      <c r="I174" s="375"/>
      <c r="J174" s="377"/>
      <c r="K174" s="377"/>
      <c r="L174" s="377"/>
      <c r="M174" s="376"/>
      <c r="N174" s="326"/>
      <c r="O174" s="367"/>
      <c r="P174" s="368"/>
      <c r="Q174" s="369"/>
      <c r="R174" s="326"/>
      <c r="S174" s="367"/>
      <c r="T174" s="370"/>
    </row>
    <row r="175" spans="2:20">
      <c r="B175" s="396" t="s">
        <v>328</v>
      </c>
      <c r="C175" s="397" t="s">
        <v>311</v>
      </c>
      <c r="D175" s="510"/>
      <c r="E175" s="511"/>
      <c r="F175" s="511"/>
      <c r="G175" s="511"/>
      <c r="H175" s="512"/>
      <c r="I175" s="513"/>
      <c r="J175" s="514"/>
      <c r="K175" s="514"/>
      <c r="L175" s="514"/>
      <c r="M175" s="515"/>
      <c r="N175" s="326"/>
      <c r="O175" s="367"/>
      <c r="P175" s="368"/>
      <c r="Q175" s="369"/>
      <c r="R175" s="326"/>
      <c r="S175" s="367"/>
      <c r="T175" s="370"/>
    </row>
    <row r="176" spans="2:20">
      <c r="B176" s="396" t="s">
        <v>329</v>
      </c>
      <c r="C176" s="397" t="s">
        <v>311</v>
      </c>
      <c r="D176" s="501"/>
      <c r="E176" s="502"/>
      <c r="F176" s="502"/>
      <c r="G176" s="502"/>
      <c r="H176" s="503"/>
      <c r="I176" s="507">
        <f>1-I175</f>
        <v>1</v>
      </c>
      <c r="J176" s="508">
        <f>1-J175</f>
        <v>1</v>
      </c>
      <c r="K176" s="508">
        <f>1-K175</f>
        <v>1</v>
      </c>
      <c r="L176" s="508">
        <f>1-L175</f>
        <v>1</v>
      </c>
      <c r="M176" s="509">
        <f>1-M175</f>
        <v>1</v>
      </c>
      <c r="N176" s="326"/>
      <c r="O176" s="367"/>
      <c r="P176" s="368"/>
      <c r="Q176" s="369"/>
      <c r="R176" s="326"/>
      <c r="S176" s="367"/>
      <c r="T176" s="370"/>
    </row>
    <row r="177" spans="2:20">
      <c r="B177" s="516" t="s">
        <v>252</v>
      </c>
      <c r="C177" s="397" t="s">
        <v>203</v>
      </c>
      <c r="D177" s="517"/>
      <c r="E177" s="518"/>
      <c r="F177" s="518"/>
      <c r="G177" s="518"/>
      <c r="H177" s="519"/>
      <c r="I177" s="520">
        <f>SUM(I171,I174)</f>
        <v>0</v>
      </c>
      <c r="J177" s="521">
        <f>SUM(J171,J174)</f>
        <v>0</v>
      </c>
      <c r="K177" s="521">
        <f>SUM(K171,K174)</f>
        <v>0</v>
      </c>
      <c r="L177" s="521">
        <f>SUM(L171,L174)</f>
        <v>0</v>
      </c>
      <c r="M177" s="522">
        <f>SUM(M171,M174)</f>
        <v>0</v>
      </c>
      <c r="N177" s="326"/>
      <c r="O177" s="347">
        <f>SUM(D177:G177)</f>
        <v>0</v>
      </c>
      <c r="P177" s="348">
        <f>SUM(H177)</f>
        <v>0</v>
      </c>
      <c r="Q177" s="349">
        <f>SUM(D177:H177)</f>
        <v>0</v>
      </c>
      <c r="R177" s="326"/>
      <c r="S177" s="347">
        <f>SUM(I177:M177)</f>
        <v>0</v>
      </c>
      <c r="T177" s="156" t="str">
        <f>IF(Q177&lt;&gt;0,(S177-Q177)/Q177,"0")</f>
        <v>0</v>
      </c>
    </row>
    <row r="178" spans="2:20" ht="13.5" thickBot="1">
      <c r="B178" s="523" t="s">
        <v>330</v>
      </c>
      <c r="C178" s="524"/>
      <c r="D178" s="525">
        <f t="shared" ref="D178:M178" si="23">SUM(D153,D161,D169,D177)</f>
        <v>0</v>
      </c>
      <c r="E178" s="525">
        <f t="shared" si="23"/>
        <v>0</v>
      </c>
      <c r="F178" s="525">
        <f t="shared" si="23"/>
        <v>0</v>
      </c>
      <c r="G178" s="525">
        <f t="shared" si="23"/>
        <v>0</v>
      </c>
      <c r="H178" s="525">
        <f t="shared" si="23"/>
        <v>0</v>
      </c>
      <c r="I178" s="526">
        <f t="shared" si="23"/>
        <v>0</v>
      </c>
      <c r="J178" s="526">
        <f t="shared" si="23"/>
        <v>0</v>
      </c>
      <c r="K178" s="526">
        <f t="shared" si="23"/>
        <v>0</v>
      </c>
      <c r="L178" s="526">
        <f t="shared" si="23"/>
        <v>0</v>
      </c>
      <c r="M178" s="527">
        <f t="shared" si="23"/>
        <v>0</v>
      </c>
      <c r="N178" s="326"/>
      <c r="O178" s="382">
        <f>SUM(O153,O161,O169,O177)</f>
        <v>0</v>
      </c>
      <c r="P178" s="383">
        <f>SUM(P153,P161,P169,P177)</f>
        <v>0</v>
      </c>
      <c r="Q178" s="384">
        <f>SUM(Q153,Q161,Q169,Q177)</f>
        <v>0</v>
      </c>
      <c r="R178" s="326"/>
      <c r="S178" s="382">
        <f>SUM(S153,S161,S169,S177)</f>
        <v>0</v>
      </c>
      <c r="T178" s="175" t="str">
        <f>IF(Q178&lt;&gt;0,(S178-Q178)/Q178,"0")</f>
        <v>0</v>
      </c>
    </row>
    <row r="179" spans="2:20">
      <c r="C179" s="323"/>
      <c r="D179" s="323"/>
      <c r="E179" s="323"/>
      <c r="F179" s="323"/>
      <c r="G179" s="323"/>
      <c r="H179" s="323"/>
      <c r="I179" s="323"/>
      <c r="J179" s="323"/>
      <c r="K179" s="323"/>
      <c r="L179" s="323"/>
      <c r="M179" s="323"/>
      <c r="N179" s="323"/>
      <c r="O179" s="323"/>
      <c r="P179" s="323"/>
      <c r="Q179" s="323"/>
      <c r="R179" s="323"/>
      <c r="S179" s="323"/>
      <c r="T179" s="323"/>
    </row>
    <row r="180" spans="2:20">
      <c r="B180" s="385" t="s">
        <v>331</v>
      </c>
      <c r="C180" s="386"/>
      <c r="D180" s="387"/>
      <c r="E180" s="387"/>
      <c r="F180" s="387"/>
      <c r="G180" s="387"/>
      <c r="H180" s="387"/>
      <c r="I180" s="387"/>
      <c r="J180" s="387"/>
      <c r="K180" s="387"/>
      <c r="L180" s="387"/>
      <c r="M180" s="387"/>
      <c r="N180" s="326"/>
      <c r="O180" s="387"/>
      <c r="P180" s="387"/>
      <c r="Q180" s="387"/>
      <c r="R180" s="326"/>
      <c r="S180" s="387"/>
      <c r="T180" s="387"/>
    </row>
    <row r="181" spans="2:20" ht="13.5" thickBot="1">
      <c r="B181" s="385"/>
      <c r="C181" s="386"/>
      <c r="D181" s="387"/>
      <c r="E181" s="387"/>
      <c r="F181" s="387"/>
      <c r="G181" s="387"/>
      <c r="H181" s="387"/>
      <c r="I181" s="387"/>
      <c r="J181" s="387"/>
      <c r="K181" s="387"/>
      <c r="L181" s="387"/>
      <c r="M181" s="387"/>
      <c r="N181" s="326"/>
      <c r="O181" s="387"/>
      <c r="P181" s="387"/>
      <c r="Q181" s="387"/>
      <c r="R181" s="326"/>
      <c r="S181" s="387"/>
      <c r="T181" s="387"/>
    </row>
    <row r="182" spans="2:20">
      <c r="B182" s="528"/>
      <c r="C182" s="529"/>
      <c r="D182" s="328" t="s">
        <v>191</v>
      </c>
      <c r="E182" s="329"/>
      <c r="F182" s="329"/>
      <c r="G182" s="329"/>
      <c r="H182" s="330"/>
      <c r="I182" s="329" t="s">
        <v>192</v>
      </c>
      <c r="J182" s="331"/>
      <c r="K182" s="331"/>
      <c r="L182" s="331"/>
      <c r="M182" s="330"/>
      <c r="N182" s="326"/>
      <c r="O182" s="332" t="s">
        <v>191</v>
      </c>
      <c r="P182" s="333"/>
      <c r="Q182" s="334"/>
      <c r="R182" s="326"/>
      <c r="S182" s="332" t="s">
        <v>192</v>
      </c>
      <c r="T182" s="334"/>
    </row>
    <row r="183" spans="2:20" ht="13.5" thickBot="1">
      <c r="B183" s="530" t="s">
        <v>241</v>
      </c>
      <c r="C183" s="531" t="s">
        <v>190</v>
      </c>
      <c r="D183" s="335" t="s">
        <v>79</v>
      </c>
      <c r="E183" s="336" t="s">
        <v>80</v>
      </c>
      <c r="F183" s="336" t="s">
        <v>81</v>
      </c>
      <c r="G183" s="336" t="s">
        <v>82</v>
      </c>
      <c r="H183" s="337" t="s">
        <v>44</v>
      </c>
      <c r="I183" s="338" t="s">
        <v>193</v>
      </c>
      <c r="J183" s="336" t="s">
        <v>194</v>
      </c>
      <c r="K183" s="336" t="s">
        <v>195</v>
      </c>
      <c r="L183" s="336" t="s">
        <v>196</v>
      </c>
      <c r="M183" s="337" t="s">
        <v>197</v>
      </c>
      <c r="N183" s="326"/>
      <c r="O183" s="339" t="s">
        <v>198</v>
      </c>
      <c r="P183" s="340" t="s">
        <v>199</v>
      </c>
      <c r="Q183" s="341" t="s">
        <v>200</v>
      </c>
      <c r="R183" s="326"/>
      <c r="S183" s="339" t="s">
        <v>199</v>
      </c>
      <c r="T183" s="341" t="s">
        <v>201</v>
      </c>
    </row>
    <row r="184" spans="2:20">
      <c r="B184" s="532" t="s">
        <v>242</v>
      </c>
      <c r="C184" s="533"/>
      <c r="D184" s="416"/>
      <c r="E184" s="417"/>
      <c r="F184" s="417"/>
      <c r="G184" s="417"/>
      <c r="H184" s="418"/>
      <c r="I184" s="420"/>
      <c r="J184" s="420"/>
      <c r="K184" s="420"/>
      <c r="L184" s="420"/>
      <c r="M184" s="421"/>
      <c r="N184" s="326"/>
      <c r="O184" s="419"/>
      <c r="P184" s="420"/>
      <c r="Q184" s="421"/>
      <c r="R184" s="326"/>
      <c r="S184" s="419"/>
      <c r="T184" s="421"/>
    </row>
    <row r="185" spans="2:20">
      <c r="B185" s="439" t="s">
        <v>243</v>
      </c>
      <c r="C185" s="534"/>
      <c r="D185" s="390"/>
      <c r="E185" s="391"/>
      <c r="F185" s="391"/>
      <c r="G185" s="391"/>
      <c r="H185" s="392"/>
      <c r="I185" s="391"/>
      <c r="J185" s="391"/>
      <c r="K185" s="391"/>
      <c r="L185" s="391"/>
      <c r="M185" s="392"/>
      <c r="N185" s="326"/>
      <c r="O185" s="393"/>
      <c r="P185" s="394"/>
      <c r="Q185" s="395"/>
      <c r="R185" s="326"/>
      <c r="S185" s="390"/>
      <c r="T185" s="392"/>
    </row>
    <row r="186" spans="2:20">
      <c r="B186" s="535" t="s">
        <v>283</v>
      </c>
      <c r="C186" s="472" t="s">
        <v>203</v>
      </c>
      <c r="D186" s="498"/>
      <c r="E186" s="499"/>
      <c r="F186" s="499"/>
      <c r="G186" s="499"/>
      <c r="H186" s="500"/>
      <c r="I186" s="375"/>
      <c r="J186" s="377"/>
      <c r="K186" s="377"/>
      <c r="L186" s="377"/>
      <c r="M186" s="376"/>
      <c r="N186" s="326"/>
      <c r="O186" s="367"/>
      <c r="P186" s="368"/>
      <c r="Q186" s="369"/>
      <c r="R186" s="326"/>
      <c r="S186" s="367"/>
      <c r="T186" s="370"/>
    </row>
    <row r="187" spans="2:20">
      <c r="B187" s="535" t="s">
        <v>310</v>
      </c>
      <c r="C187" s="472" t="s">
        <v>311</v>
      </c>
      <c r="D187" s="501"/>
      <c r="E187" s="502"/>
      <c r="F187" s="502"/>
      <c r="G187" s="502"/>
      <c r="H187" s="503"/>
      <c r="I187" s="504"/>
      <c r="J187" s="505"/>
      <c r="K187" s="505"/>
      <c r="L187" s="505"/>
      <c r="M187" s="506"/>
      <c r="N187" s="326"/>
      <c r="O187" s="367"/>
      <c r="P187" s="368"/>
      <c r="Q187" s="369"/>
      <c r="R187" s="326"/>
      <c r="S187" s="367"/>
      <c r="T187" s="370"/>
    </row>
    <row r="188" spans="2:20">
      <c r="B188" s="535" t="s">
        <v>312</v>
      </c>
      <c r="C188" s="472" t="s">
        <v>311</v>
      </c>
      <c r="D188" s="501"/>
      <c r="E188" s="502"/>
      <c r="F188" s="502"/>
      <c r="G188" s="502"/>
      <c r="H188" s="503"/>
      <c r="I188" s="507">
        <f>1-I187</f>
        <v>1</v>
      </c>
      <c r="J188" s="508">
        <f>1-J187</f>
        <v>1</v>
      </c>
      <c r="K188" s="508">
        <f>1-K187</f>
        <v>1</v>
      </c>
      <c r="L188" s="508">
        <f>1-L187</f>
        <v>1</v>
      </c>
      <c r="M188" s="509">
        <f>1-M187</f>
        <v>1</v>
      </c>
      <c r="N188" s="326"/>
      <c r="O188" s="367"/>
      <c r="P188" s="368"/>
      <c r="Q188" s="369"/>
      <c r="R188" s="326"/>
      <c r="S188" s="367"/>
      <c r="T188" s="370"/>
    </row>
    <row r="189" spans="2:20">
      <c r="B189" s="535" t="s">
        <v>284</v>
      </c>
      <c r="C189" s="472" t="s">
        <v>203</v>
      </c>
      <c r="D189" s="498"/>
      <c r="E189" s="499"/>
      <c r="F189" s="499"/>
      <c r="G189" s="499"/>
      <c r="H189" s="500"/>
      <c r="I189" s="375"/>
      <c r="J189" s="377"/>
      <c r="K189" s="377"/>
      <c r="L189" s="377"/>
      <c r="M189" s="376"/>
      <c r="N189" s="326"/>
      <c r="O189" s="367"/>
      <c r="P189" s="368"/>
      <c r="Q189" s="369"/>
      <c r="R189" s="326"/>
      <c r="S189" s="367"/>
      <c r="T189" s="370"/>
    </row>
    <row r="190" spans="2:20">
      <c r="B190" s="535" t="s">
        <v>313</v>
      </c>
      <c r="C190" s="472" t="s">
        <v>311</v>
      </c>
      <c r="D190" s="498"/>
      <c r="E190" s="499"/>
      <c r="F190" s="499"/>
      <c r="G190" s="499"/>
      <c r="H190" s="500"/>
      <c r="I190" s="375"/>
      <c r="J190" s="377"/>
      <c r="K190" s="377"/>
      <c r="L190" s="377"/>
      <c r="M190" s="376"/>
      <c r="N190" s="326"/>
      <c r="O190" s="367"/>
      <c r="P190" s="368"/>
      <c r="Q190" s="369"/>
      <c r="R190" s="326"/>
      <c r="S190" s="367"/>
      <c r="T190" s="370"/>
    </row>
    <row r="191" spans="2:20">
      <c r="B191" s="535" t="s">
        <v>314</v>
      </c>
      <c r="C191" s="472" t="s">
        <v>311</v>
      </c>
      <c r="D191" s="501"/>
      <c r="E191" s="502"/>
      <c r="F191" s="502"/>
      <c r="G191" s="502"/>
      <c r="H191" s="503"/>
      <c r="I191" s="507">
        <f>1-I190</f>
        <v>1</v>
      </c>
      <c r="J191" s="508">
        <f>1-J190</f>
        <v>1</v>
      </c>
      <c r="K191" s="508">
        <f>1-K190</f>
        <v>1</v>
      </c>
      <c r="L191" s="508">
        <f>1-L190</f>
        <v>1</v>
      </c>
      <c r="M191" s="509">
        <f>1-M190</f>
        <v>1</v>
      </c>
      <c r="N191" s="326"/>
      <c r="O191" s="367"/>
      <c r="P191" s="368"/>
      <c r="Q191" s="369"/>
      <c r="R191" s="326"/>
      <c r="S191" s="367"/>
      <c r="T191" s="370"/>
    </row>
    <row r="192" spans="2:20">
      <c r="B192" s="536" t="s">
        <v>246</v>
      </c>
      <c r="C192" s="472" t="s">
        <v>203</v>
      </c>
      <c r="D192" s="356"/>
      <c r="E192" s="375"/>
      <c r="F192" s="375"/>
      <c r="G192" s="375"/>
      <c r="H192" s="376"/>
      <c r="I192" s="405">
        <f>SUM(I186,I189)</f>
        <v>0</v>
      </c>
      <c r="J192" s="348">
        <f>SUM(J186,J189)</f>
        <v>0</v>
      </c>
      <c r="K192" s="348">
        <f>SUM(K186,K189)</f>
        <v>0</v>
      </c>
      <c r="L192" s="348">
        <f>SUM(L186,L189)</f>
        <v>0</v>
      </c>
      <c r="M192" s="349">
        <f>SUM(M186,M189)</f>
        <v>0</v>
      </c>
      <c r="N192" s="326"/>
      <c r="O192" s="347">
        <f>SUM(D192:G192)</f>
        <v>0</v>
      </c>
      <c r="P192" s="348">
        <f>SUM(H192)</f>
        <v>0</v>
      </c>
      <c r="Q192" s="349">
        <f>SUM(D192:H192)</f>
        <v>0</v>
      </c>
      <c r="R192" s="326"/>
      <c r="S192" s="347">
        <f>SUM(I192:M192)</f>
        <v>0</v>
      </c>
      <c r="T192" s="156" t="str">
        <f>IF(Q192&lt;&gt;0,(S192-Q192)/Q192,"0")</f>
        <v>0</v>
      </c>
    </row>
    <row r="193" spans="2:20">
      <c r="B193" s="439" t="s">
        <v>315</v>
      </c>
      <c r="C193" s="537"/>
      <c r="D193" s="407"/>
      <c r="E193" s="408"/>
      <c r="F193" s="408"/>
      <c r="G193" s="408"/>
      <c r="H193" s="409"/>
      <c r="I193" s="408"/>
      <c r="J193" s="408"/>
      <c r="K193" s="408"/>
      <c r="L193" s="408"/>
      <c r="M193" s="409"/>
      <c r="N193" s="326"/>
      <c r="O193" s="410"/>
      <c r="P193" s="408"/>
      <c r="Q193" s="409"/>
      <c r="R193" s="326"/>
      <c r="S193" s="407"/>
      <c r="T193" s="409"/>
    </row>
    <row r="194" spans="2:20">
      <c r="B194" s="535" t="s">
        <v>285</v>
      </c>
      <c r="C194" s="472" t="s">
        <v>203</v>
      </c>
      <c r="D194" s="498"/>
      <c r="E194" s="499"/>
      <c r="F194" s="499"/>
      <c r="G194" s="499"/>
      <c r="H194" s="500"/>
      <c r="I194" s="375"/>
      <c r="J194" s="377"/>
      <c r="K194" s="377"/>
      <c r="L194" s="377"/>
      <c r="M194" s="376"/>
      <c r="N194" s="326"/>
      <c r="O194" s="367"/>
      <c r="P194" s="368"/>
      <c r="Q194" s="369"/>
      <c r="R194" s="326"/>
      <c r="S194" s="367"/>
      <c r="T194" s="370"/>
    </row>
    <row r="195" spans="2:20">
      <c r="B195" s="535" t="s">
        <v>316</v>
      </c>
      <c r="C195" s="472" t="s">
        <v>311</v>
      </c>
      <c r="D195" s="501"/>
      <c r="E195" s="502"/>
      <c r="F195" s="502"/>
      <c r="G195" s="502"/>
      <c r="H195" s="503"/>
      <c r="I195" s="504"/>
      <c r="J195" s="505"/>
      <c r="K195" s="505"/>
      <c r="L195" s="505"/>
      <c r="M195" s="506"/>
      <c r="N195" s="326"/>
      <c r="O195" s="367"/>
      <c r="P195" s="368"/>
      <c r="Q195" s="369"/>
      <c r="R195" s="326"/>
      <c r="S195" s="367"/>
      <c r="T195" s="370"/>
    </row>
    <row r="196" spans="2:20">
      <c r="B196" s="535" t="s">
        <v>317</v>
      </c>
      <c r="C196" s="472" t="s">
        <v>311</v>
      </c>
      <c r="D196" s="501"/>
      <c r="E196" s="502"/>
      <c r="F196" s="502"/>
      <c r="G196" s="502"/>
      <c r="H196" s="503"/>
      <c r="I196" s="507">
        <f>1-I195</f>
        <v>1</v>
      </c>
      <c r="J196" s="508">
        <f>1-J195</f>
        <v>1</v>
      </c>
      <c r="K196" s="508">
        <f>1-K195</f>
        <v>1</v>
      </c>
      <c r="L196" s="508">
        <f>1-L195</f>
        <v>1</v>
      </c>
      <c r="M196" s="509">
        <f>1-M195</f>
        <v>1</v>
      </c>
      <c r="N196" s="326"/>
      <c r="O196" s="367"/>
      <c r="P196" s="368"/>
      <c r="Q196" s="369"/>
      <c r="R196" s="326"/>
      <c r="S196" s="367"/>
      <c r="T196" s="370"/>
    </row>
    <row r="197" spans="2:20">
      <c r="B197" s="535" t="s">
        <v>286</v>
      </c>
      <c r="C197" s="472" t="s">
        <v>203</v>
      </c>
      <c r="D197" s="498"/>
      <c r="E197" s="499"/>
      <c r="F197" s="499"/>
      <c r="G197" s="499"/>
      <c r="H197" s="500"/>
      <c r="I197" s="375"/>
      <c r="J197" s="377"/>
      <c r="K197" s="377"/>
      <c r="L197" s="377"/>
      <c r="M197" s="376"/>
      <c r="N197" s="326"/>
      <c r="O197" s="367"/>
      <c r="P197" s="368"/>
      <c r="Q197" s="369"/>
      <c r="R197" s="326"/>
      <c r="S197" s="367"/>
      <c r="T197" s="370"/>
    </row>
    <row r="198" spans="2:20">
      <c r="B198" s="535" t="s">
        <v>318</v>
      </c>
      <c r="C198" s="472" t="s">
        <v>311</v>
      </c>
      <c r="D198" s="498"/>
      <c r="E198" s="499"/>
      <c r="F198" s="499"/>
      <c r="G198" s="499"/>
      <c r="H198" s="500"/>
      <c r="I198" s="375"/>
      <c r="J198" s="377"/>
      <c r="K198" s="377"/>
      <c r="L198" s="377"/>
      <c r="M198" s="376"/>
      <c r="N198" s="326"/>
      <c r="O198" s="367"/>
      <c r="P198" s="368"/>
      <c r="Q198" s="369"/>
      <c r="R198" s="326"/>
      <c r="S198" s="367"/>
      <c r="T198" s="370"/>
    </row>
    <row r="199" spans="2:20">
      <c r="B199" s="535" t="s">
        <v>319</v>
      </c>
      <c r="C199" s="472" t="s">
        <v>311</v>
      </c>
      <c r="D199" s="501"/>
      <c r="E199" s="502"/>
      <c r="F199" s="502"/>
      <c r="G199" s="502"/>
      <c r="H199" s="503"/>
      <c r="I199" s="507">
        <f>1-I198</f>
        <v>1</v>
      </c>
      <c r="J199" s="508">
        <f>1-J198</f>
        <v>1</v>
      </c>
      <c r="K199" s="508">
        <f>1-K198</f>
        <v>1</v>
      </c>
      <c r="L199" s="508">
        <f>1-L198</f>
        <v>1</v>
      </c>
      <c r="M199" s="509">
        <f>1-M198</f>
        <v>1</v>
      </c>
      <c r="N199" s="326"/>
      <c r="O199" s="367"/>
      <c r="P199" s="368"/>
      <c r="Q199" s="369"/>
      <c r="R199" s="326"/>
      <c r="S199" s="367"/>
      <c r="T199" s="370"/>
    </row>
    <row r="200" spans="2:20">
      <c r="B200" s="536" t="s">
        <v>248</v>
      </c>
      <c r="C200" s="472" t="s">
        <v>203</v>
      </c>
      <c r="D200" s="356"/>
      <c r="E200" s="375"/>
      <c r="F200" s="375"/>
      <c r="G200" s="375"/>
      <c r="H200" s="376"/>
      <c r="I200" s="405">
        <f>SUM(I194,I197)</f>
        <v>0</v>
      </c>
      <c r="J200" s="348">
        <f>SUM(J194,J197)</f>
        <v>0</v>
      </c>
      <c r="K200" s="348">
        <f>SUM(K194,K197)</f>
        <v>0</v>
      </c>
      <c r="L200" s="348">
        <f>SUM(L194,L197)</f>
        <v>0</v>
      </c>
      <c r="M200" s="349">
        <f>SUM(M194,M197)</f>
        <v>0</v>
      </c>
      <c r="N200" s="326"/>
      <c r="O200" s="347">
        <f>SUM(D200:G200)</f>
        <v>0</v>
      </c>
      <c r="P200" s="348">
        <f>SUM(H200)</f>
        <v>0</v>
      </c>
      <c r="Q200" s="349">
        <f>SUM(D200:H200)</f>
        <v>0</v>
      </c>
      <c r="R200" s="326"/>
      <c r="S200" s="347">
        <f>SUM(I200:M200)</f>
        <v>0</v>
      </c>
      <c r="T200" s="156" t="str">
        <f>IF(Q200&lt;&gt;0,(S200-Q200)/Q200,"0")</f>
        <v>0</v>
      </c>
    </row>
    <row r="201" spans="2:20">
      <c r="B201" s="439" t="s">
        <v>320</v>
      </c>
      <c r="C201" s="537"/>
      <c r="D201" s="407"/>
      <c r="E201" s="408"/>
      <c r="F201" s="408"/>
      <c r="G201" s="408"/>
      <c r="H201" s="409"/>
      <c r="I201" s="408"/>
      <c r="J201" s="408"/>
      <c r="K201" s="408"/>
      <c r="L201" s="408"/>
      <c r="M201" s="409"/>
      <c r="N201" s="326"/>
      <c r="O201" s="407"/>
      <c r="P201" s="408"/>
      <c r="Q201" s="409"/>
      <c r="R201" s="326"/>
      <c r="S201" s="407"/>
      <c r="T201" s="409"/>
    </row>
    <row r="202" spans="2:20">
      <c r="B202" s="535" t="s">
        <v>287</v>
      </c>
      <c r="C202" s="472" t="s">
        <v>203</v>
      </c>
      <c r="D202" s="498"/>
      <c r="E202" s="499"/>
      <c r="F202" s="499"/>
      <c r="G202" s="499"/>
      <c r="H202" s="500"/>
      <c r="I202" s="375"/>
      <c r="J202" s="377"/>
      <c r="K202" s="377"/>
      <c r="L202" s="377"/>
      <c r="M202" s="376"/>
      <c r="N202" s="326"/>
      <c r="O202" s="367"/>
      <c r="P202" s="368"/>
      <c r="Q202" s="369"/>
      <c r="R202" s="326"/>
      <c r="S202" s="367"/>
      <c r="T202" s="370"/>
    </row>
    <row r="203" spans="2:20">
      <c r="B203" s="535" t="s">
        <v>321</v>
      </c>
      <c r="C203" s="472" t="s">
        <v>311</v>
      </c>
      <c r="D203" s="501"/>
      <c r="E203" s="502"/>
      <c r="F203" s="502"/>
      <c r="G203" s="502"/>
      <c r="H203" s="503"/>
      <c r="I203" s="504"/>
      <c r="J203" s="505"/>
      <c r="K203" s="505"/>
      <c r="L203" s="505"/>
      <c r="M203" s="506"/>
      <c r="N203" s="326"/>
      <c r="O203" s="367"/>
      <c r="P203" s="368"/>
      <c r="Q203" s="369"/>
      <c r="R203" s="326"/>
      <c r="S203" s="367"/>
      <c r="T203" s="370"/>
    </row>
    <row r="204" spans="2:20">
      <c r="B204" s="535" t="s">
        <v>322</v>
      </c>
      <c r="C204" s="472" t="s">
        <v>311</v>
      </c>
      <c r="D204" s="501"/>
      <c r="E204" s="502"/>
      <c r="F204" s="502"/>
      <c r="G204" s="502"/>
      <c r="H204" s="503"/>
      <c r="I204" s="507">
        <f>1-I203</f>
        <v>1</v>
      </c>
      <c r="J204" s="508">
        <f>1-J203</f>
        <v>1</v>
      </c>
      <c r="K204" s="508">
        <f>1-K203</f>
        <v>1</v>
      </c>
      <c r="L204" s="508">
        <f>1-L203</f>
        <v>1</v>
      </c>
      <c r="M204" s="509">
        <f>1-M203</f>
        <v>1</v>
      </c>
      <c r="N204" s="326"/>
      <c r="O204" s="367"/>
      <c r="P204" s="368"/>
      <c r="Q204" s="369"/>
      <c r="R204" s="326"/>
      <c r="S204" s="367"/>
      <c r="T204" s="370"/>
    </row>
    <row r="205" spans="2:20">
      <c r="B205" s="535" t="s">
        <v>288</v>
      </c>
      <c r="C205" s="472" t="s">
        <v>203</v>
      </c>
      <c r="D205" s="498"/>
      <c r="E205" s="499"/>
      <c r="F205" s="499"/>
      <c r="G205" s="499"/>
      <c r="H205" s="500"/>
      <c r="I205" s="375"/>
      <c r="J205" s="377"/>
      <c r="K205" s="377"/>
      <c r="L205" s="377"/>
      <c r="M205" s="376"/>
      <c r="N205" s="326"/>
      <c r="O205" s="367"/>
      <c r="P205" s="368"/>
      <c r="Q205" s="369"/>
      <c r="R205" s="326"/>
      <c r="S205" s="367"/>
      <c r="T205" s="370"/>
    </row>
    <row r="206" spans="2:20">
      <c r="B206" s="535" t="s">
        <v>323</v>
      </c>
      <c r="C206" s="472" t="s">
        <v>311</v>
      </c>
      <c r="D206" s="510"/>
      <c r="E206" s="511"/>
      <c r="F206" s="511"/>
      <c r="G206" s="511"/>
      <c r="H206" s="512"/>
      <c r="I206" s="513"/>
      <c r="J206" s="514"/>
      <c r="K206" s="514"/>
      <c r="L206" s="514"/>
      <c r="M206" s="515"/>
      <c r="N206" s="326"/>
      <c r="O206" s="367"/>
      <c r="P206" s="368"/>
      <c r="Q206" s="369"/>
      <c r="R206" s="326"/>
      <c r="S206" s="367"/>
      <c r="T206" s="370"/>
    </row>
    <row r="207" spans="2:20">
      <c r="B207" s="535" t="s">
        <v>324</v>
      </c>
      <c r="C207" s="472" t="s">
        <v>311</v>
      </c>
      <c r="D207" s="501"/>
      <c r="E207" s="502"/>
      <c r="F207" s="502"/>
      <c r="G207" s="502"/>
      <c r="H207" s="503"/>
      <c r="I207" s="507">
        <f>1-I206</f>
        <v>1</v>
      </c>
      <c r="J207" s="508">
        <f>1-J206</f>
        <v>1</v>
      </c>
      <c r="K207" s="508">
        <f>1-K206</f>
        <v>1</v>
      </c>
      <c r="L207" s="508">
        <f>1-L206</f>
        <v>1</v>
      </c>
      <c r="M207" s="509">
        <f>1-M206</f>
        <v>1</v>
      </c>
      <c r="N207" s="326"/>
      <c r="O207" s="367"/>
      <c r="P207" s="368"/>
      <c r="Q207" s="369"/>
      <c r="R207" s="326"/>
      <c r="S207" s="367"/>
      <c r="T207" s="370"/>
    </row>
    <row r="208" spans="2:20">
      <c r="B208" s="536" t="s">
        <v>250</v>
      </c>
      <c r="C208" s="472" t="s">
        <v>203</v>
      </c>
      <c r="D208" s="356"/>
      <c r="E208" s="375"/>
      <c r="F208" s="375"/>
      <c r="G208" s="375"/>
      <c r="H208" s="376"/>
      <c r="I208" s="405">
        <f>SUM(I202,I205)</f>
        <v>0</v>
      </c>
      <c r="J208" s="348">
        <f>SUM(J202,J205)</f>
        <v>0</v>
      </c>
      <c r="K208" s="348">
        <f>SUM(K202,K205)</f>
        <v>0</v>
      </c>
      <c r="L208" s="348">
        <f>SUM(L202,L205)</f>
        <v>0</v>
      </c>
      <c r="M208" s="349">
        <f>SUM(M202,M205)</f>
        <v>0</v>
      </c>
      <c r="N208" s="326"/>
      <c r="O208" s="347">
        <f>SUM(D208:G208)</f>
        <v>0</v>
      </c>
      <c r="P208" s="348">
        <f>SUM(H208)</f>
        <v>0</v>
      </c>
      <c r="Q208" s="349">
        <f>SUM(D208:H208)</f>
        <v>0</v>
      </c>
      <c r="R208" s="326"/>
      <c r="S208" s="347">
        <f>SUM(I208:M208)</f>
        <v>0</v>
      </c>
      <c r="T208" s="156" t="str">
        <f>IF(Q208&lt;&gt;0,(S208-Q208)/Q208,"0")</f>
        <v>0</v>
      </c>
    </row>
    <row r="209" spans="2:20">
      <c r="B209" s="439" t="s">
        <v>325</v>
      </c>
      <c r="C209" s="537"/>
      <c r="D209" s="407"/>
      <c r="E209" s="408"/>
      <c r="F209" s="408"/>
      <c r="G209" s="408"/>
      <c r="H209" s="409"/>
      <c r="I209" s="408"/>
      <c r="J209" s="408"/>
      <c r="K209" s="408"/>
      <c r="L209" s="408"/>
      <c r="M209" s="409"/>
      <c r="N209" s="326"/>
      <c r="O209" s="407"/>
      <c r="P209" s="408"/>
      <c r="Q209" s="409"/>
      <c r="R209" s="326"/>
      <c r="S209" s="407"/>
      <c r="T209" s="409"/>
    </row>
    <row r="210" spans="2:20">
      <c r="B210" s="535" t="s">
        <v>289</v>
      </c>
      <c r="C210" s="472" t="s">
        <v>203</v>
      </c>
      <c r="D210" s="498"/>
      <c r="E210" s="499"/>
      <c r="F210" s="499"/>
      <c r="G210" s="499"/>
      <c r="H210" s="500"/>
      <c r="I210" s="375"/>
      <c r="J210" s="377"/>
      <c r="K210" s="377"/>
      <c r="L210" s="377"/>
      <c r="M210" s="376"/>
      <c r="N210" s="326"/>
      <c r="O210" s="367"/>
      <c r="P210" s="368"/>
      <c r="Q210" s="369"/>
      <c r="R210" s="326"/>
      <c r="S210" s="367"/>
      <c r="T210" s="370"/>
    </row>
    <row r="211" spans="2:20">
      <c r="B211" s="535" t="s">
        <v>326</v>
      </c>
      <c r="C211" s="472" t="s">
        <v>311</v>
      </c>
      <c r="D211" s="501"/>
      <c r="E211" s="502"/>
      <c r="F211" s="502"/>
      <c r="G211" s="502"/>
      <c r="H211" s="503"/>
      <c r="I211" s="504"/>
      <c r="J211" s="505"/>
      <c r="K211" s="505"/>
      <c r="L211" s="505"/>
      <c r="M211" s="506"/>
      <c r="N211" s="326"/>
      <c r="O211" s="367"/>
      <c r="P211" s="368"/>
      <c r="Q211" s="369"/>
      <c r="R211" s="326"/>
      <c r="S211" s="367"/>
      <c r="T211" s="370"/>
    </row>
    <row r="212" spans="2:20">
      <c r="B212" s="535" t="s">
        <v>327</v>
      </c>
      <c r="C212" s="472" t="s">
        <v>311</v>
      </c>
      <c r="D212" s="501"/>
      <c r="E212" s="502"/>
      <c r="F212" s="502"/>
      <c r="G212" s="502"/>
      <c r="H212" s="503"/>
      <c r="I212" s="507">
        <f>1-I211</f>
        <v>1</v>
      </c>
      <c r="J212" s="508">
        <f>1-J211</f>
        <v>1</v>
      </c>
      <c r="K212" s="508">
        <f>1-K211</f>
        <v>1</v>
      </c>
      <c r="L212" s="508">
        <f>1-L211</f>
        <v>1</v>
      </c>
      <c r="M212" s="509">
        <f>1-M211</f>
        <v>1</v>
      </c>
      <c r="N212" s="326"/>
      <c r="O212" s="367"/>
      <c r="P212" s="368"/>
      <c r="Q212" s="369"/>
      <c r="R212" s="326"/>
      <c r="S212" s="367"/>
      <c r="T212" s="370"/>
    </row>
    <row r="213" spans="2:20">
      <c r="B213" s="535" t="s">
        <v>290</v>
      </c>
      <c r="C213" s="472" t="s">
        <v>203</v>
      </c>
      <c r="D213" s="498"/>
      <c r="E213" s="499"/>
      <c r="F213" s="499"/>
      <c r="G213" s="499"/>
      <c r="H213" s="500"/>
      <c r="I213" s="375"/>
      <c r="J213" s="377"/>
      <c r="K213" s="377"/>
      <c r="L213" s="377"/>
      <c r="M213" s="376"/>
      <c r="N213" s="326"/>
      <c r="O213" s="367"/>
      <c r="P213" s="368"/>
      <c r="Q213" s="369"/>
      <c r="R213" s="326"/>
      <c r="S213" s="367"/>
      <c r="T213" s="370"/>
    </row>
    <row r="214" spans="2:20">
      <c r="B214" s="535" t="s">
        <v>328</v>
      </c>
      <c r="C214" s="472" t="s">
        <v>311</v>
      </c>
      <c r="D214" s="510"/>
      <c r="E214" s="511"/>
      <c r="F214" s="511"/>
      <c r="G214" s="511"/>
      <c r="H214" s="512"/>
      <c r="I214" s="513"/>
      <c r="J214" s="514"/>
      <c r="K214" s="514"/>
      <c r="L214" s="514"/>
      <c r="M214" s="515"/>
      <c r="N214" s="326"/>
      <c r="O214" s="367"/>
      <c r="P214" s="368"/>
      <c r="Q214" s="369"/>
      <c r="R214" s="326"/>
      <c r="S214" s="367"/>
      <c r="T214" s="370"/>
    </row>
    <row r="215" spans="2:20">
      <c r="B215" s="535" t="s">
        <v>329</v>
      </c>
      <c r="C215" s="472" t="s">
        <v>311</v>
      </c>
      <c r="D215" s="501"/>
      <c r="E215" s="502"/>
      <c r="F215" s="502"/>
      <c r="G215" s="502"/>
      <c r="H215" s="503"/>
      <c r="I215" s="507">
        <f>1-I214</f>
        <v>1</v>
      </c>
      <c r="J215" s="508">
        <f>1-J214</f>
        <v>1</v>
      </c>
      <c r="K215" s="508">
        <f>1-K214</f>
        <v>1</v>
      </c>
      <c r="L215" s="508">
        <f>1-L214</f>
        <v>1</v>
      </c>
      <c r="M215" s="509">
        <f>1-M214</f>
        <v>1</v>
      </c>
      <c r="N215" s="326"/>
      <c r="O215" s="367"/>
      <c r="P215" s="368"/>
      <c r="Q215" s="369"/>
      <c r="R215" s="326"/>
      <c r="S215" s="367"/>
      <c r="T215" s="370"/>
    </row>
    <row r="216" spans="2:20">
      <c r="B216" s="538" t="s">
        <v>252</v>
      </c>
      <c r="C216" s="472" t="s">
        <v>203</v>
      </c>
      <c r="D216" s="517"/>
      <c r="E216" s="518"/>
      <c r="F216" s="518"/>
      <c r="G216" s="518"/>
      <c r="H216" s="519"/>
      <c r="I216" s="520">
        <f>SUM(I210,I213)</f>
        <v>0</v>
      </c>
      <c r="J216" s="521">
        <f>SUM(J210,J213)</f>
        <v>0</v>
      </c>
      <c r="K216" s="521">
        <f>SUM(K210,K213)</f>
        <v>0</v>
      </c>
      <c r="L216" s="521">
        <f>SUM(L210,L213)</f>
        <v>0</v>
      </c>
      <c r="M216" s="522">
        <f>SUM(M210,M213)</f>
        <v>0</v>
      </c>
      <c r="N216" s="326"/>
      <c r="O216" s="347">
        <f>SUM(D216:G216)</f>
        <v>0</v>
      </c>
      <c r="P216" s="348">
        <f>SUM(H216)</f>
        <v>0</v>
      </c>
      <c r="Q216" s="349">
        <f>SUM(D216:H216)</f>
        <v>0</v>
      </c>
      <c r="R216" s="326"/>
      <c r="S216" s="347">
        <f>SUM(I216:M216)</f>
        <v>0</v>
      </c>
      <c r="T216" s="156" t="str">
        <f>IF(Q216&lt;&gt;0,(S216-Q216)/Q216,"0")</f>
        <v>0</v>
      </c>
    </row>
    <row r="217" spans="2:20" ht="13.5" thickBot="1">
      <c r="B217" s="523" t="s">
        <v>332</v>
      </c>
      <c r="C217" s="539"/>
      <c r="D217" s="525">
        <f t="shared" ref="D217:M217" si="24">SUM(D192,D200,D208,D216)</f>
        <v>0</v>
      </c>
      <c r="E217" s="525">
        <f t="shared" si="24"/>
        <v>0</v>
      </c>
      <c r="F217" s="525">
        <f t="shared" si="24"/>
        <v>0</v>
      </c>
      <c r="G217" s="525">
        <f t="shared" si="24"/>
        <v>0</v>
      </c>
      <c r="H217" s="525">
        <f t="shared" si="24"/>
        <v>0</v>
      </c>
      <c r="I217" s="540">
        <f t="shared" si="24"/>
        <v>0</v>
      </c>
      <c r="J217" s="540">
        <f t="shared" si="24"/>
        <v>0</v>
      </c>
      <c r="K217" s="540">
        <f t="shared" si="24"/>
        <v>0</v>
      </c>
      <c r="L217" s="540">
        <f t="shared" si="24"/>
        <v>0</v>
      </c>
      <c r="M217" s="541">
        <f t="shared" si="24"/>
        <v>0</v>
      </c>
      <c r="N217" s="326"/>
      <c r="O217" s="382">
        <f>SUM(O192,O200,O208,O216)</f>
        <v>0</v>
      </c>
      <c r="P217" s="383">
        <f>SUM(P192,P200,P208,P216)</f>
        <v>0</v>
      </c>
      <c r="Q217" s="384">
        <f>SUM(Q192,Q200,Q208,Q216)</f>
        <v>0</v>
      </c>
      <c r="R217" s="326"/>
      <c r="S217" s="542">
        <f>SUM(S192,S200,S208,S216)</f>
        <v>0</v>
      </c>
      <c r="T217" s="175" t="str">
        <f>IF(Q217&lt;&gt;0,(S217-Q217)/Q217,"0")</f>
        <v>0</v>
      </c>
    </row>
    <row r="218" spans="2:20">
      <c r="C218" s="323"/>
      <c r="D218" s="323"/>
      <c r="E218" s="323"/>
      <c r="F218" s="323"/>
      <c r="G218" s="323"/>
      <c r="H218" s="323"/>
      <c r="I218" s="323"/>
      <c r="J218" s="323"/>
      <c r="K218" s="323"/>
      <c r="L218" s="323"/>
      <c r="M218" s="323"/>
      <c r="N218" s="323"/>
      <c r="O218" s="323"/>
      <c r="P218" s="323"/>
      <c r="Q218" s="323"/>
      <c r="R218" s="323"/>
      <c r="S218" s="323"/>
      <c r="T218" s="323"/>
    </row>
    <row r="219" spans="2:20">
      <c r="B219" s="385" t="s">
        <v>333</v>
      </c>
      <c r="C219" s="386"/>
      <c r="D219" s="387"/>
      <c r="E219" s="387"/>
      <c r="F219" s="387"/>
      <c r="G219" s="387"/>
      <c r="H219" s="387"/>
      <c r="I219" s="387"/>
      <c r="J219" s="387"/>
      <c r="K219" s="387"/>
      <c r="L219" s="387"/>
      <c r="M219" s="387"/>
      <c r="N219" s="326"/>
      <c r="O219" s="387"/>
      <c r="P219" s="387"/>
      <c r="Q219" s="387"/>
      <c r="R219" s="326"/>
      <c r="S219" s="387"/>
      <c r="T219" s="387"/>
    </row>
    <row r="220" spans="2:20" ht="13.5" thickBot="1">
      <c r="B220" s="385"/>
      <c r="C220" s="386"/>
      <c r="D220" s="387"/>
      <c r="E220" s="387"/>
      <c r="F220" s="387"/>
      <c r="G220" s="387"/>
      <c r="H220" s="387"/>
      <c r="I220" s="387"/>
      <c r="J220" s="387"/>
      <c r="K220" s="387"/>
      <c r="L220" s="387"/>
      <c r="M220" s="387"/>
      <c r="N220" s="326"/>
      <c r="O220" s="387"/>
      <c r="P220" s="387"/>
      <c r="Q220" s="387"/>
      <c r="R220" s="326"/>
      <c r="S220" s="387"/>
      <c r="T220" s="387"/>
    </row>
    <row r="221" spans="2:20">
      <c r="B221" s="543"/>
      <c r="C221" s="544"/>
      <c r="D221" s="328" t="s">
        <v>191</v>
      </c>
      <c r="E221" s="329"/>
      <c r="F221" s="329"/>
      <c r="G221" s="329"/>
      <c r="H221" s="330"/>
      <c r="I221" s="329" t="s">
        <v>192</v>
      </c>
      <c r="J221" s="331"/>
      <c r="K221" s="331"/>
      <c r="L221" s="331"/>
      <c r="M221" s="330"/>
      <c r="N221" s="326"/>
      <c r="O221" s="332" t="s">
        <v>191</v>
      </c>
      <c r="P221" s="333"/>
      <c r="Q221" s="334"/>
      <c r="R221" s="326"/>
      <c r="S221" s="332" t="s">
        <v>192</v>
      </c>
      <c r="T221" s="334"/>
    </row>
    <row r="222" spans="2:20">
      <c r="B222" s="545" t="s">
        <v>241</v>
      </c>
      <c r="C222" s="546" t="s">
        <v>190</v>
      </c>
      <c r="D222" s="335" t="s">
        <v>79</v>
      </c>
      <c r="E222" s="336" t="s">
        <v>80</v>
      </c>
      <c r="F222" s="336" t="s">
        <v>81</v>
      </c>
      <c r="G222" s="336" t="s">
        <v>82</v>
      </c>
      <c r="H222" s="337" t="s">
        <v>44</v>
      </c>
      <c r="I222" s="338" t="s">
        <v>193</v>
      </c>
      <c r="J222" s="336" t="s">
        <v>194</v>
      </c>
      <c r="K222" s="336" t="s">
        <v>195</v>
      </c>
      <c r="L222" s="336" t="s">
        <v>196</v>
      </c>
      <c r="M222" s="337" t="s">
        <v>197</v>
      </c>
      <c r="N222" s="326"/>
      <c r="O222" s="339" t="s">
        <v>198</v>
      </c>
      <c r="P222" s="340" t="s">
        <v>199</v>
      </c>
      <c r="Q222" s="341" t="s">
        <v>200</v>
      </c>
      <c r="R222" s="326"/>
      <c r="S222" s="339" t="s">
        <v>199</v>
      </c>
      <c r="T222" s="341" t="s">
        <v>201</v>
      </c>
    </row>
    <row r="223" spans="2:20">
      <c r="B223" s="547" t="s">
        <v>242</v>
      </c>
      <c r="C223" s="533"/>
      <c r="D223" s="416"/>
      <c r="E223" s="417"/>
      <c r="F223" s="417"/>
      <c r="G223" s="417"/>
      <c r="H223" s="418"/>
      <c r="I223" s="420"/>
      <c r="J223" s="420"/>
      <c r="K223" s="420"/>
      <c r="L223" s="420"/>
      <c r="M223" s="421"/>
      <c r="N223" s="326"/>
      <c r="O223" s="419"/>
      <c r="P223" s="420"/>
      <c r="Q223" s="421"/>
      <c r="R223" s="326"/>
      <c r="S223" s="419"/>
      <c r="T223" s="421"/>
    </row>
    <row r="224" spans="2:20">
      <c r="B224" s="439" t="s">
        <v>243</v>
      </c>
      <c r="C224" s="534"/>
      <c r="D224" s="390"/>
      <c r="E224" s="391"/>
      <c r="F224" s="391"/>
      <c r="G224" s="391"/>
      <c r="H224" s="392"/>
      <c r="I224" s="391"/>
      <c r="J224" s="391"/>
      <c r="K224" s="391"/>
      <c r="L224" s="391"/>
      <c r="M224" s="392"/>
      <c r="N224" s="326"/>
      <c r="O224" s="393"/>
      <c r="P224" s="394"/>
      <c r="Q224" s="395"/>
      <c r="R224" s="326"/>
      <c r="S224" s="390"/>
      <c r="T224" s="392"/>
    </row>
    <row r="225" spans="2:20">
      <c r="B225" s="535" t="s">
        <v>283</v>
      </c>
      <c r="C225" s="472" t="s">
        <v>203</v>
      </c>
      <c r="D225" s="498"/>
      <c r="E225" s="499"/>
      <c r="F225" s="499"/>
      <c r="G225" s="499"/>
      <c r="H225" s="500"/>
      <c r="I225" s="375"/>
      <c r="J225" s="377"/>
      <c r="K225" s="377"/>
      <c r="L225" s="377"/>
      <c r="M225" s="376"/>
      <c r="N225" s="326"/>
      <c r="O225" s="367"/>
      <c r="P225" s="368"/>
      <c r="Q225" s="369"/>
      <c r="R225" s="326"/>
      <c r="S225" s="367"/>
      <c r="T225" s="370"/>
    </row>
    <row r="226" spans="2:20">
      <c r="B226" s="535" t="s">
        <v>284</v>
      </c>
      <c r="C226" s="472" t="s">
        <v>203</v>
      </c>
      <c r="D226" s="498"/>
      <c r="E226" s="499"/>
      <c r="F226" s="499"/>
      <c r="G226" s="499"/>
      <c r="H226" s="500"/>
      <c r="I226" s="375"/>
      <c r="J226" s="377"/>
      <c r="K226" s="377"/>
      <c r="L226" s="377"/>
      <c r="M226" s="376"/>
      <c r="N226" s="326"/>
      <c r="O226" s="367"/>
      <c r="P226" s="368"/>
      <c r="Q226" s="369"/>
      <c r="R226" s="326"/>
      <c r="S226" s="367"/>
      <c r="T226" s="370"/>
    </row>
    <row r="227" spans="2:20">
      <c r="B227" s="536" t="s">
        <v>246</v>
      </c>
      <c r="C227" s="472" t="s">
        <v>203</v>
      </c>
      <c r="D227" s="356"/>
      <c r="E227" s="375"/>
      <c r="F227" s="375"/>
      <c r="G227" s="375"/>
      <c r="H227" s="376"/>
      <c r="I227" s="405">
        <f>SUM(I225,I226)</f>
        <v>0</v>
      </c>
      <c r="J227" s="348">
        <f>SUM(J225,J226)</f>
        <v>0</v>
      </c>
      <c r="K227" s="348">
        <f>SUM(K225,K226)</f>
        <v>0</v>
      </c>
      <c r="L227" s="348">
        <f>SUM(L225,L226)</f>
        <v>0</v>
      </c>
      <c r="M227" s="349">
        <f>SUM(M225,M226)</f>
        <v>0</v>
      </c>
      <c r="N227" s="326"/>
      <c r="O227" s="347">
        <f>SUM(D227:G227)</f>
        <v>0</v>
      </c>
      <c r="P227" s="348">
        <f>SUM(H227)</f>
        <v>0</v>
      </c>
      <c r="Q227" s="349">
        <f>SUM(D227:H227)</f>
        <v>0</v>
      </c>
      <c r="R227" s="326"/>
      <c r="S227" s="347">
        <f>SUM(I227:M227)</f>
        <v>0</v>
      </c>
      <c r="T227" s="156" t="str">
        <f>IF(Q227&lt;&gt;0,(S227-Q227)/Q227,"0")</f>
        <v>0</v>
      </c>
    </row>
    <row r="228" spans="2:20">
      <c r="B228" s="439" t="s">
        <v>315</v>
      </c>
      <c r="C228" s="537"/>
      <c r="D228" s="407"/>
      <c r="E228" s="408"/>
      <c r="F228" s="408"/>
      <c r="G228" s="408"/>
      <c r="H228" s="409"/>
      <c r="I228" s="408"/>
      <c r="J228" s="408"/>
      <c r="K228" s="408"/>
      <c r="L228" s="408"/>
      <c r="M228" s="409"/>
      <c r="N228" s="326"/>
      <c r="O228" s="410"/>
      <c r="P228" s="408"/>
      <c r="Q228" s="409"/>
      <c r="R228" s="326"/>
      <c r="S228" s="407"/>
      <c r="T228" s="409"/>
    </row>
    <row r="229" spans="2:20">
      <c r="B229" s="535" t="s">
        <v>285</v>
      </c>
      <c r="C229" s="472" t="s">
        <v>203</v>
      </c>
      <c r="D229" s="498"/>
      <c r="E229" s="499"/>
      <c r="F229" s="499"/>
      <c r="G229" s="499"/>
      <c r="H229" s="500"/>
      <c r="I229" s="375"/>
      <c r="J229" s="377"/>
      <c r="K229" s="377"/>
      <c r="L229" s="377"/>
      <c r="M229" s="376"/>
      <c r="N229" s="326"/>
      <c r="O229" s="367"/>
      <c r="P229" s="368"/>
      <c r="Q229" s="369"/>
      <c r="R229" s="326"/>
      <c r="S229" s="367"/>
      <c r="T229" s="370"/>
    </row>
    <row r="230" spans="2:20">
      <c r="B230" s="535" t="s">
        <v>286</v>
      </c>
      <c r="C230" s="472" t="s">
        <v>203</v>
      </c>
      <c r="D230" s="498"/>
      <c r="E230" s="499"/>
      <c r="F230" s="499"/>
      <c r="G230" s="499"/>
      <c r="H230" s="500"/>
      <c r="I230" s="375"/>
      <c r="J230" s="377"/>
      <c r="K230" s="377"/>
      <c r="L230" s="377"/>
      <c r="M230" s="376"/>
      <c r="N230" s="326"/>
      <c r="O230" s="367"/>
      <c r="P230" s="368"/>
      <c r="Q230" s="369"/>
      <c r="R230" s="326"/>
      <c r="S230" s="367"/>
      <c r="T230" s="370"/>
    </row>
    <row r="231" spans="2:20">
      <c r="B231" s="536" t="s">
        <v>248</v>
      </c>
      <c r="C231" s="472" t="s">
        <v>203</v>
      </c>
      <c r="D231" s="356"/>
      <c r="E231" s="375"/>
      <c r="F231" s="375"/>
      <c r="G231" s="375"/>
      <c r="H231" s="376"/>
      <c r="I231" s="405">
        <f>SUM(I229,I230)</f>
        <v>0</v>
      </c>
      <c r="J231" s="348">
        <f>SUM(J229,J230)</f>
        <v>0</v>
      </c>
      <c r="K231" s="348">
        <f>SUM(K229,K230)</f>
        <v>0</v>
      </c>
      <c r="L231" s="348">
        <f>SUM(L229,L230)</f>
        <v>0</v>
      </c>
      <c r="M231" s="349">
        <f>SUM(M229,M230)</f>
        <v>0</v>
      </c>
      <c r="N231" s="326"/>
      <c r="O231" s="347">
        <f>SUM(D231:G231)</f>
        <v>0</v>
      </c>
      <c r="P231" s="348">
        <f>SUM(H231)</f>
        <v>0</v>
      </c>
      <c r="Q231" s="349">
        <f>SUM(D231:H231)</f>
        <v>0</v>
      </c>
      <c r="R231" s="326"/>
      <c r="S231" s="347">
        <f>SUM(I231:M231)</f>
        <v>0</v>
      </c>
      <c r="T231" s="156" t="str">
        <f>IF(Q231&lt;&gt;0,(S231-Q231)/Q231,"0")</f>
        <v>0</v>
      </c>
    </row>
    <row r="232" spans="2:20">
      <c r="B232" s="439" t="s">
        <v>320</v>
      </c>
      <c r="C232" s="537"/>
      <c r="D232" s="407"/>
      <c r="E232" s="408"/>
      <c r="F232" s="408"/>
      <c r="G232" s="408"/>
      <c r="H232" s="409"/>
      <c r="I232" s="408"/>
      <c r="J232" s="408"/>
      <c r="K232" s="408"/>
      <c r="L232" s="408"/>
      <c r="M232" s="409"/>
      <c r="N232" s="326"/>
      <c r="O232" s="407"/>
      <c r="P232" s="408"/>
      <c r="Q232" s="409"/>
      <c r="R232" s="326"/>
      <c r="S232" s="407"/>
      <c r="T232" s="409"/>
    </row>
    <row r="233" spans="2:20">
      <c r="B233" s="535" t="s">
        <v>287</v>
      </c>
      <c r="C233" s="472" t="s">
        <v>203</v>
      </c>
      <c r="D233" s="498"/>
      <c r="E233" s="499"/>
      <c r="F233" s="499"/>
      <c r="G233" s="499"/>
      <c r="H233" s="500"/>
      <c r="I233" s="375"/>
      <c r="J233" s="377"/>
      <c r="K233" s="377"/>
      <c r="L233" s="377"/>
      <c r="M233" s="376"/>
      <c r="N233" s="326"/>
      <c r="O233" s="367"/>
      <c r="P233" s="368"/>
      <c r="Q233" s="369"/>
      <c r="R233" s="326"/>
      <c r="S233" s="367"/>
      <c r="T233" s="370"/>
    </row>
    <row r="234" spans="2:20">
      <c r="B234" s="535" t="s">
        <v>288</v>
      </c>
      <c r="C234" s="472" t="s">
        <v>203</v>
      </c>
      <c r="D234" s="498"/>
      <c r="E234" s="499"/>
      <c r="F234" s="499"/>
      <c r="G234" s="499"/>
      <c r="H234" s="500"/>
      <c r="I234" s="375"/>
      <c r="J234" s="377"/>
      <c r="K234" s="377"/>
      <c r="L234" s="377"/>
      <c r="M234" s="376"/>
      <c r="N234" s="326"/>
      <c r="O234" s="367"/>
      <c r="P234" s="368"/>
      <c r="Q234" s="369"/>
      <c r="R234" s="326"/>
      <c r="S234" s="367"/>
      <c r="T234" s="370"/>
    </row>
    <row r="235" spans="2:20">
      <c r="B235" s="536" t="s">
        <v>250</v>
      </c>
      <c r="C235" s="472" t="s">
        <v>203</v>
      </c>
      <c r="D235" s="356"/>
      <c r="E235" s="375"/>
      <c r="F235" s="375"/>
      <c r="G235" s="375"/>
      <c r="H235" s="376"/>
      <c r="I235" s="405">
        <f>SUM(I233,I234)</f>
        <v>0</v>
      </c>
      <c r="J235" s="348">
        <f>SUM(J233,J234)</f>
        <v>0</v>
      </c>
      <c r="K235" s="348">
        <f>SUM(K233,K234)</f>
        <v>0</v>
      </c>
      <c r="L235" s="348">
        <f>SUM(L233,L234)</f>
        <v>0</v>
      </c>
      <c r="M235" s="349">
        <f>SUM(M233,M234)</f>
        <v>0</v>
      </c>
      <c r="N235" s="326"/>
      <c r="O235" s="347">
        <f>SUM(D235:G235)</f>
        <v>0</v>
      </c>
      <c r="P235" s="348">
        <f>SUM(H235)</f>
        <v>0</v>
      </c>
      <c r="Q235" s="349">
        <f>SUM(D235:H235)</f>
        <v>0</v>
      </c>
      <c r="R235" s="326"/>
      <c r="S235" s="347">
        <f>SUM(I235:M235)</f>
        <v>0</v>
      </c>
      <c r="T235" s="156" t="str">
        <f>IF(Q235&lt;&gt;0,(S235-Q235)/Q235,"0")</f>
        <v>0</v>
      </c>
    </row>
    <row r="236" spans="2:20">
      <c r="B236" s="439" t="s">
        <v>325</v>
      </c>
      <c r="C236" s="537"/>
      <c r="D236" s="407"/>
      <c r="E236" s="408"/>
      <c r="F236" s="408"/>
      <c r="G236" s="408"/>
      <c r="H236" s="409"/>
      <c r="I236" s="408"/>
      <c r="J236" s="408"/>
      <c r="K236" s="408"/>
      <c r="L236" s="408"/>
      <c r="M236" s="409"/>
      <c r="N236" s="326"/>
      <c r="O236" s="407"/>
      <c r="P236" s="408"/>
      <c r="Q236" s="409"/>
      <c r="R236" s="326"/>
      <c r="S236" s="407"/>
      <c r="T236" s="409"/>
    </row>
    <row r="237" spans="2:20">
      <c r="B237" s="535" t="s">
        <v>289</v>
      </c>
      <c r="C237" s="472" t="s">
        <v>203</v>
      </c>
      <c r="D237" s="498"/>
      <c r="E237" s="499"/>
      <c r="F237" s="499"/>
      <c r="G237" s="499"/>
      <c r="H237" s="500"/>
      <c r="I237" s="375"/>
      <c r="J237" s="377"/>
      <c r="K237" s="377"/>
      <c r="L237" s="377"/>
      <c r="M237" s="376"/>
      <c r="N237" s="326"/>
      <c r="O237" s="367"/>
      <c r="P237" s="368"/>
      <c r="Q237" s="369"/>
      <c r="R237" s="326"/>
      <c r="S237" s="367"/>
      <c r="T237" s="370"/>
    </row>
    <row r="238" spans="2:20">
      <c r="B238" s="535" t="s">
        <v>290</v>
      </c>
      <c r="C238" s="472" t="s">
        <v>203</v>
      </c>
      <c r="D238" s="498"/>
      <c r="E238" s="499"/>
      <c r="F238" s="499"/>
      <c r="G238" s="499"/>
      <c r="H238" s="500"/>
      <c r="I238" s="375"/>
      <c r="J238" s="377"/>
      <c r="K238" s="377"/>
      <c r="L238" s="377"/>
      <c r="M238" s="376"/>
      <c r="N238" s="326"/>
      <c r="O238" s="367"/>
      <c r="P238" s="368"/>
      <c r="Q238" s="369"/>
      <c r="R238" s="326"/>
      <c r="S238" s="367"/>
      <c r="T238" s="370"/>
    </row>
    <row r="239" spans="2:20">
      <c r="B239" s="538" t="s">
        <v>252</v>
      </c>
      <c r="C239" s="472" t="s">
        <v>203</v>
      </c>
      <c r="D239" s="517"/>
      <c r="E239" s="518"/>
      <c r="F239" s="518"/>
      <c r="G239" s="518"/>
      <c r="H239" s="519"/>
      <c r="I239" s="520">
        <f>SUM(I237,I238)</f>
        <v>0</v>
      </c>
      <c r="J239" s="521">
        <f>SUM(J237,J238)</f>
        <v>0</v>
      </c>
      <c r="K239" s="521">
        <f>SUM(K237,K238)</f>
        <v>0</v>
      </c>
      <c r="L239" s="521">
        <f>SUM(L237,L238)</f>
        <v>0</v>
      </c>
      <c r="M239" s="522">
        <f>SUM(M237,M238)</f>
        <v>0</v>
      </c>
      <c r="N239" s="326"/>
      <c r="O239" s="347">
        <f>SUM(D239:G239)</f>
        <v>0</v>
      </c>
      <c r="P239" s="348">
        <f>SUM(H239)</f>
        <v>0</v>
      </c>
      <c r="Q239" s="349">
        <f>SUM(D239:H239)</f>
        <v>0</v>
      </c>
      <c r="R239" s="326"/>
      <c r="S239" s="347">
        <f>SUM(I239:M239)</f>
        <v>0</v>
      </c>
      <c r="T239" s="156" t="str">
        <f>IF(Q239&lt;&gt;0,(S239-Q239)/Q239,"0")</f>
        <v>0</v>
      </c>
    </row>
    <row r="240" spans="2:20" ht="13.5" thickBot="1">
      <c r="B240" s="523" t="s">
        <v>334</v>
      </c>
      <c r="C240" s="539"/>
      <c r="D240" s="525">
        <f t="shared" ref="D240:M240" si="25">SUM(D227,D231,D235,D239)</f>
        <v>0</v>
      </c>
      <c r="E240" s="525">
        <f t="shared" si="25"/>
        <v>0</v>
      </c>
      <c r="F240" s="525">
        <f t="shared" si="25"/>
        <v>0</v>
      </c>
      <c r="G240" s="525">
        <f t="shared" si="25"/>
        <v>0</v>
      </c>
      <c r="H240" s="525">
        <f t="shared" si="25"/>
        <v>0</v>
      </c>
      <c r="I240" s="540">
        <f t="shared" si="25"/>
        <v>0</v>
      </c>
      <c r="J240" s="540">
        <f t="shared" si="25"/>
        <v>0</v>
      </c>
      <c r="K240" s="540">
        <f t="shared" si="25"/>
        <v>0</v>
      </c>
      <c r="L240" s="540">
        <f t="shared" si="25"/>
        <v>0</v>
      </c>
      <c r="M240" s="541">
        <f t="shared" si="25"/>
        <v>0</v>
      </c>
      <c r="N240" s="326"/>
      <c r="O240" s="382">
        <f>SUM(O227,O231,O235,O239)</f>
        <v>0</v>
      </c>
      <c r="P240" s="383">
        <f>SUM(P227,P231,P235,P239)</f>
        <v>0</v>
      </c>
      <c r="Q240" s="384">
        <f>SUM(Q227,Q231,Q235,Q239)</f>
        <v>0</v>
      </c>
      <c r="R240" s="326"/>
      <c r="S240" s="382">
        <f>SUM(S227,S231,S235,S239)</f>
        <v>0</v>
      </c>
      <c r="T240" s="175" t="str">
        <f>IF(Q240&lt;&gt;0,(S240-Q240)/Q240,"0")</f>
        <v>0</v>
      </c>
    </row>
    <row r="241" spans="2:20">
      <c r="N241" s="326"/>
      <c r="R241" s="326"/>
    </row>
    <row r="243" spans="2:20">
      <c r="B243" s="385" t="s">
        <v>335</v>
      </c>
      <c r="C243" s="386"/>
      <c r="D243" s="387"/>
      <c r="E243" s="387"/>
      <c r="F243" s="387"/>
      <c r="G243" s="387"/>
      <c r="H243" s="387"/>
      <c r="I243" s="387"/>
      <c r="J243" s="387"/>
      <c r="K243" s="387"/>
      <c r="L243" s="387"/>
      <c r="M243" s="387"/>
      <c r="N243" s="326"/>
      <c r="O243" s="387"/>
      <c r="P243" s="387"/>
      <c r="Q243" s="387"/>
      <c r="R243" s="326"/>
      <c r="S243" s="387"/>
      <c r="T243" s="387"/>
    </row>
    <row r="244" spans="2:20" ht="13.5" thickBot="1">
      <c r="B244" s="385"/>
      <c r="C244" s="386"/>
      <c r="D244" s="387"/>
      <c r="E244" s="387"/>
      <c r="F244" s="387"/>
      <c r="G244" s="387"/>
      <c r="H244" s="387"/>
      <c r="I244" s="387"/>
      <c r="J244" s="387"/>
      <c r="K244" s="387"/>
      <c r="L244" s="387"/>
      <c r="M244" s="387"/>
      <c r="N244" s="326"/>
      <c r="O244" s="387"/>
      <c r="P244" s="387"/>
      <c r="Q244" s="387"/>
      <c r="R244" s="326"/>
      <c r="S244" s="387"/>
      <c r="T244" s="387"/>
    </row>
    <row r="245" spans="2:20">
      <c r="B245" s="528"/>
      <c r="C245" s="529"/>
      <c r="D245" s="328" t="s">
        <v>191</v>
      </c>
      <c r="E245" s="329"/>
      <c r="F245" s="329"/>
      <c r="G245" s="329"/>
      <c r="H245" s="330"/>
      <c r="I245" s="329" t="s">
        <v>192</v>
      </c>
      <c r="J245" s="331"/>
      <c r="K245" s="331"/>
      <c r="L245" s="331"/>
      <c r="M245" s="330"/>
      <c r="N245" s="326"/>
      <c r="O245" s="332" t="s">
        <v>191</v>
      </c>
      <c r="P245" s="333"/>
      <c r="Q245" s="334"/>
      <c r="R245" s="326"/>
      <c r="S245" s="332" t="s">
        <v>192</v>
      </c>
      <c r="T245" s="334"/>
    </row>
    <row r="246" spans="2:20" ht="13.5" thickBot="1">
      <c r="B246" s="530" t="s">
        <v>257</v>
      </c>
      <c r="C246" s="531" t="s">
        <v>190</v>
      </c>
      <c r="D246" s="335" t="s">
        <v>79</v>
      </c>
      <c r="E246" s="336" t="s">
        <v>80</v>
      </c>
      <c r="F246" s="336" t="s">
        <v>81</v>
      </c>
      <c r="G246" s="336" t="s">
        <v>82</v>
      </c>
      <c r="H246" s="337" t="s">
        <v>44</v>
      </c>
      <c r="I246" s="338" t="s">
        <v>193</v>
      </c>
      <c r="J246" s="336" t="s">
        <v>194</v>
      </c>
      <c r="K246" s="336" t="s">
        <v>195</v>
      </c>
      <c r="L246" s="336" t="s">
        <v>196</v>
      </c>
      <c r="M246" s="337" t="s">
        <v>197</v>
      </c>
      <c r="N246" s="326"/>
      <c r="O246" s="339" t="s">
        <v>198</v>
      </c>
      <c r="P246" s="340" t="s">
        <v>199</v>
      </c>
      <c r="Q246" s="341" t="s">
        <v>200</v>
      </c>
      <c r="R246" s="326"/>
      <c r="S246" s="339" t="s">
        <v>199</v>
      </c>
      <c r="T246" s="341" t="s">
        <v>201</v>
      </c>
    </row>
    <row r="247" spans="2:20">
      <c r="B247" s="548" t="s">
        <v>258</v>
      </c>
      <c r="C247" s="534"/>
      <c r="D247" s="390"/>
      <c r="E247" s="391"/>
      <c r="F247" s="391"/>
      <c r="G247" s="391"/>
      <c r="H247" s="392"/>
      <c r="I247" s="391"/>
      <c r="J247" s="391"/>
      <c r="K247" s="391"/>
      <c r="L247" s="391"/>
      <c r="M247" s="392"/>
      <c r="N247" s="326"/>
      <c r="O247" s="549"/>
      <c r="P247" s="550"/>
      <c r="Q247" s="551"/>
      <c r="R247" s="326"/>
      <c r="S247" s="552"/>
      <c r="T247" s="553"/>
    </row>
    <row r="248" spans="2:20">
      <c r="B248" s="535" t="s">
        <v>283</v>
      </c>
      <c r="C248" s="472" t="s">
        <v>203</v>
      </c>
      <c r="D248" s="498"/>
      <c r="E248" s="499"/>
      <c r="F248" s="499"/>
      <c r="G248" s="499"/>
      <c r="H248" s="500"/>
      <c r="I248" s="375"/>
      <c r="J248" s="377"/>
      <c r="K248" s="377"/>
      <c r="L248" s="377"/>
      <c r="M248" s="376"/>
      <c r="N248" s="326"/>
      <c r="O248" s="367"/>
      <c r="P248" s="368"/>
      <c r="Q248" s="369"/>
      <c r="R248" s="326"/>
      <c r="S248" s="367"/>
      <c r="T248" s="370"/>
    </row>
    <row r="249" spans="2:20">
      <c r="B249" s="535" t="s">
        <v>284</v>
      </c>
      <c r="C249" s="472"/>
      <c r="D249" s="498"/>
      <c r="E249" s="499"/>
      <c r="F249" s="499"/>
      <c r="G249" s="499"/>
      <c r="H249" s="500"/>
      <c r="I249" s="375"/>
      <c r="J249" s="377"/>
      <c r="K249" s="377"/>
      <c r="L249" s="377"/>
      <c r="M249" s="376"/>
      <c r="N249" s="326"/>
      <c r="O249" s="367"/>
      <c r="P249" s="368"/>
      <c r="Q249" s="369"/>
      <c r="R249" s="326"/>
      <c r="S249" s="367"/>
      <c r="T249" s="370"/>
    </row>
    <row r="250" spans="2:20">
      <c r="B250" s="536" t="s">
        <v>246</v>
      </c>
      <c r="C250" s="472" t="s">
        <v>203</v>
      </c>
      <c r="D250" s="356"/>
      <c r="E250" s="375"/>
      <c r="F250" s="375"/>
      <c r="G250" s="375"/>
      <c r="H250" s="376"/>
      <c r="I250" s="405">
        <f>SUM(I248:I249)</f>
        <v>0</v>
      </c>
      <c r="J250" s="348">
        <f>SUM(J248:J249)</f>
        <v>0</v>
      </c>
      <c r="K250" s="348">
        <f>SUM(K248:K249)</f>
        <v>0</v>
      </c>
      <c r="L250" s="348">
        <f>SUM(L248:L249)</f>
        <v>0</v>
      </c>
      <c r="M250" s="349">
        <f>SUM(M248:M249)</f>
        <v>0</v>
      </c>
      <c r="N250" s="326"/>
      <c r="O250" s="347">
        <f>SUM(D250:G250)</f>
        <v>0</v>
      </c>
      <c r="P250" s="348">
        <f>SUM(H250)</f>
        <v>0</v>
      </c>
      <c r="Q250" s="349">
        <f>SUM(D250:H250)</f>
        <v>0</v>
      </c>
      <c r="R250" s="326"/>
      <c r="S250" s="347">
        <f>SUM(I250:M250)</f>
        <v>0</v>
      </c>
      <c r="T250" s="156" t="str">
        <f>IF(Q250&lt;&gt;0,(S250-Q250)/Q250,"0")</f>
        <v>0</v>
      </c>
    </row>
    <row r="251" spans="2:20">
      <c r="B251" s="439" t="s">
        <v>336</v>
      </c>
      <c r="C251" s="537"/>
      <c r="D251" s="407"/>
      <c r="E251" s="408"/>
      <c r="F251" s="408"/>
      <c r="G251" s="408"/>
      <c r="H251" s="409"/>
      <c r="I251" s="408"/>
      <c r="J251" s="408"/>
      <c r="K251" s="408"/>
      <c r="L251" s="408"/>
      <c r="M251" s="409"/>
      <c r="N251" s="326"/>
      <c r="O251" s="552"/>
      <c r="P251" s="550"/>
      <c r="Q251" s="551"/>
      <c r="R251" s="326"/>
      <c r="S251" s="549"/>
      <c r="T251" s="551"/>
    </row>
    <row r="252" spans="2:20">
      <c r="B252" s="535" t="s">
        <v>285</v>
      </c>
      <c r="C252" s="472" t="s">
        <v>203</v>
      </c>
      <c r="D252" s="498"/>
      <c r="E252" s="499"/>
      <c r="F252" s="499"/>
      <c r="G252" s="499"/>
      <c r="H252" s="500"/>
      <c r="I252" s="375"/>
      <c r="J252" s="377"/>
      <c r="K252" s="377"/>
      <c r="L252" s="377"/>
      <c r="M252" s="376"/>
      <c r="N252" s="326"/>
      <c r="O252" s="367"/>
      <c r="P252" s="368"/>
      <c r="Q252" s="369"/>
      <c r="R252" s="326"/>
      <c r="S252" s="367"/>
      <c r="T252" s="370"/>
    </row>
    <row r="253" spans="2:20">
      <c r="B253" s="535" t="s">
        <v>286</v>
      </c>
      <c r="C253" s="472" t="s">
        <v>203</v>
      </c>
      <c r="D253" s="498"/>
      <c r="E253" s="499"/>
      <c r="F253" s="499"/>
      <c r="G253" s="499"/>
      <c r="H253" s="500"/>
      <c r="I253" s="375"/>
      <c r="J253" s="377"/>
      <c r="K253" s="377"/>
      <c r="L253" s="377"/>
      <c r="M253" s="376"/>
      <c r="N253" s="326"/>
      <c r="O253" s="367"/>
      <c r="P253" s="368"/>
      <c r="Q253" s="369"/>
      <c r="R253" s="326"/>
      <c r="S253" s="367"/>
      <c r="T253" s="370"/>
    </row>
    <row r="254" spans="2:20">
      <c r="B254" s="536" t="s">
        <v>248</v>
      </c>
      <c r="C254" s="472" t="s">
        <v>203</v>
      </c>
      <c r="D254" s="356"/>
      <c r="E254" s="375"/>
      <c r="F254" s="375"/>
      <c r="G254" s="375"/>
      <c r="H254" s="376"/>
      <c r="I254" s="405">
        <f>SUM(I252:I253)</f>
        <v>0</v>
      </c>
      <c r="J254" s="348">
        <f>SUM(J252:J253)</f>
        <v>0</v>
      </c>
      <c r="K254" s="348">
        <f>SUM(K252:K253)</f>
        <v>0</v>
      </c>
      <c r="L254" s="348">
        <f>SUM(L252:L253)</f>
        <v>0</v>
      </c>
      <c r="M254" s="349">
        <f>SUM(M252:M253)</f>
        <v>0</v>
      </c>
      <c r="N254" s="326"/>
      <c r="O254" s="347">
        <f>SUM(D254:G254)</f>
        <v>0</v>
      </c>
      <c r="P254" s="348">
        <f>SUM(H254)</f>
        <v>0</v>
      </c>
      <c r="Q254" s="349">
        <f>SUM(D254:H254)</f>
        <v>0</v>
      </c>
      <c r="R254" s="326"/>
      <c r="S254" s="347">
        <f>SUM(I254:M254)</f>
        <v>0</v>
      </c>
      <c r="T254" s="156" t="str">
        <f>IF(Q254&lt;&gt;0,(S254-Q254)/Q254,"0")</f>
        <v>0</v>
      </c>
    </row>
    <row r="255" spans="2:20">
      <c r="B255" s="439" t="s">
        <v>337</v>
      </c>
      <c r="C255" s="537"/>
      <c r="D255" s="407"/>
      <c r="E255" s="408"/>
      <c r="F255" s="408"/>
      <c r="G255" s="408"/>
      <c r="H255" s="409"/>
      <c r="I255" s="408"/>
      <c r="J255" s="408"/>
      <c r="K255" s="408"/>
      <c r="L255" s="408"/>
      <c r="M255" s="409"/>
      <c r="N255" s="326"/>
      <c r="O255" s="549"/>
      <c r="P255" s="550"/>
      <c r="Q255" s="551"/>
      <c r="R255" s="326"/>
      <c r="S255" s="549"/>
      <c r="T255" s="551"/>
    </row>
    <row r="256" spans="2:20">
      <c r="B256" s="535" t="s">
        <v>287</v>
      </c>
      <c r="C256" s="472" t="s">
        <v>203</v>
      </c>
      <c r="D256" s="498"/>
      <c r="E256" s="499"/>
      <c r="F256" s="499"/>
      <c r="G256" s="499"/>
      <c r="H256" s="500"/>
      <c r="I256" s="375"/>
      <c r="J256" s="377"/>
      <c r="K256" s="377"/>
      <c r="L256" s="377"/>
      <c r="M256" s="376"/>
      <c r="N256" s="326"/>
      <c r="O256" s="367"/>
      <c r="P256" s="368"/>
      <c r="Q256" s="369"/>
      <c r="R256" s="326"/>
      <c r="S256" s="367"/>
      <c r="T256" s="370"/>
    </row>
    <row r="257" spans="1:20">
      <c r="B257" s="535" t="s">
        <v>288</v>
      </c>
      <c r="C257" s="472" t="s">
        <v>203</v>
      </c>
      <c r="D257" s="498"/>
      <c r="E257" s="499"/>
      <c r="F257" s="499"/>
      <c r="G257" s="499"/>
      <c r="H257" s="500"/>
      <c r="I257" s="375"/>
      <c r="J257" s="377"/>
      <c r="K257" s="377"/>
      <c r="L257" s="377"/>
      <c r="M257" s="376"/>
      <c r="N257" s="326"/>
      <c r="O257" s="367"/>
      <c r="P257" s="368"/>
      <c r="Q257" s="369"/>
      <c r="R257" s="326"/>
      <c r="S257" s="367"/>
      <c r="T257" s="370"/>
    </row>
    <row r="258" spans="1:20">
      <c r="B258" s="536" t="s">
        <v>250</v>
      </c>
      <c r="C258" s="472" t="s">
        <v>203</v>
      </c>
      <c r="D258" s="356"/>
      <c r="E258" s="375"/>
      <c r="F258" s="375"/>
      <c r="G258" s="375"/>
      <c r="H258" s="376"/>
      <c r="I258" s="405">
        <f>SUM(I256:I257)</f>
        <v>0</v>
      </c>
      <c r="J258" s="348">
        <f>SUM(J256:J257)</f>
        <v>0</v>
      </c>
      <c r="K258" s="348">
        <f>SUM(K256:K257)</f>
        <v>0</v>
      </c>
      <c r="L258" s="348">
        <f>SUM(L256:L257)</f>
        <v>0</v>
      </c>
      <c r="M258" s="349">
        <f>SUM(M256:M257)</f>
        <v>0</v>
      </c>
      <c r="N258" s="326"/>
      <c r="O258" s="347">
        <f>SUM(D258:G258)</f>
        <v>0</v>
      </c>
      <c r="P258" s="348">
        <f>SUM(H258)</f>
        <v>0</v>
      </c>
      <c r="Q258" s="349">
        <f>SUM(D258:H258)</f>
        <v>0</v>
      </c>
      <c r="R258" s="326"/>
      <c r="S258" s="347">
        <f>SUM(I258:M258)</f>
        <v>0</v>
      </c>
      <c r="T258" s="156" t="str">
        <f>IF(Q258&lt;&gt;0,(S258-Q258)/Q258,"0")</f>
        <v>0</v>
      </c>
    </row>
    <row r="259" spans="1:20">
      <c r="B259" s="439" t="s">
        <v>338</v>
      </c>
      <c r="C259" s="537"/>
      <c r="D259" s="407"/>
      <c r="E259" s="408"/>
      <c r="F259" s="408"/>
      <c r="G259" s="408"/>
      <c r="H259" s="409"/>
      <c r="I259" s="408"/>
      <c r="J259" s="408"/>
      <c r="K259" s="408"/>
      <c r="L259" s="408"/>
      <c r="M259" s="409"/>
      <c r="N259" s="326"/>
      <c r="O259" s="549"/>
      <c r="P259" s="550"/>
      <c r="Q259" s="551"/>
      <c r="R259" s="326"/>
      <c r="S259" s="549"/>
      <c r="T259" s="551"/>
    </row>
    <row r="260" spans="1:20">
      <c r="B260" s="535" t="s">
        <v>289</v>
      </c>
      <c r="C260" s="472" t="s">
        <v>203</v>
      </c>
      <c r="D260" s="498"/>
      <c r="E260" s="499"/>
      <c r="F260" s="499"/>
      <c r="G260" s="499"/>
      <c r="H260" s="500"/>
      <c r="I260" s="375"/>
      <c r="J260" s="377"/>
      <c r="K260" s="377"/>
      <c r="L260" s="377"/>
      <c r="M260" s="376"/>
      <c r="N260" s="326"/>
      <c r="O260" s="367"/>
      <c r="P260" s="368"/>
      <c r="Q260" s="369"/>
      <c r="R260" s="326"/>
      <c r="S260" s="367"/>
      <c r="T260" s="370"/>
    </row>
    <row r="261" spans="1:20">
      <c r="B261" s="535" t="s">
        <v>290</v>
      </c>
      <c r="C261" s="472" t="s">
        <v>203</v>
      </c>
      <c r="D261" s="498"/>
      <c r="E261" s="499"/>
      <c r="F261" s="499"/>
      <c r="G261" s="499"/>
      <c r="H261" s="500"/>
      <c r="I261" s="375"/>
      <c r="J261" s="377"/>
      <c r="K261" s="377"/>
      <c r="L261" s="377"/>
      <c r="M261" s="376"/>
      <c r="N261" s="326"/>
      <c r="O261" s="367"/>
      <c r="P261" s="368"/>
      <c r="Q261" s="369"/>
      <c r="R261" s="326"/>
      <c r="S261" s="367"/>
      <c r="T261" s="370"/>
    </row>
    <row r="262" spans="1:20">
      <c r="B262" s="538" t="s">
        <v>252</v>
      </c>
      <c r="C262" s="472" t="s">
        <v>203</v>
      </c>
      <c r="D262" s="517"/>
      <c r="E262" s="518"/>
      <c r="F262" s="518"/>
      <c r="G262" s="518"/>
      <c r="H262" s="519"/>
      <c r="I262" s="520">
        <f>SUM(I260:I261)</f>
        <v>0</v>
      </c>
      <c r="J262" s="521">
        <f>SUM(J260:J261)</f>
        <v>0</v>
      </c>
      <c r="K262" s="521">
        <f>SUM(K260:K261)</f>
        <v>0</v>
      </c>
      <c r="L262" s="521">
        <f>SUM(L260:L261)</f>
        <v>0</v>
      </c>
      <c r="M262" s="522">
        <f>SUM(M260:M261)</f>
        <v>0</v>
      </c>
      <c r="N262" s="326"/>
      <c r="O262" s="347">
        <f>SUM(D262:G262)</f>
        <v>0</v>
      </c>
      <c r="P262" s="348">
        <f>SUM(H262)</f>
        <v>0</v>
      </c>
      <c r="Q262" s="349">
        <f>SUM(D262:H262)</f>
        <v>0</v>
      </c>
      <c r="R262" s="326"/>
      <c r="S262" s="347">
        <f>SUM(I262:M262)</f>
        <v>0</v>
      </c>
      <c r="T262" s="156" t="str">
        <f>IF(Q262&lt;&gt;0,(S262-Q262)/Q262,"0")</f>
        <v>0</v>
      </c>
    </row>
    <row r="263" spans="1:20" ht="13.5" thickBot="1">
      <c r="B263" s="554" t="s">
        <v>339</v>
      </c>
      <c r="C263" s="539"/>
      <c r="D263" s="525">
        <f t="shared" ref="D263:M263" si="26">SUM(D250,D254,D258,D262)</f>
        <v>0</v>
      </c>
      <c r="E263" s="525">
        <f t="shared" si="26"/>
        <v>0</v>
      </c>
      <c r="F263" s="525">
        <f t="shared" si="26"/>
        <v>0</v>
      </c>
      <c r="G263" s="525">
        <f t="shared" si="26"/>
        <v>0</v>
      </c>
      <c r="H263" s="525">
        <f t="shared" si="26"/>
        <v>0</v>
      </c>
      <c r="I263" s="526">
        <f t="shared" si="26"/>
        <v>0</v>
      </c>
      <c r="J263" s="526">
        <f t="shared" si="26"/>
        <v>0</v>
      </c>
      <c r="K263" s="526">
        <f t="shared" si="26"/>
        <v>0</v>
      </c>
      <c r="L263" s="526">
        <f t="shared" si="26"/>
        <v>0</v>
      </c>
      <c r="M263" s="527">
        <f t="shared" si="26"/>
        <v>0</v>
      </c>
      <c r="N263" s="326"/>
      <c r="O263" s="382">
        <f>SUM(O250,O254,O258,O262)</f>
        <v>0</v>
      </c>
      <c r="P263" s="383">
        <f>SUM(P250,P254,P258,P262)</f>
        <v>0</v>
      </c>
      <c r="Q263" s="384">
        <f>SUM(Q250,Q254,Q258,Q262)</f>
        <v>0</v>
      </c>
      <c r="R263" s="326"/>
      <c r="S263" s="382">
        <f>SUM(S250,S254,S258,S262)</f>
        <v>0</v>
      </c>
      <c r="T263" s="175" t="str">
        <f>IF(Q263&lt;&gt;0,(S263-Q263)/Q263,"0")</f>
        <v>0</v>
      </c>
    </row>
    <row r="266" spans="1:20">
      <c r="D266" s="555">
        <f>SUM(D240:M240) - SUM(D263:M263)</f>
        <v>0</v>
      </c>
    </row>
    <row r="267" spans="1:20">
      <c r="A267" s="556"/>
      <c r="B267" s="557"/>
      <c r="C267" s="558"/>
      <c r="D267" s="428"/>
      <c r="E267" s="428"/>
      <c r="F267" s="428"/>
      <c r="G267" s="428"/>
      <c r="H267" s="428"/>
      <c r="I267" s="428"/>
      <c r="J267" s="428"/>
      <c r="K267" s="428"/>
      <c r="L267" s="428"/>
      <c r="M267" s="428"/>
      <c r="N267" s="428"/>
    </row>
  </sheetData>
  <mergeCells count="12">
    <mergeCell ref="B79:B80"/>
    <mergeCell ref="C79:C80"/>
    <mergeCell ref="B110:B111"/>
    <mergeCell ref="C110:C111"/>
    <mergeCell ref="B143:B144"/>
    <mergeCell ref="C143:C144"/>
    <mergeCell ref="B8:B9"/>
    <mergeCell ref="C8:C9"/>
    <mergeCell ref="B26:B27"/>
    <mergeCell ref="C26:C27"/>
    <mergeCell ref="B48:B49"/>
    <mergeCell ref="C48:C49"/>
  </mergeCells>
  <phoneticPr fontId="1" type="noConversion"/>
  <pageMargins left="0.75" right="0.75" top="1" bottom="1" header="0.5" footer="0.5"/>
  <pageSetup paperSize="9" scale="21" orientation="portrait" horizontalDpi="4294967292" verticalDpi="4294967292"/>
  <headerFooter>
    <oddHeader>&amp;A&amp;RPage &amp;P</oddHead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5FFFF"/>
    <pageSetUpPr fitToPage="1"/>
  </sheetPr>
  <dimension ref="A1:AO131"/>
  <sheetViews>
    <sheetView topLeftCell="A52" workbookViewId="0">
      <selection sqref="A1:XFD1048576"/>
    </sheetView>
  </sheetViews>
  <sheetFormatPr defaultRowHeight="12.75"/>
  <cols>
    <col min="1" max="1" width="9.42578125" style="569" customWidth="1"/>
    <col min="2" max="2" width="4.7109375" style="569" customWidth="1"/>
    <col min="3" max="3" width="39" style="569" customWidth="1"/>
    <col min="4" max="5" width="10.85546875" style="569" bestFit="1" customWidth="1"/>
    <col min="6" max="6" width="10.140625" style="569" bestFit="1" customWidth="1"/>
    <col min="7" max="7" width="11.28515625" style="569" customWidth="1"/>
    <col min="8" max="9" width="10.85546875" style="569" bestFit="1" customWidth="1"/>
    <col min="10" max="10" width="10.140625" style="569" bestFit="1" customWidth="1"/>
    <col min="11" max="11" width="9.85546875" style="569" bestFit="1" customWidth="1"/>
    <col min="12" max="13" width="11.42578125" style="569" bestFit="1" customWidth="1"/>
    <col min="14" max="36" width="15.42578125" style="569" customWidth="1"/>
    <col min="37" max="37" width="109.28515625" style="569" customWidth="1"/>
    <col min="38" max="16384" width="9.140625" style="569"/>
  </cols>
  <sheetData>
    <row r="1" spans="1:36" s="560" customFormat="1" ht="26.25">
      <c r="A1" s="559" t="s">
        <v>340</v>
      </c>
      <c r="D1" s="559"/>
      <c r="E1" s="561"/>
      <c r="F1" s="562"/>
      <c r="G1" s="562"/>
      <c r="I1" s="563"/>
      <c r="J1" s="563"/>
      <c r="L1" s="563"/>
    </row>
    <row r="2" spans="1:36" s="560" customFormat="1" ht="18">
      <c r="A2" s="564" t="s">
        <v>990</v>
      </c>
      <c r="E2" s="565"/>
    </row>
    <row r="3" spans="1:36" s="567" customFormat="1" ht="18.75" thickBot="1">
      <c r="A3" s="566" t="s">
        <v>341</v>
      </c>
      <c r="D3" s="566"/>
      <c r="E3" s="568"/>
    </row>
    <row r="5" spans="1:36">
      <c r="B5" s="570" t="s">
        <v>342</v>
      </c>
      <c r="C5" s="570"/>
    </row>
    <row r="6" spans="1:36" ht="13.5" thickBot="1">
      <c r="B6" s="570"/>
      <c r="C6" s="570"/>
    </row>
    <row r="7" spans="1:36">
      <c r="B7" s="570"/>
      <c r="C7" s="571"/>
      <c r="D7" s="572" t="s">
        <v>191</v>
      </c>
      <c r="E7" s="573"/>
      <c r="F7" s="573"/>
      <c r="G7" s="573"/>
      <c r="H7" s="574"/>
      <c r="I7" s="573" t="s">
        <v>192</v>
      </c>
      <c r="J7" s="575"/>
      <c r="K7" s="575"/>
      <c r="L7" s="575"/>
      <c r="M7" s="574"/>
      <c r="N7" s="576"/>
      <c r="O7" s="577" t="s">
        <v>191</v>
      </c>
      <c r="P7" s="578"/>
      <c r="Q7" s="579"/>
      <c r="S7" s="1524" t="s">
        <v>192</v>
      </c>
      <c r="T7" s="1525"/>
      <c r="U7" s="580"/>
      <c r="W7" s="580"/>
      <c r="X7" s="580"/>
      <c r="Y7" s="580"/>
      <c r="Z7" s="580"/>
      <c r="AA7" s="580"/>
      <c r="AB7" s="580"/>
      <c r="AC7" s="580"/>
      <c r="AD7" s="580"/>
      <c r="AE7" s="580"/>
      <c r="AF7" s="580"/>
      <c r="AG7" s="580"/>
      <c r="AH7" s="580"/>
      <c r="AI7" s="580"/>
      <c r="AJ7" s="580"/>
    </row>
    <row r="8" spans="1:36">
      <c r="C8" s="581"/>
      <c r="D8" s="582" t="s">
        <v>79</v>
      </c>
      <c r="E8" s="583" t="s">
        <v>80</v>
      </c>
      <c r="F8" s="583" t="s">
        <v>81</v>
      </c>
      <c r="G8" s="583" t="s">
        <v>82</v>
      </c>
      <c r="H8" s="584" t="s">
        <v>44</v>
      </c>
      <c r="I8" s="585" t="s">
        <v>193</v>
      </c>
      <c r="J8" s="583" t="s">
        <v>194</v>
      </c>
      <c r="K8" s="583" t="s">
        <v>195</v>
      </c>
      <c r="L8" s="583" t="s">
        <v>196</v>
      </c>
      <c r="M8" s="584" t="s">
        <v>197</v>
      </c>
      <c r="N8" s="576"/>
      <c r="O8" s="582" t="s">
        <v>198</v>
      </c>
      <c r="P8" s="583" t="s">
        <v>199</v>
      </c>
      <c r="Q8" s="584" t="s">
        <v>200</v>
      </c>
      <c r="S8" s="582" t="s">
        <v>199</v>
      </c>
      <c r="T8" s="584" t="s">
        <v>201</v>
      </c>
      <c r="U8" s="586"/>
      <c r="W8" s="586"/>
      <c r="X8" s="586"/>
      <c r="Y8" s="586"/>
      <c r="Z8" s="586"/>
      <c r="AA8" s="586"/>
      <c r="AB8" s="586"/>
      <c r="AC8" s="586"/>
      <c r="AD8" s="586"/>
      <c r="AE8" s="586"/>
      <c r="AF8" s="586"/>
      <c r="AG8" s="586"/>
      <c r="AH8" s="586"/>
      <c r="AI8" s="586"/>
      <c r="AJ8" s="586"/>
    </row>
    <row r="9" spans="1:36">
      <c r="C9" s="587"/>
      <c r="D9" s="588" t="s">
        <v>343</v>
      </c>
      <c r="E9" s="589" t="s">
        <v>343</v>
      </c>
      <c r="F9" s="589" t="s">
        <v>343</v>
      </c>
      <c r="G9" s="589" t="s">
        <v>343</v>
      </c>
      <c r="H9" s="590" t="s">
        <v>343</v>
      </c>
      <c r="I9" s="591" t="s">
        <v>343</v>
      </c>
      <c r="J9" s="589" t="s">
        <v>343</v>
      </c>
      <c r="K9" s="589" t="s">
        <v>343</v>
      </c>
      <c r="L9" s="589" t="s">
        <v>343</v>
      </c>
      <c r="M9" s="590" t="s">
        <v>343</v>
      </c>
      <c r="N9" s="592"/>
      <c r="O9" s="588" t="s">
        <v>343</v>
      </c>
      <c r="P9" s="589" t="s">
        <v>343</v>
      </c>
      <c r="Q9" s="590" t="s">
        <v>343</v>
      </c>
      <c r="S9" s="588" t="s">
        <v>343</v>
      </c>
      <c r="T9" s="590" t="s">
        <v>343</v>
      </c>
      <c r="U9" s="593"/>
      <c r="W9" s="593"/>
      <c r="X9" s="593"/>
      <c r="Y9" s="593"/>
      <c r="Z9" s="593"/>
      <c r="AA9" s="593"/>
      <c r="AB9" s="593"/>
      <c r="AC9" s="593"/>
      <c r="AD9" s="593"/>
      <c r="AE9" s="593"/>
      <c r="AF9" s="593"/>
      <c r="AG9" s="593"/>
      <c r="AH9" s="593"/>
      <c r="AI9" s="593"/>
      <c r="AJ9" s="593"/>
    </row>
    <row r="10" spans="1:36">
      <c r="C10" s="594" t="s">
        <v>344</v>
      </c>
      <c r="D10" s="595"/>
      <c r="E10" s="596"/>
      <c r="F10" s="596"/>
      <c r="G10" s="596"/>
      <c r="H10" s="597"/>
      <c r="I10" s="596"/>
      <c r="J10" s="596"/>
      <c r="K10" s="596"/>
      <c r="L10" s="596"/>
      <c r="M10" s="597"/>
      <c r="N10" s="592"/>
      <c r="O10" s="595"/>
      <c r="P10" s="598"/>
      <c r="Q10" s="599"/>
      <c r="S10" s="595"/>
      <c r="T10" s="600"/>
      <c r="U10" s="601"/>
      <c r="W10" s="601"/>
      <c r="X10" s="601"/>
      <c r="Y10" s="601"/>
      <c r="Z10" s="601"/>
      <c r="AA10" s="601"/>
      <c r="AB10" s="601"/>
      <c r="AC10" s="601"/>
      <c r="AD10" s="601"/>
      <c r="AE10" s="601"/>
      <c r="AF10" s="601"/>
      <c r="AG10" s="601"/>
      <c r="AH10" s="601"/>
      <c r="AI10" s="601"/>
      <c r="AJ10" s="601"/>
    </row>
    <row r="11" spans="1:36">
      <c r="C11" s="602" t="s">
        <v>345</v>
      </c>
      <c r="D11" s="185">
        <v>1.1284494913874921</v>
      </c>
      <c r="E11" s="186">
        <v>1.3414500463147323</v>
      </c>
      <c r="F11" s="186">
        <v>0.79348913117546849</v>
      </c>
      <c r="G11" s="186">
        <v>1.0013579221453288</v>
      </c>
      <c r="H11" s="187">
        <v>1.1085926989968014</v>
      </c>
      <c r="I11" s="186">
        <v>1.0537833919966832</v>
      </c>
      <c r="J11" s="188">
        <v>1.0312306586243754</v>
      </c>
      <c r="K11" s="188">
        <v>1.0289736351869729</v>
      </c>
      <c r="L11" s="188">
        <v>1.129259125021439</v>
      </c>
      <c r="M11" s="187">
        <v>1.1401863611956096</v>
      </c>
      <c r="N11" s="603"/>
      <c r="O11" s="604">
        <f t="shared" ref="O11:O16" si="0">SUM(D11:G11)</f>
        <v>4.2647465910230213</v>
      </c>
      <c r="P11" s="605">
        <f t="shared" ref="P11:P16" si="1">H11</f>
        <v>1.1085926989968014</v>
      </c>
      <c r="Q11" s="606">
        <f t="shared" ref="Q11:Q19" si="2">SUM(D11:H11)</f>
        <v>5.3733392900198229</v>
      </c>
      <c r="R11" s="607"/>
      <c r="S11" s="604">
        <f t="shared" ref="S11:S16" si="3">SUM(I11:M11)</f>
        <v>5.3834331720250796</v>
      </c>
      <c r="T11" s="156">
        <f t="shared" ref="T11:T16" si="4">IF(Q11&lt;&gt;0,(S11-Q11)/Q11,"0")</f>
        <v>1.8785119383778017E-3</v>
      </c>
      <c r="U11" s="608"/>
      <c r="W11" s="608"/>
      <c r="X11" s="608"/>
      <c r="Y11" s="608"/>
      <c r="Z11" s="608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</row>
    <row r="12" spans="1:36">
      <c r="C12" s="602" t="s">
        <v>346</v>
      </c>
      <c r="D12" s="185">
        <v>2.5732252698082219</v>
      </c>
      <c r="E12" s="186">
        <v>4.2307270691464636</v>
      </c>
      <c r="F12" s="186">
        <v>4.5625625042589437</v>
      </c>
      <c r="G12" s="186">
        <v>1.8914538529411764</v>
      </c>
      <c r="H12" s="187">
        <v>1.9954668581942427</v>
      </c>
      <c r="I12" s="186">
        <v>2.9505934975907131</v>
      </c>
      <c r="J12" s="188">
        <v>2.9905689100106878</v>
      </c>
      <c r="K12" s="188">
        <v>2.984023542042221</v>
      </c>
      <c r="L12" s="188">
        <v>3.0797976136948333</v>
      </c>
      <c r="M12" s="187">
        <v>3.3169057780235915</v>
      </c>
      <c r="N12" s="603"/>
      <c r="O12" s="604">
        <f t="shared" si="0"/>
        <v>13.257968696154805</v>
      </c>
      <c r="P12" s="605">
        <f t="shared" si="1"/>
        <v>1.9954668581942427</v>
      </c>
      <c r="Q12" s="606">
        <f t="shared" si="2"/>
        <v>15.253435554349048</v>
      </c>
      <c r="R12" s="607"/>
      <c r="S12" s="604">
        <f t="shared" si="3"/>
        <v>15.321889341362045</v>
      </c>
      <c r="T12" s="156">
        <f t="shared" si="4"/>
        <v>4.4877619057746877E-3</v>
      </c>
      <c r="U12" s="608"/>
      <c r="W12" s="608"/>
      <c r="X12" s="608"/>
      <c r="Y12" s="608"/>
      <c r="Z12" s="608"/>
      <c r="AA12" s="608"/>
      <c r="AB12" s="608"/>
      <c r="AC12" s="608"/>
      <c r="AD12" s="608"/>
      <c r="AE12" s="608"/>
      <c r="AF12" s="608"/>
      <c r="AG12" s="608"/>
      <c r="AH12" s="608"/>
      <c r="AI12" s="608"/>
      <c r="AJ12" s="608"/>
    </row>
    <row r="13" spans="1:36">
      <c r="C13" s="602" t="s">
        <v>347</v>
      </c>
      <c r="D13" s="185">
        <v>2.7728870482237062</v>
      </c>
      <c r="E13" s="186">
        <v>8.771019533596327</v>
      </c>
      <c r="F13" s="186">
        <v>8.2324497359454867</v>
      </c>
      <c r="G13" s="186">
        <v>12.57260502249135</v>
      </c>
      <c r="H13" s="187">
        <v>11.751082609366092</v>
      </c>
      <c r="I13" s="186">
        <v>16.649777593547597</v>
      </c>
      <c r="J13" s="188">
        <v>20.830859304212382</v>
      </c>
      <c r="K13" s="188">
        <v>11.01001789650061</v>
      </c>
      <c r="L13" s="188">
        <v>10.779291647931917</v>
      </c>
      <c r="M13" s="187">
        <v>5.3899718892883355</v>
      </c>
      <c r="N13" s="603"/>
      <c r="O13" s="604">
        <f t="shared" si="0"/>
        <v>32.348961340256871</v>
      </c>
      <c r="P13" s="605">
        <f t="shared" si="1"/>
        <v>11.751082609366092</v>
      </c>
      <c r="Q13" s="606">
        <f t="shared" si="2"/>
        <v>44.100043949622965</v>
      </c>
      <c r="R13" s="607"/>
      <c r="S13" s="604">
        <f t="shared" si="3"/>
        <v>64.659918331480839</v>
      </c>
      <c r="T13" s="156">
        <f t="shared" si="4"/>
        <v>0.46620983882338402</v>
      </c>
      <c r="U13" s="608"/>
      <c r="W13" s="608"/>
      <c r="X13" s="608"/>
      <c r="Y13" s="608"/>
      <c r="Z13" s="608"/>
      <c r="AA13" s="608"/>
      <c r="AB13" s="608"/>
      <c r="AC13" s="608"/>
      <c r="AD13" s="608"/>
      <c r="AE13" s="608"/>
      <c r="AF13" s="608"/>
      <c r="AG13" s="608"/>
      <c r="AH13" s="608"/>
      <c r="AI13" s="608"/>
      <c r="AJ13" s="608"/>
    </row>
    <row r="14" spans="1:36">
      <c r="C14" s="602" t="s">
        <v>348</v>
      </c>
      <c r="D14" s="185">
        <v>9.3578625829313111</v>
      </c>
      <c r="E14" s="186">
        <v>5.8817425107645951</v>
      </c>
      <c r="F14" s="186">
        <v>1.7853505451448042</v>
      </c>
      <c r="G14" s="186">
        <v>3.2265977491349478</v>
      </c>
      <c r="H14" s="187">
        <v>17.51576464414946</v>
      </c>
      <c r="I14" s="186">
        <v>6.2173220127804321</v>
      </c>
      <c r="J14" s="188">
        <v>5.0530302272594394</v>
      </c>
      <c r="K14" s="188">
        <v>14.302733529098925</v>
      </c>
      <c r="L14" s="188">
        <v>14.988348386648187</v>
      </c>
      <c r="M14" s="187">
        <v>21.145274334900392</v>
      </c>
      <c r="N14" s="603"/>
      <c r="O14" s="604">
        <f t="shared" si="0"/>
        <v>20.251553387975662</v>
      </c>
      <c r="P14" s="605">
        <f t="shared" si="1"/>
        <v>17.51576464414946</v>
      </c>
      <c r="Q14" s="606">
        <f t="shared" si="2"/>
        <v>37.767318032125118</v>
      </c>
      <c r="R14" s="607"/>
      <c r="S14" s="604">
        <f t="shared" si="3"/>
        <v>61.706708490687376</v>
      </c>
      <c r="T14" s="156">
        <f t="shared" si="4"/>
        <v>0.6338652492665553</v>
      </c>
      <c r="U14" s="608"/>
      <c r="W14" s="608" t="s">
        <v>47</v>
      </c>
      <c r="X14" s="608"/>
      <c r="Y14" s="608"/>
      <c r="Z14" s="608"/>
      <c r="AA14" s="608"/>
      <c r="AB14" s="608"/>
      <c r="AC14" s="608"/>
      <c r="AD14" s="608"/>
      <c r="AE14" s="608"/>
      <c r="AF14" s="608"/>
      <c r="AG14" s="608"/>
      <c r="AH14" s="608"/>
      <c r="AI14" s="608"/>
      <c r="AJ14" s="608"/>
    </row>
    <row r="15" spans="1:36" ht="25.5">
      <c r="C15" s="609" t="s">
        <v>991</v>
      </c>
      <c r="D15" s="279"/>
      <c r="E15" s="280"/>
      <c r="F15" s="280"/>
      <c r="G15" s="186">
        <v>0</v>
      </c>
      <c r="H15" s="187">
        <v>0</v>
      </c>
      <c r="I15" s="186">
        <v>0</v>
      </c>
      <c r="J15" s="188">
        <v>0</v>
      </c>
      <c r="K15" s="188">
        <v>0</v>
      </c>
      <c r="L15" s="188">
        <v>0</v>
      </c>
      <c r="M15" s="187">
        <v>0</v>
      </c>
      <c r="N15" s="610"/>
      <c r="O15" s="604">
        <f t="shared" si="0"/>
        <v>0</v>
      </c>
      <c r="P15" s="605">
        <f t="shared" si="1"/>
        <v>0</v>
      </c>
      <c r="Q15" s="606">
        <f>SUM(D15:H15)</f>
        <v>0</v>
      </c>
      <c r="R15" s="607"/>
      <c r="S15" s="604">
        <f t="shared" si="3"/>
        <v>0</v>
      </c>
      <c r="T15" s="156" t="str">
        <f t="shared" si="4"/>
        <v>0</v>
      </c>
      <c r="U15" s="608"/>
      <c r="W15" s="608"/>
      <c r="X15" s="608"/>
      <c r="Y15" s="608"/>
      <c r="Z15" s="608"/>
      <c r="AA15" s="608"/>
      <c r="AB15" s="608"/>
      <c r="AC15" s="608"/>
      <c r="AD15" s="608"/>
      <c r="AE15" s="608"/>
      <c r="AF15" s="608"/>
      <c r="AG15" s="608"/>
      <c r="AH15" s="608"/>
      <c r="AI15" s="608"/>
      <c r="AJ15" s="608"/>
    </row>
    <row r="16" spans="1:36">
      <c r="C16" s="609" t="s">
        <v>200</v>
      </c>
      <c r="D16" s="162">
        <v>15.832424392350731</v>
      </c>
      <c r="E16" s="165">
        <v>20.224939159822117</v>
      </c>
      <c r="F16" s="165">
        <v>15.373851916524703</v>
      </c>
      <c r="G16" s="165">
        <v>18.692014546712805</v>
      </c>
      <c r="H16" s="164">
        <v>32.3709068107066</v>
      </c>
      <c r="I16" s="165">
        <v>26.871476495915427</v>
      </c>
      <c r="J16" s="163">
        <v>29.905689100106883</v>
      </c>
      <c r="K16" s="163">
        <v>29.325748602828728</v>
      </c>
      <c r="L16" s="163">
        <v>29.976696773296375</v>
      </c>
      <c r="M16" s="164">
        <v>30.992338363407928</v>
      </c>
      <c r="N16" s="611"/>
      <c r="O16" s="162">
        <f t="shared" si="0"/>
        <v>70.123230015410343</v>
      </c>
      <c r="P16" s="163">
        <f t="shared" si="1"/>
        <v>32.3709068107066</v>
      </c>
      <c r="Q16" s="164">
        <f t="shared" si="2"/>
        <v>102.49413682611694</v>
      </c>
      <c r="R16" s="607"/>
      <c r="S16" s="162">
        <f t="shared" si="3"/>
        <v>147.07194933555533</v>
      </c>
      <c r="T16" s="612">
        <f t="shared" si="4"/>
        <v>0.43493036665175699</v>
      </c>
      <c r="U16" s="613"/>
      <c r="W16" s="613"/>
      <c r="X16" s="613"/>
      <c r="Y16" s="613"/>
      <c r="Z16" s="613"/>
      <c r="AA16" s="613"/>
      <c r="AB16" s="613"/>
      <c r="AC16" s="613"/>
      <c r="AD16" s="613"/>
      <c r="AE16" s="613"/>
      <c r="AF16" s="613"/>
      <c r="AG16" s="613"/>
      <c r="AH16" s="613"/>
      <c r="AI16" s="613"/>
      <c r="AJ16" s="613"/>
    </row>
    <row r="17" spans="1:36">
      <c r="C17" s="609"/>
      <c r="D17" s="614"/>
      <c r="E17" s="615"/>
      <c r="F17" s="615"/>
      <c r="G17" s="615"/>
      <c r="H17" s="616"/>
      <c r="I17" s="615"/>
      <c r="J17" s="615"/>
      <c r="K17" s="615"/>
      <c r="L17" s="615"/>
      <c r="M17" s="616"/>
      <c r="N17" s="603"/>
      <c r="O17" s="617"/>
      <c r="P17" s="618"/>
      <c r="Q17" s="619"/>
      <c r="R17" s="607"/>
      <c r="S17" s="617"/>
      <c r="T17" s="620"/>
      <c r="U17" s="608"/>
      <c r="W17" s="608"/>
      <c r="X17" s="608"/>
      <c r="Y17" s="608"/>
      <c r="Z17" s="608"/>
      <c r="AA17" s="608"/>
      <c r="AB17" s="608"/>
      <c r="AC17" s="608"/>
      <c r="AD17" s="608"/>
      <c r="AE17" s="608"/>
      <c r="AF17" s="608"/>
      <c r="AG17" s="608"/>
      <c r="AH17" s="608"/>
      <c r="AI17" s="608"/>
      <c r="AJ17" s="608"/>
    </row>
    <row r="18" spans="1:36">
      <c r="C18" s="609" t="s">
        <v>255</v>
      </c>
      <c r="D18" s="279"/>
      <c r="E18" s="280"/>
      <c r="F18" s="280"/>
      <c r="G18" s="186">
        <v>0</v>
      </c>
      <c r="H18" s="187">
        <v>0</v>
      </c>
      <c r="I18" s="186">
        <v>0</v>
      </c>
      <c r="J18" s="188">
        <v>0</v>
      </c>
      <c r="K18" s="188">
        <v>0</v>
      </c>
      <c r="L18" s="188">
        <v>0</v>
      </c>
      <c r="M18" s="187">
        <v>0</v>
      </c>
      <c r="N18" s="610"/>
      <c r="O18" s="604">
        <f>SUM(D18:G18)</f>
        <v>0</v>
      </c>
      <c r="P18" s="605">
        <f>H18</f>
        <v>0</v>
      </c>
      <c r="Q18" s="606">
        <f t="shared" si="2"/>
        <v>0</v>
      </c>
      <c r="R18" s="607"/>
      <c r="S18" s="604">
        <f>SUM(I18:M18)</f>
        <v>0</v>
      </c>
      <c r="T18" s="156" t="str">
        <f>IF(Q18&lt;&gt;0,(S18-Q18)/Q18,"0")</f>
        <v>0</v>
      </c>
      <c r="U18" s="608"/>
      <c r="W18" s="608"/>
      <c r="X18" s="608"/>
      <c r="Y18" s="608"/>
      <c r="Z18" s="608"/>
      <c r="AA18" s="608"/>
      <c r="AB18" s="608"/>
      <c r="AC18" s="608"/>
      <c r="AD18" s="608"/>
      <c r="AE18" s="608"/>
      <c r="AF18" s="608"/>
      <c r="AG18" s="608"/>
      <c r="AH18" s="608"/>
      <c r="AI18" s="608"/>
      <c r="AJ18" s="608"/>
    </row>
    <row r="19" spans="1:36" ht="13.5" thickBot="1">
      <c r="C19" s="621" t="s">
        <v>256</v>
      </c>
      <c r="D19" s="282"/>
      <c r="E19" s="283"/>
      <c r="F19" s="283"/>
      <c r="G19" s="284">
        <v>0</v>
      </c>
      <c r="H19" s="285">
        <v>0</v>
      </c>
      <c r="I19" s="284">
        <v>0</v>
      </c>
      <c r="J19" s="286">
        <v>0</v>
      </c>
      <c r="K19" s="286">
        <v>0</v>
      </c>
      <c r="L19" s="286">
        <v>0</v>
      </c>
      <c r="M19" s="285">
        <v>0</v>
      </c>
      <c r="N19" s="610"/>
      <c r="O19" s="622">
        <f>SUM(D19:G19)</f>
        <v>0</v>
      </c>
      <c r="P19" s="623">
        <f>H19</f>
        <v>0</v>
      </c>
      <c r="Q19" s="624">
        <f t="shared" si="2"/>
        <v>0</v>
      </c>
      <c r="R19" s="607"/>
      <c r="S19" s="622">
        <f>SUM(I19:M19)</f>
        <v>0</v>
      </c>
      <c r="T19" s="175" t="str">
        <f>IF(Q19&lt;&gt;0,(S19-Q19)/Q19,"0")</f>
        <v>0</v>
      </c>
      <c r="U19" s="608"/>
      <c r="W19" s="608"/>
      <c r="X19" s="608"/>
      <c r="Y19" s="608"/>
      <c r="Z19" s="608"/>
      <c r="AA19" s="608"/>
      <c r="AB19" s="608"/>
      <c r="AC19" s="608"/>
      <c r="AD19" s="608"/>
      <c r="AE19" s="608"/>
      <c r="AF19" s="608"/>
      <c r="AG19" s="608"/>
      <c r="AH19" s="608"/>
      <c r="AI19" s="608"/>
      <c r="AJ19" s="608"/>
    </row>
    <row r="20" spans="1:36">
      <c r="U20" s="625"/>
    </row>
    <row r="21" spans="1:36" s="626" customFormat="1"/>
    <row r="22" spans="1:36" s="626" customFormat="1">
      <c r="B22" s="570" t="s">
        <v>349</v>
      </c>
    </row>
    <row r="23" spans="1:36" s="626" customFormat="1" ht="13.5" thickBot="1">
      <c r="A23" s="570"/>
      <c r="B23" s="570"/>
    </row>
    <row r="24" spans="1:36" s="626" customFormat="1" ht="27" customHeight="1">
      <c r="A24" s="570"/>
      <c r="B24" s="570"/>
      <c r="C24" s="1526" t="s">
        <v>350</v>
      </c>
      <c r="D24" s="572" t="s">
        <v>351</v>
      </c>
      <c r="E24" s="573"/>
      <c r="F24" s="573"/>
      <c r="G24" s="627"/>
      <c r="H24" s="572" t="s">
        <v>352</v>
      </c>
      <c r="I24" s="573"/>
      <c r="J24" s="573"/>
      <c r="K24" s="627"/>
      <c r="L24" s="628" t="s">
        <v>351</v>
      </c>
      <c r="M24" s="629" t="s">
        <v>352</v>
      </c>
    </row>
    <row r="25" spans="1:36" s="626" customFormat="1">
      <c r="A25" s="570"/>
      <c r="B25" s="570"/>
      <c r="C25" s="1527"/>
      <c r="D25" s="630" t="s">
        <v>353</v>
      </c>
      <c r="E25" s="631" t="s">
        <v>354</v>
      </c>
      <c r="F25" s="631" t="s">
        <v>355</v>
      </c>
      <c r="G25" s="632" t="s">
        <v>356</v>
      </c>
      <c r="H25" s="630" t="s">
        <v>353</v>
      </c>
      <c r="I25" s="631" t="s">
        <v>354</v>
      </c>
      <c r="J25" s="631" t="s">
        <v>355</v>
      </c>
      <c r="K25" s="632" t="s">
        <v>356</v>
      </c>
      <c r="L25" s="633" t="s">
        <v>200</v>
      </c>
      <c r="M25" s="632" t="s">
        <v>200</v>
      </c>
    </row>
    <row r="26" spans="1:36" s="626" customFormat="1" ht="18" customHeight="1">
      <c r="A26" s="570"/>
      <c r="B26" s="570"/>
      <c r="C26" s="634" t="s">
        <v>357</v>
      </c>
      <c r="D26" s="635"/>
      <c r="E26" s="636"/>
      <c r="F26" s="636"/>
      <c r="G26" s="637"/>
      <c r="H26" s="635"/>
      <c r="I26" s="636"/>
      <c r="J26" s="636"/>
      <c r="K26" s="637"/>
      <c r="L26" s="638">
        <f>SUM(D26:G26)</f>
        <v>0</v>
      </c>
      <c r="M26" s="639">
        <f>SUM(H26:K26)</f>
        <v>0</v>
      </c>
    </row>
    <row r="27" spans="1:36" s="626" customFormat="1" ht="18" customHeight="1">
      <c r="A27" s="570"/>
      <c r="B27" s="570"/>
      <c r="C27" s="640" t="s">
        <v>358</v>
      </c>
      <c r="D27" s="635"/>
      <c r="E27" s="636"/>
      <c r="F27" s="636"/>
      <c r="G27" s="637"/>
      <c r="H27" s="635"/>
      <c r="I27" s="636"/>
      <c r="J27" s="636"/>
      <c r="K27" s="637"/>
      <c r="L27" s="638">
        <f>SUM(D27:G27)</f>
        <v>0</v>
      </c>
      <c r="M27" s="639">
        <f>SUM(H27:K27)</f>
        <v>0</v>
      </c>
    </row>
    <row r="28" spans="1:36" s="626" customFormat="1" ht="18" customHeight="1">
      <c r="A28" s="570"/>
      <c r="B28" s="570"/>
      <c r="C28" s="640" t="s">
        <v>359</v>
      </c>
      <c r="D28" s="635"/>
      <c r="E28" s="636"/>
      <c r="F28" s="636"/>
      <c r="G28" s="637"/>
      <c r="H28" s="635"/>
      <c r="I28" s="636"/>
      <c r="J28" s="636"/>
      <c r="K28" s="637"/>
      <c r="L28" s="638">
        <f>SUM(D28:G28)</f>
        <v>0</v>
      </c>
      <c r="M28" s="639">
        <f>SUM(H28:K28)</f>
        <v>0</v>
      </c>
    </row>
    <row r="29" spans="1:36" s="626" customFormat="1" ht="26.25" thickBot="1">
      <c r="A29" s="570"/>
      <c r="B29" s="570"/>
      <c r="C29" s="641" t="s">
        <v>360</v>
      </c>
      <c r="D29" s="642" t="str">
        <f>IF(D27,D27/D28,"-")</f>
        <v>-</v>
      </c>
      <c r="E29" s="643" t="str">
        <f t="shared" ref="E29:M29" si="5">IF(E27,E27/E28,"-")</f>
        <v>-</v>
      </c>
      <c r="F29" s="643" t="str">
        <f t="shared" si="5"/>
        <v>-</v>
      </c>
      <c r="G29" s="644" t="str">
        <f t="shared" si="5"/>
        <v>-</v>
      </c>
      <c r="H29" s="642" t="str">
        <f t="shared" si="5"/>
        <v>-</v>
      </c>
      <c r="I29" s="643" t="str">
        <f t="shared" si="5"/>
        <v>-</v>
      </c>
      <c r="J29" s="643" t="str">
        <f t="shared" si="5"/>
        <v>-</v>
      </c>
      <c r="K29" s="644" t="str">
        <f t="shared" si="5"/>
        <v>-</v>
      </c>
      <c r="L29" s="645" t="str">
        <f t="shared" si="5"/>
        <v>-</v>
      </c>
      <c r="M29" s="646" t="str">
        <f t="shared" si="5"/>
        <v>-</v>
      </c>
    </row>
    <row r="30" spans="1:36" s="626" customFormat="1">
      <c r="A30" s="570"/>
      <c r="B30" s="570"/>
      <c r="C30" s="647"/>
      <c r="D30" s="648"/>
      <c r="E30" s="648"/>
      <c r="F30" s="648"/>
      <c r="G30" s="648"/>
    </row>
    <row r="31" spans="1:36" s="626" customFormat="1" ht="13.5" thickBot="1">
      <c r="A31" s="570"/>
      <c r="B31" s="570"/>
      <c r="C31" s="647"/>
      <c r="D31" s="648"/>
      <c r="E31" s="648"/>
      <c r="F31" s="648"/>
      <c r="G31" s="648"/>
    </row>
    <row r="32" spans="1:36" s="626" customFormat="1" ht="30" customHeight="1">
      <c r="A32" s="570"/>
      <c r="B32" s="570"/>
      <c r="C32" s="1528" t="s">
        <v>361</v>
      </c>
      <c r="D32" s="572" t="s">
        <v>351</v>
      </c>
      <c r="E32" s="573"/>
      <c r="F32" s="573"/>
      <c r="G32" s="627"/>
      <c r="H32" s="572" t="s">
        <v>352</v>
      </c>
      <c r="I32" s="573"/>
      <c r="J32" s="573"/>
      <c r="K32" s="627"/>
      <c r="L32" s="628" t="s">
        <v>351</v>
      </c>
      <c r="M32" s="629" t="s">
        <v>352</v>
      </c>
    </row>
    <row r="33" spans="1:37" s="626" customFormat="1">
      <c r="A33" s="570"/>
      <c r="B33" s="570"/>
      <c r="C33" s="1529"/>
      <c r="D33" s="630" t="s">
        <v>353</v>
      </c>
      <c r="E33" s="631" t="s">
        <v>354</v>
      </c>
      <c r="F33" s="631" t="s">
        <v>355</v>
      </c>
      <c r="G33" s="632" t="s">
        <v>356</v>
      </c>
      <c r="H33" s="630" t="s">
        <v>353</v>
      </c>
      <c r="I33" s="631" t="s">
        <v>354</v>
      </c>
      <c r="J33" s="631" t="s">
        <v>355</v>
      </c>
      <c r="K33" s="632" t="s">
        <v>356</v>
      </c>
      <c r="L33" s="633" t="s">
        <v>200</v>
      </c>
      <c r="M33" s="632" t="s">
        <v>200</v>
      </c>
    </row>
    <row r="34" spans="1:37" s="626" customFormat="1" ht="25.5">
      <c r="A34" s="570"/>
      <c r="B34" s="570"/>
      <c r="C34" s="649" t="s">
        <v>362</v>
      </c>
      <c r="D34" s="635"/>
      <c r="E34" s="636"/>
      <c r="F34" s="636"/>
      <c r="G34" s="637"/>
      <c r="H34" s="635"/>
      <c r="I34" s="636"/>
      <c r="J34" s="636"/>
      <c r="K34" s="637"/>
      <c r="L34" s="638">
        <f t="shared" ref="L34:L39" si="6">SUM(D34:G34)</f>
        <v>0</v>
      </c>
      <c r="M34" s="639">
        <f t="shared" ref="M34:M39" si="7">SUM(H34:K34)</f>
        <v>0</v>
      </c>
    </row>
    <row r="35" spans="1:37" s="626" customFormat="1" ht="25.5">
      <c r="A35" s="570"/>
      <c r="B35" s="570"/>
      <c r="C35" s="649" t="s">
        <v>363</v>
      </c>
      <c r="D35" s="635"/>
      <c r="E35" s="636"/>
      <c r="F35" s="636"/>
      <c r="G35" s="637"/>
      <c r="H35" s="635"/>
      <c r="I35" s="636"/>
      <c r="J35" s="636"/>
      <c r="K35" s="637"/>
      <c r="L35" s="638">
        <f t="shared" si="6"/>
        <v>0</v>
      </c>
      <c r="M35" s="639">
        <f t="shared" si="7"/>
        <v>0</v>
      </c>
    </row>
    <row r="36" spans="1:37" s="626" customFormat="1" ht="25.5">
      <c r="A36" s="570"/>
      <c r="B36" s="570"/>
      <c r="C36" s="649" t="s">
        <v>364</v>
      </c>
      <c r="D36" s="635"/>
      <c r="E36" s="636"/>
      <c r="F36" s="636"/>
      <c r="G36" s="637"/>
      <c r="H36" s="635"/>
      <c r="I36" s="636"/>
      <c r="J36" s="636"/>
      <c r="K36" s="637"/>
      <c r="L36" s="638">
        <f t="shared" si="6"/>
        <v>0</v>
      </c>
      <c r="M36" s="639">
        <f t="shared" si="7"/>
        <v>0</v>
      </c>
    </row>
    <row r="37" spans="1:37" s="626" customFormat="1" ht="38.25">
      <c r="A37" s="570"/>
      <c r="B37" s="570"/>
      <c r="C37" s="649" t="s">
        <v>365</v>
      </c>
      <c r="D37" s="650" t="str">
        <f>IF(D35,D35/D36,"-")</f>
        <v>-</v>
      </c>
      <c r="E37" s="651" t="str">
        <f t="shared" ref="E37:M37" si="8">IF(E35,E35/E36,"-")</f>
        <v>-</v>
      </c>
      <c r="F37" s="651" t="str">
        <f t="shared" si="8"/>
        <v>-</v>
      </c>
      <c r="G37" s="652" t="str">
        <f t="shared" si="8"/>
        <v>-</v>
      </c>
      <c r="H37" s="650" t="str">
        <f t="shared" si="8"/>
        <v>-</v>
      </c>
      <c r="I37" s="651" t="str">
        <f t="shared" si="8"/>
        <v>-</v>
      </c>
      <c r="J37" s="651" t="str">
        <f t="shared" si="8"/>
        <v>-</v>
      </c>
      <c r="K37" s="652" t="str">
        <f t="shared" si="8"/>
        <v>-</v>
      </c>
      <c r="L37" s="653" t="str">
        <f t="shared" si="8"/>
        <v>-</v>
      </c>
      <c r="M37" s="654" t="str">
        <f t="shared" si="8"/>
        <v>-</v>
      </c>
    </row>
    <row r="38" spans="1:37" s="626" customFormat="1" ht="25.5">
      <c r="A38" s="570"/>
      <c r="B38" s="570"/>
      <c r="C38" s="649" t="s">
        <v>366</v>
      </c>
      <c r="D38" s="635"/>
      <c r="E38" s="636"/>
      <c r="F38" s="636"/>
      <c r="G38" s="637"/>
      <c r="H38" s="635"/>
      <c r="I38" s="636"/>
      <c r="J38" s="636"/>
      <c r="K38" s="637"/>
      <c r="L38" s="638">
        <f t="shared" si="6"/>
        <v>0</v>
      </c>
      <c r="M38" s="639">
        <f t="shared" si="7"/>
        <v>0</v>
      </c>
    </row>
    <row r="39" spans="1:37" s="626" customFormat="1" ht="26.25" thickBot="1">
      <c r="A39" s="570"/>
      <c r="B39" s="570"/>
      <c r="C39" s="655" t="s">
        <v>367</v>
      </c>
      <c r="D39" s="656"/>
      <c r="E39" s="657"/>
      <c r="F39" s="657"/>
      <c r="G39" s="658"/>
      <c r="H39" s="656"/>
      <c r="I39" s="657"/>
      <c r="J39" s="657"/>
      <c r="K39" s="658"/>
      <c r="L39" s="659">
        <f t="shared" si="6"/>
        <v>0</v>
      </c>
      <c r="M39" s="660">
        <f t="shared" si="7"/>
        <v>0</v>
      </c>
    </row>
    <row r="41" spans="1:37">
      <c r="B41" s="570" t="s">
        <v>368</v>
      </c>
    </row>
    <row r="42" spans="1:37" ht="13.5" thickBot="1"/>
    <row r="43" spans="1:37" ht="13.5" thickBot="1">
      <c r="B43" s="661"/>
      <c r="C43" s="1530" t="s">
        <v>369</v>
      </c>
      <c r="D43" s="1531"/>
      <c r="E43" s="1531"/>
      <c r="F43" s="1531"/>
      <c r="G43" s="1531"/>
      <c r="H43" s="1531"/>
      <c r="I43" s="1531"/>
      <c r="J43" s="1531"/>
      <c r="K43" s="1532"/>
      <c r="L43" s="1524" t="s">
        <v>370</v>
      </c>
      <c r="M43" s="1533"/>
      <c r="N43" s="1533"/>
      <c r="O43" s="1533"/>
      <c r="P43" s="1534"/>
      <c r="Q43" s="1524" t="s">
        <v>371</v>
      </c>
      <c r="R43" s="1533"/>
      <c r="S43" s="1533"/>
      <c r="T43" s="1533"/>
      <c r="U43" s="1534"/>
      <c r="V43" s="1517" t="s">
        <v>372</v>
      </c>
      <c r="W43" s="1518"/>
      <c r="X43" s="1518"/>
      <c r="Y43" s="1518"/>
      <c r="Z43" s="1518"/>
      <c r="AA43" s="1518"/>
      <c r="AB43" s="1518"/>
      <c r="AC43" s="1518"/>
      <c r="AD43" s="1518"/>
      <c r="AE43" s="1518"/>
      <c r="AF43" s="1518"/>
      <c r="AG43" s="1518"/>
      <c r="AH43" s="1518"/>
      <c r="AI43" s="1519"/>
      <c r="AJ43" s="1520" t="s">
        <v>373</v>
      </c>
      <c r="AK43" s="662" t="s">
        <v>374</v>
      </c>
    </row>
    <row r="44" spans="1:37" ht="78.75" customHeight="1">
      <c r="B44" s="663"/>
      <c r="C44" s="664" t="s">
        <v>375</v>
      </c>
      <c r="D44" s="665" t="s">
        <v>376</v>
      </c>
      <c r="E44" s="665" t="s">
        <v>377</v>
      </c>
      <c r="F44" s="665" t="s">
        <v>378</v>
      </c>
      <c r="G44" s="665" t="s">
        <v>379</v>
      </c>
      <c r="H44" s="665" t="s">
        <v>992</v>
      </c>
      <c r="I44" s="665" t="s">
        <v>380</v>
      </c>
      <c r="J44" s="665" t="s">
        <v>381</v>
      </c>
      <c r="K44" s="666" t="s">
        <v>382</v>
      </c>
      <c r="L44" s="585" t="s">
        <v>79</v>
      </c>
      <c r="M44" s="583" t="s">
        <v>80</v>
      </c>
      <c r="N44" s="583" t="s">
        <v>81</v>
      </c>
      <c r="O44" s="583" t="s">
        <v>82</v>
      </c>
      <c r="P44" s="584" t="s">
        <v>44</v>
      </c>
      <c r="Q44" s="582" t="s">
        <v>193</v>
      </c>
      <c r="R44" s="583" t="s">
        <v>194</v>
      </c>
      <c r="S44" s="583" t="s">
        <v>195</v>
      </c>
      <c r="T44" s="583" t="s">
        <v>196</v>
      </c>
      <c r="U44" s="584" t="s">
        <v>197</v>
      </c>
      <c r="V44" s="1522" t="s">
        <v>383</v>
      </c>
      <c r="W44" s="1523"/>
      <c r="X44" s="1523"/>
      <c r="Y44" s="1523"/>
      <c r="Z44" s="1523"/>
      <c r="AA44" s="1523"/>
      <c r="AB44" s="1523"/>
      <c r="AC44" s="1523"/>
      <c r="AD44" s="1523"/>
      <c r="AE44" s="1523"/>
      <c r="AF44" s="667" t="s">
        <v>384</v>
      </c>
      <c r="AG44" s="667" t="s">
        <v>385</v>
      </c>
      <c r="AH44" s="667" t="s">
        <v>386</v>
      </c>
      <c r="AI44" s="667" t="s">
        <v>387</v>
      </c>
      <c r="AJ44" s="1521"/>
      <c r="AK44" s="668" t="s">
        <v>388</v>
      </c>
    </row>
    <row r="45" spans="1:37" ht="13.5" thickBot="1">
      <c r="B45" s="669"/>
      <c r="C45" s="670" t="s">
        <v>389</v>
      </c>
      <c r="D45" s="671" t="s">
        <v>390</v>
      </c>
      <c r="E45" s="671" t="s">
        <v>390</v>
      </c>
      <c r="F45" s="672" t="s">
        <v>391</v>
      </c>
      <c r="G45" s="673" t="s">
        <v>392</v>
      </c>
      <c r="H45" s="673" t="s">
        <v>392</v>
      </c>
      <c r="I45" s="672" t="s">
        <v>393</v>
      </c>
      <c r="J45" s="672" t="s">
        <v>343</v>
      </c>
      <c r="K45" s="674" t="s">
        <v>343</v>
      </c>
      <c r="L45" s="591" t="s">
        <v>343</v>
      </c>
      <c r="M45" s="589" t="s">
        <v>343</v>
      </c>
      <c r="N45" s="589" t="s">
        <v>343</v>
      </c>
      <c r="O45" s="589" t="s">
        <v>343</v>
      </c>
      <c r="P45" s="590" t="s">
        <v>343</v>
      </c>
      <c r="Q45" s="588" t="s">
        <v>343</v>
      </c>
      <c r="R45" s="589" t="s">
        <v>343</v>
      </c>
      <c r="S45" s="589" t="s">
        <v>343</v>
      </c>
      <c r="T45" s="589" t="s">
        <v>343</v>
      </c>
      <c r="U45" s="590" t="s">
        <v>343</v>
      </c>
      <c r="V45" s="675" t="s">
        <v>79</v>
      </c>
      <c r="W45" s="676" t="s">
        <v>80</v>
      </c>
      <c r="X45" s="676" t="s">
        <v>81</v>
      </c>
      <c r="Y45" s="676" t="s">
        <v>82</v>
      </c>
      <c r="Z45" s="676" t="s">
        <v>44</v>
      </c>
      <c r="AA45" s="676" t="s">
        <v>193</v>
      </c>
      <c r="AB45" s="676" t="s">
        <v>194</v>
      </c>
      <c r="AC45" s="676" t="s">
        <v>195</v>
      </c>
      <c r="AD45" s="676" t="s">
        <v>196</v>
      </c>
      <c r="AE45" s="677" t="s">
        <v>197</v>
      </c>
      <c r="AF45" s="678" t="s">
        <v>393</v>
      </c>
      <c r="AG45" s="679" t="s">
        <v>393</v>
      </c>
      <c r="AH45" s="679" t="s">
        <v>393</v>
      </c>
      <c r="AI45" s="679" t="s">
        <v>394</v>
      </c>
      <c r="AJ45" s="680" t="s">
        <v>395</v>
      </c>
      <c r="AK45" s="681" t="s">
        <v>396</v>
      </c>
    </row>
    <row r="46" spans="1:37" s="682" customFormat="1">
      <c r="B46" s="683">
        <v>1</v>
      </c>
      <c r="C46" s="684" t="s">
        <v>993</v>
      </c>
      <c r="D46" s="685" t="s">
        <v>401</v>
      </c>
      <c r="E46" s="685" t="s">
        <v>401</v>
      </c>
      <c r="F46" s="685" t="s">
        <v>994</v>
      </c>
      <c r="G46" s="686">
        <v>2013</v>
      </c>
      <c r="H46" s="686"/>
      <c r="I46" s="686">
        <v>189</v>
      </c>
      <c r="J46" s="687">
        <v>0.41111456795038348</v>
      </c>
      <c r="K46" s="688">
        <v>0.41111456795038348</v>
      </c>
      <c r="L46" s="687">
        <v>0</v>
      </c>
      <c r="M46" s="689">
        <v>0</v>
      </c>
      <c r="N46" s="689">
        <v>0</v>
      </c>
      <c r="O46" s="689">
        <v>0</v>
      </c>
      <c r="P46" s="690">
        <v>0</v>
      </c>
      <c r="Q46" s="689">
        <v>0</v>
      </c>
      <c r="R46" s="691">
        <v>0</v>
      </c>
      <c r="S46" s="691">
        <v>0.2057947270373946</v>
      </c>
      <c r="T46" s="691">
        <v>0.20531984091298891</v>
      </c>
      <c r="U46" s="690">
        <v>0</v>
      </c>
      <c r="V46" s="692"/>
      <c r="W46" s="693"/>
      <c r="X46" s="693"/>
      <c r="Y46" s="693"/>
      <c r="Z46" s="694"/>
      <c r="AA46" s="692"/>
      <c r="AB46" s="693"/>
      <c r="AC46" s="693"/>
      <c r="AD46" s="693"/>
      <c r="AE46" s="694"/>
      <c r="AF46" s="689"/>
      <c r="AG46" s="691"/>
      <c r="AH46" s="691"/>
      <c r="AI46" s="695"/>
      <c r="AJ46" s="696"/>
      <c r="AK46" s="697" t="s">
        <v>995</v>
      </c>
    </row>
    <row r="47" spans="1:37" s="682" customFormat="1">
      <c r="B47" s="698">
        <v>2</v>
      </c>
      <c r="C47" s="684" t="s">
        <v>996</v>
      </c>
      <c r="D47" s="685" t="s">
        <v>997</v>
      </c>
      <c r="E47" s="685" t="s">
        <v>997</v>
      </c>
      <c r="F47" s="685" t="s">
        <v>998</v>
      </c>
      <c r="G47" s="686">
        <v>2007</v>
      </c>
      <c r="H47" s="686"/>
      <c r="I47" s="686">
        <v>6.5</v>
      </c>
      <c r="J47" s="687">
        <v>0.73313782772321678</v>
      </c>
      <c r="K47" s="688">
        <v>0.73313782772321678</v>
      </c>
      <c r="L47" s="687">
        <v>0</v>
      </c>
      <c r="M47" s="689">
        <v>0</v>
      </c>
      <c r="N47" s="689">
        <v>0</v>
      </c>
      <c r="O47" s="689">
        <v>0</v>
      </c>
      <c r="P47" s="690">
        <v>0</v>
      </c>
      <c r="Q47" s="689">
        <v>0.52689169599834162</v>
      </c>
      <c r="R47" s="691">
        <v>0.2062461317248751</v>
      </c>
      <c r="S47" s="691">
        <v>0</v>
      </c>
      <c r="T47" s="691">
        <v>0</v>
      </c>
      <c r="U47" s="690">
        <v>0</v>
      </c>
      <c r="V47" s="687"/>
      <c r="W47" s="691"/>
      <c r="X47" s="691"/>
      <c r="Y47" s="691"/>
      <c r="Z47" s="690"/>
      <c r="AA47" s="687"/>
      <c r="AB47" s="691"/>
      <c r="AC47" s="691"/>
      <c r="AD47" s="691"/>
      <c r="AE47" s="690"/>
      <c r="AF47" s="689"/>
      <c r="AG47" s="691"/>
      <c r="AH47" s="691"/>
      <c r="AI47" s="695"/>
      <c r="AJ47" s="696"/>
      <c r="AK47" s="697" t="s">
        <v>999</v>
      </c>
    </row>
    <row r="48" spans="1:37" s="682" customFormat="1">
      <c r="B48" s="698">
        <v>3</v>
      </c>
      <c r="C48" s="684" t="s">
        <v>1000</v>
      </c>
      <c r="D48" s="685" t="s">
        <v>997</v>
      </c>
      <c r="E48" s="685" t="s">
        <v>997</v>
      </c>
      <c r="F48" s="685" t="s">
        <v>994</v>
      </c>
      <c r="G48" s="686">
        <v>2012</v>
      </c>
      <c r="H48" s="686"/>
      <c r="I48" s="686">
        <v>15</v>
      </c>
      <c r="J48" s="687">
        <v>0.6159595227389667</v>
      </c>
      <c r="K48" s="688">
        <v>0.6159595227389667</v>
      </c>
      <c r="L48" s="687">
        <v>0</v>
      </c>
      <c r="M48" s="689">
        <v>0</v>
      </c>
      <c r="N48" s="689">
        <v>0</v>
      </c>
      <c r="O48" s="689">
        <v>0</v>
      </c>
      <c r="P48" s="690">
        <v>0</v>
      </c>
      <c r="Q48" s="689">
        <v>0</v>
      </c>
      <c r="R48" s="691">
        <v>0</v>
      </c>
      <c r="S48" s="691">
        <v>0</v>
      </c>
      <c r="T48" s="691">
        <v>0.6159595227389667</v>
      </c>
      <c r="U48" s="690">
        <v>0</v>
      </c>
      <c r="V48" s="687"/>
      <c r="W48" s="691"/>
      <c r="X48" s="691"/>
      <c r="Y48" s="691"/>
      <c r="Z48" s="690"/>
      <c r="AA48" s="687"/>
      <c r="AB48" s="691"/>
      <c r="AC48" s="691"/>
      <c r="AD48" s="691"/>
      <c r="AE48" s="690"/>
      <c r="AF48" s="689"/>
      <c r="AG48" s="691"/>
      <c r="AH48" s="691"/>
      <c r="AI48" s="695"/>
      <c r="AJ48" s="696"/>
      <c r="AK48" s="697" t="s">
        <v>1001</v>
      </c>
    </row>
    <row r="49" spans="2:41" s="682" customFormat="1">
      <c r="B49" s="698">
        <v>4</v>
      </c>
      <c r="C49" s="684" t="s">
        <v>1002</v>
      </c>
      <c r="D49" s="685" t="s">
        <v>1003</v>
      </c>
      <c r="E49" s="685" t="s">
        <v>1003</v>
      </c>
      <c r="F49" s="685" t="s">
        <v>994</v>
      </c>
      <c r="G49" s="686">
        <v>2009</v>
      </c>
      <c r="H49" s="686"/>
      <c r="I49" s="686">
        <v>19.75</v>
      </c>
      <c r="J49" s="687">
        <v>1.085</v>
      </c>
      <c r="K49" s="688">
        <v>1.085</v>
      </c>
      <c r="L49" s="687">
        <v>0</v>
      </c>
      <c r="M49" s="689">
        <v>0</v>
      </c>
      <c r="N49" s="689">
        <v>0</v>
      </c>
      <c r="O49" s="689">
        <v>0</v>
      </c>
      <c r="P49" s="690">
        <v>0</v>
      </c>
      <c r="Q49" s="689">
        <v>1.085</v>
      </c>
      <c r="R49" s="691">
        <v>0</v>
      </c>
      <c r="S49" s="691">
        <v>0</v>
      </c>
      <c r="T49" s="691">
        <v>0</v>
      </c>
      <c r="U49" s="690">
        <v>0</v>
      </c>
      <c r="V49" s="687"/>
      <c r="W49" s="691"/>
      <c r="X49" s="691"/>
      <c r="Y49" s="691"/>
      <c r="Z49" s="690"/>
      <c r="AA49" s="687"/>
      <c r="AB49" s="691"/>
      <c r="AC49" s="691"/>
      <c r="AD49" s="691"/>
      <c r="AE49" s="690"/>
      <c r="AF49" s="689"/>
      <c r="AG49" s="691"/>
      <c r="AH49" s="691"/>
      <c r="AI49" s="695"/>
      <c r="AJ49" s="696"/>
      <c r="AK49" s="697" t="s">
        <v>1004</v>
      </c>
    </row>
    <row r="50" spans="2:41" s="682" customFormat="1">
      <c r="B50" s="698">
        <v>5</v>
      </c>
      <c r="C50" s="684" t="s">
        <v>1005</v>
      </c>
      <c r="D50" s="685" t="s">
        <v>997</v>
      </c>
      <c r="E50" s="685" t="s">
        <v>997</v>
      </c>
      <c r="F50" s="685" t="s">
        <v>998</v>
      </c>
      <c r="G50" s="686">
        <v>2008</v>
      </c>
      <c r="H50" s="686"/>
      <c r="I50" s="686">
        <v>24</v>
      </c>
      <c r="J50" s="687">
        <v>0.72186146103706272</v>
      </c>
      <c r="K50" s="688">
        <v>0.72186146103706272</v>
      </c>
      <c r="L50" s="687">
        <v>0</v>
      </c>
      <c r="M50" s="689">
        <v>0</v>
      </c>
      <c r="N50" s="689">
        <v>0</v>
      </c>
      <c r="O50" s="689">
        <v>0</v>
      </c>
      <c r="P50" s="690">
        <v>0</v>
      </c>
      <c r="Q50" s="689">
        <v>0</v>
      </c>
      <c r="R50" s="691">
        <v>0.72186146103706272</v>
      </c>
      <c r="S50" s="691">
        <v>0</v>
      </c>
      <c r="T50" s="691">
        <v>0</v>
      </c>
      <c r="U50" s="690">
        <v>0</v>
      </c>
      <c r="V50" s="687"/>
      <c r="W50" s="691"/>
      <c r="X50" s="691"/>
      <c r="Y50" s="691"/>
      <c r="Z50" s="690"/>
      <c r="AA50" s="687"/>
      <c r="AB50" s="691"/>
      <c r="AC50" s="691"/>
      <c r="AD50" s="691"/>
      <c r="AE50" s="690"/>
      <c r="AF50" s="689"/>
      <c r="AG50" s="691"/>
      <c r="AH50" s="691"/>
      <c r="AI50" s="695"/>
      <c r="AJ50" s="696"/>
      <c r="AK50" s="697" t="s">
        <v>1006</v>
      </c>
    </row>
    <row r="51" spans="2:41" s="682" customFormat="1">
      <c r="B51" s="698">
        <v>6</v>
      </c>
      <c r="C51" s="684" t="s">
        <v>1007</v>
      </c>
      <c r="D51" s="685" t="s">
        <v>1008</v>
      </c>
      <c r="E51" s="685" t="s">
        <v>1008</v>
      </c>
      <c r="F51" s="685" t="s">
        <v>1009</v>
      </c>
      <c r="G51" s="686">
        <v>2013</v>
      </c>
      <c r="H51" s="686"/>
      <c r="I51" s="686">
        <v>24</v>
      </c>
      <c r="J51" s="687">
        <v>0.5182665278161861</v>
      </c>
      <c r="K51" s="688">
        <v>0.5182665278161861</v>
      </c>
      <c r="L51" s="687">
        <v>0</v>
      </c>
      <c r="M51" s="689">
        <v>0</v>
      </c>
      <c r="N51" s="689">
        <v>0</v>
      </c>
      <c r="O51" s="689">
        <v>0</v>
      </c>
      <c r="P51" s="690">
        <v>0</v>
      </c>
      <c r="Q51" s="689">
        <v>0</v>
      </c>
      <c r="R51" s="691">
        <v>0</v>
      </c>
      <c r="S51" s="691">
        <v>0</v>
      </c>
      <c r="T51" s="691">
        <v>0</v>
      </c>
      <c r="U51" s="690">
        <v>0.5182665278161861</v>
      </c>
      <c r="V51" s="687"/>
      <c r="W51" s="691"/>
      <c r="X51" s="691"/>
      <c r="Y51" s="691"/>
      <c r="Z51" s="690"/>
      <c r="AA51" s="687"/>
      <c r="AB51" s="691"/>
      <c r="AC51" s="691"/>
      <c r="AD51" s="691"/>
      <c r="AE51" s="690"/>
      <c r="AF51" s="689"/>
      <c r="AG51" s="691"/>
      <c r="AH51" s="691"/>
      <c r="AI51" s="695"/>
      <c r="AJ51" s="696"/>
      <c r="AK51" s="697" t="s">
        <v>1010</v>
      </c>
    </row>
    <row r="52" spans="2:41" s="682" customFormat="1">
      <c r="B52" s="698">
        <v>7</v>
      </c>
      <c r="C52" s="684" t="s">
        <v>1011</v>
      </c>
      <c r="D52" s="685" t="s">
        <v>1008</v>
      </c>
      <c r="E52" s="685" t="s">
        <v>1008</v>
      </c>
      <c r="F52" s="685" t="s">
        <v>994</v>
      </c>
      <c r="G52" s="686">
        <v>2014</v>
      </c>
      <c r="H52" s="686"/>
      <c r="I52" s="686">
        <v>13</v>
      </c>
      <c r="J52" s="687">
        <v>0.5182665278161861</v>
      </c>
      <c r="K52" s="688">
        <v>0.5182665278161861</v>
      </c>
      <c r="L52" s="687">
        <v>0</v>
      </c>
      <c r="M52" s="689">
        <v>0</v>
      </c>
      <c r="N52" s="689">
        <v>0</v>
      </c>
      <c r="O52" s="689">
        <v>0</v>
      </c>
      <c r="P52" s="690">
        <v>0</v>
      </c>
      <c r="Q52" s="689">
        <v>0</v>
      </c>
      <c r="R52" s="691">
        <v>0</v>
      </c>
      <c r="S52" s="691">
        <v>0</v>
      </c>
      <c r="T52" s="691">
        <v>0</v>
      </c>
      <c r="U52" s="690">
        <v>0.5182665278161861</v>
      </c>
      <c r="V52" s="687"/>
      <c r="W52" s="691"/>
      <c r="X52" s="691"/>
      <c r="Y52" s="691"/>
      <c r="Z52" s="690"/>
      <c r="AA52" s="687"/>
      <c r="AB52" s="691"/>
      <c r="AC52" s="691"/>
      <c r="AD52" s="691"/>
      <c r="AE52" s="690"/>
      <c r="AF52" s="689"/>
      <c r="AG52" s="691"/>
      <c r="AH52" s="691"/>
      <c r="AI52" s="695"/>
      <c r="AJ52" s="696"/>
      <c r="AK52" s="697" t="s">
        <v>1012</v>
      </c>
      <c r="AO52" s="682" t="s">
        <v>47</v>
      </c>
    </row>
    <row r="53" spans="2:41" s="682" customFormat="1">
      <c r="B53" s="698">
        <v>8</v>
      </c>
      <c r="C53" s="684" t="s">
        <v>1013</v>
      </c>
      <c r="D53" s="685" t="s">
        <v>1008</v>
      </c>
      <c r="E53" s="685" t="s">
        <v>1008</v>
      </c>
      <c r="F53" s="685" t="s">
        <v>1014</v>
      </c>
      <c r="G53" s="686">
        <v>2008</v>
      </c>
      <c r="H53" s="686"/>
      <c r="I53" s="686">
        <v>13</v>
      </c>
      <c r="J53" s="687">
        <v>0.21075667839933671</v>
      </c>
      <c r="K53" s="688">
        <v>0.21075667839933671</v>
      </c>
      <c r="L53" s="687">
        <v>0</v>
      </c>
      <c r="M53" s="689">
        <v>0</v>
      </c>
      <c r="N53" s="689">
        <v>0</v>
      </c>
      <c r="O53" s="689">
        <v>0</v>
      </c>
      <c r="P53" s="690">
        <v>0</v>
      </c>
      <c r="Q53" s="689">
        <v>0.21075667839933671</v>
      </c>
      <c r="R53" s="691">
        <v>0</v>
      </c>
      <c r="S53" s="691">
        <v>0</v>
      </c>
      <c r="T53" s="691">
        <v>0</v>
      </c>
      <c r="U53" s="690">
        <v>0</v>
      </c>
      <c r="V53" s="687"/>
      <c r="W53" s="691"/>
      <c r="X53" s="691"/>
      <c r="Y53" s="691"/>
      <c r="Z53" s="690"/>
      <c r="AA53" s="687"/>
      <c r="AB53" s="691"/>
      <c r="AC53" s="691"/>
      <c r="AD53" s="691"/>
      <c r="AE53" s="690"/>
      <c r="AF53" s="689"/>
      <c r="AG53" s="691"/>
      <c r="AH53" s="691"/>
      <c r="AI53" s="695"/>
      <c r="AJ53" s="696"/>
      <c r="AK53" s="697" t="s">
        <v>1015</v>
      </c>
    </row>
    <row r="54" spans="2:41" s="682" customFormat="1">
      <c r="B54" s="698">
        <v>9</v>
      </c>
      <c r="C54" s="684" t="s">
        <v>1016</v>
      </c>
      <c r="D54" s="685" t="s">
        <v>997</v>
      </c>
      <c r="E54" s="685" t="s">
        <v>997</v>
      </c>
      <c r="F54" s="685" t="s">
        <v>998</v>
      </c>
      <c r="G54" s="686">
        <v>2011</v>
      </c>
      <c r="H54" s="686"/>
      <c r="I54" s="686">
        <v>14</v>
      </c>
      <c r="J54" s="687">
        <v>1.3352912951210363</v>
      </c>
      <c r="K54" s="688">
        <v>1.3352912951210363</v>
      </c>
      <c r="L54" s="687">
        <v>0</v>
      </c>
      <c r="M54" s="689">
        <v>0</v>
      </c>
      <c r="N54" s="689">
        <v>0</v>
      </c>
      <c r="O54" s="689">
        <v>0</v>
      </c>
      <c r="P54" s="690">
        <v>0</v>
      </c>
      <c r="Q54" s="689">
        <v>0</v>
      </c>
      <c r="R54" s="691">
        <v>0</v>
      </c>
      <c r="S54" s="691">
        <v>0.30869209055609192</v>
      </c>
      <c r="T54" s="691">
        <v>1.0265992045649444</v>
      </c>
      <c r="U54" s="690">
        <v>0</v>
      </c>
      <c r="V54" s="687"/>
      <c r="W54" s="691"/>
      <c r="X54" s="691"/>
      <c r="Y54" s="691"/>
      <c r="Z54" s="690"/>
      <c r="AA54" s="687"/>
      <c r="AB54" s="691"/>
      <c r="AC54" s="691"/>
      <c r="AD54" s="691"/>
      <c r="AE54" s="690"/>
      <c r="AF54" s="689"/>
      <c r="AG54" s="691"/>
      <c r="AH54" s="691"/>
      <c r="AI54" s="695"/>
      <c r="AJ54" s="696"/>
      <c r="AK54" s="697" t="s">
        <v>1017</v>
      </c>
    </row>
    <row r="55" spans="2:41" s="682" customFormat="1">
      <c r="B55" s="698">
        <v>10</v>
      </c>
      <c r="C55" s="684" t="s">
        <v>1018</v>
      </c>
      <c r="D55" s="685" t="s">
        <v>997</v>
      </c>
      <c r="E55" s="685" t="s">
        <v>997</v>
      </c>
      <c r="F55" s="685" t="s">
        <v>1019</v>
      </c>
      <c r="G55" s="686">
        <v>2007</v>
      </c>
      <c r="H55" s="686"/>
      <c r="I55" s="686">
        <v>20</v>
      </c>
      <c r="J55" s="687">
        <v>0.31613501759900503</v>
      </c>
      <c r="K55" s="688">
        <v>0.31613501759900503</v>
      </c>
      <c r="L55" s="687">
        <v>0</v>
      </c>
      <c r="M55" s="689">
        <v>0</v>
      </c>
      <c r="N55" s="689">
        <v>0</v>
      </c>
      <c r="O55" s="689">
        <v>0</v>
      </c>
      <c r="P55" s="690">
        <v>0</v>
      </c>
      <c r="Q55" s="689">
        <v>0.31613501759900503</v>
      </c>
      <c r="R55" s="691">
        <v>0</v>
      </c>
      <c r="S55" s="691">
        <v>0</v>
      </c>
      <c r="T55" s="691">
        <v>0</v>
      </c>
      <c r="U55" s="690">
        <v>0</v>
      </c>
      <c r="V55" s="687"/>
      <c r="W55" s="691"/>
      <c r="X55" s="691"/>
      <c r="Y55" s="691"/>
      <c r="Z55" s="690"/>
      <c r="AA55" s="687"/>
      <c r="AB55" s="691"/>
      <c r="AC55" s="691"/>
      <c r="AD55" s="691"/>
      <c r="AE55" s="690"/>
      <c r="AF55" s="689"/>
      <c r="AG55" s="691"/>
      <c r="AH55" s="691"/>
      <c r="AI55" s="695"/>
      <c r="AJ55" s="696"/>
      <c r="AK55" s="697" t="s">
        <v>1020</v>
      </c>
    </row>
    <row r="56" spans="2:41" s="682" customFormat="1">
      <c r="B56" s="698">
        <v>11</v>
      </c>
      <c r="C56" s="684" t="s">
        <v>1021</v>
      </c>
      <c r="D56" s="685" t="s">
        <v>997</v>
      </c>
      <c r="E56" s="685" t="s">
        <v>997</v>
      </c>
      <c r="F56" s="685" t="s">
        <v>1019</v>
      </c>
      <c r="G56" s="686">
        <v>2010</v>
      </c>
      <c r="H56" s="686"/>
      <c r="I56" s="686">
        <v>56</v>
      </c>
      <c r="J56" s="687">
        <v>2.2935154556831643</v>
      </c>
      <c r="K56" s="688">
        <v>2.2935154556831643</v>
      </c>
      <c r="L56" s="687">
        <v>0</v>
      </c>
      <c r="M56" s="689">
        <v>0</v>
      </c>
      <c r="N56" s="689">
        <v>0</v>
      </c>
      <c r="O56" s="689">
        <v>0</v>
      </c>
      <c r="P56" s="690">
        <v>0</v>
      </c>
      <c r="Q56" s="689">
        <v>1.1591617311963516</v>
      </c>
      <c r="R56" s="691">
        <v>1.1343537244868129</v>
      </c>
      <c r="S56" s="691">
        <v>0</v>
      </c>
      <c r="T56" s="691">
        <v>0</v>
      </c>
      <c r="U56" s="690">
        <v>0</v>
      </c>
      <c r="V56" s="687"/>
      <c r="W56" s="691"/>
      <c r="X56" s="691"/>
      <c r="Y56" s="691"/>
      <c r="Z56" s="690"/>
      <c r="AA56" s="687"/>
      <c r="AB56" s="691"/>
      <c r="AC56" s="691"/>
      <c r="AD56" s="691"/>
      <c r="AE56" s="690"/>
      <c r="AF56" s="689"/>
      <c r="AG56" s="691"/>
      <c r="AH56" s="691"/>
      <c r="AI56" s="695"/>
      <c r="AJ56" s="696"/>
      <c r="AK56" s="697" t="s">
        <v>1022</v>
      </c>
    </row>
    <row r="57" spans="2:41" s="682" customFormat="1">
      <c r="B57" s="698">
        <v>12</v>
      </c>
      <c r="C57" s="684" t="s">
        <v>1023</v>
      </c>
      <c r="D57" s="685" t="s">
        <v>997</v>
      </c>
      <c r="E57" s="685" t="s">
        <v>997</v>
      </c>
      <c r="F57" s="685" t="s">
        <v>998</v>
      </c>
      <c r="G57" s="686">
        <v>2006</v>
      </c>
      <c r="H57" s="686"/>
      <c r="I57" s="686">
        <v>14</v>
      </c>
      <c r="J57" s="687">
        <v>6.3127833919966836</v>
      </c>
      <c r="K57" s="688">
        <v>1.0537833919966832</v>
      </c>
      <c r="L57" s="687">
        <v>0</v>
      </c>
      <c r="M57" s="689">
        <v>0</v>
      </c>
      <c r="N57" s="689">
        <v>0</v>
      </c>
      <c r="O57" s="689">
        <v>1.4</v>
      </c>
      <c r="P57" s="690">
        <v>3.859</v>
      </c>
      <c r="Q57" s="689">
        <v>1.0537833919966832</v>
      </c>
      <c r="R57" s="691">
        <v>0</v>
      </c>
      <c r="S57" s="691">
        <v>0</v>
      </c>
      <c r="T57" s="691">
        <v>0</v>
      </c>
      <c r="U57" s="690">
        <v>0</v>
      </c>
      <c r="V57" s="687"/>
      <c r="W57" s="691"/>
      <c r="X57" s="691"/>
      <c r="Y57" s="691"/>
      <c r="Z57" s="690"/>
      <c r="AA57" s="687"/>
      <c r="AB57" s="691"/>
      <c r="AC57" s="691"/>
      <c r="AD57" s="691"/>
      <c r="AE57" s="690"/>
      <c r="AF57" s="689"/>
      <c r="AG57" s="691"/>
      <c r="AH57" s="691"/>
      <c r="AI57" s="695"/>
      <c r="AJ57" s="696"/>
      <c r="AK57" s="697" t="s">
        <v>1024</v>
      </c>
    </row>
    <row r="58" spans="2:41" s="682" customFormat="1">
      <c r="B58" s="698">
        <v>13</v>
      </c>
      <c r="C58" s="684" t="s">
        <v>1025</v>
      </c>
      <c r="D58" s="685" t="s">
        <v>997</v>
      </c>
      <c r="E58" s="685" t="s">
        <v>997</v>
      </c>
      <c r="F58" s="685" t="s">
        <v>998</v>
      </c>
      <c r="G58" s="686">
        <v>2010</v>
      </c>
      <c r="H58" s="686"/>
      <c r="I58" s="686">
        <v>7.5</v>
      </c>
      <c r="J58" s="687">
        <v>0.41474753678698095</v>
      </c>
      <c r="K58" s="688">
        <v>0.41474753678698095</v>
      </c>
      <c r="L58" s="687">
        <v>0</v>
      </c>
      <c r="M58" s="689">
        <v>0</v>
      </c>
      <c r="N58" s="689">
        <v>0</v>
      </c>
      <c r="O58" s="689">
        <v>0</v>
      </c>
      <c r="P58" s="690">
        <v>0</v>
      </c>
      <c r="Q58" s="689">
        <v>0.10537833919966835</v>
      </c>
      <c r="R58" s="691">
        <v>0.30936919758731257</v>
      </c>
      <c r="S58" s="691">
        <v>0</v>
      </c>
      <c r="T58" s="691">
        <v>0</v>
      </c>
      <c r="U58" s="690">
        <v>0</v>
      </c>
      <c r="V58" s="687"/>
      <c r="W58" s="691"/>
      <c r="X58" s="691"/>
      <c r="Y58" s="691"/>
      <c r="Z58" s="690"/>
      <c r="AA58" s="687"/>
      <c r="AB58" s="691"/>
      <c r="AC58" s="691"/>
      <c r="AD58" s="691"/>
      <c r="AE58" s="690"/>
      <c r="AF58" s="689"/>
      <c r="AG58" s="691"/>
      <c r="AH58" s="691"/>
      <c r="AI58" s="695"/>
      <c r="AJ58" s="696"/>
      <c r="AK58" s="697" t="s">
        <v>1026</v>
      </c>
    </row>
    <row r="59" spans="2:41" s="682" customFormat="1">
      <c r="B59" s="698">
        <v>14</v>
      </c>
      <c r="C59" s="684" t="s">
        <v>1027</v>
      </c>
      <c r="D59" s="685" t="s">
        <v>997</v>
      </c>
      <c r="E59" s="685" t="s">
        <v>997</v>
      </c>
      <c r="F59" s="685" t="s">
        <v>998</v>
      </c>
      <c r="G59" s="686">
        <v>2007</v>
      </c>
      <c r="H59" s="686"/>
      <c r="I59" s="686">
        <v>24</v>
      </c>
      <c r="J59" s="687">
        <v>2.0602042938113483</v>
      </c>
      <c r="K59" s="688">
        <v>2.0602042938113483</v>
      </c>
      <c r="L59" s="687">
        <v>0</v>
      </c>
      <c r="M59" s="689">
        <v>0</v>
      </c>
      <c r="N59" s="689">
        <v>0</v>
      </c>
      <c r="O59" s="689">
        <v>0</v>
      </c>
      <c r="P59" s="690">
        <v>0</v>
      </c>
      <c r="Q59" s="689">
        <v>0</v>
      </c>
      <c r="R59" s="691">
        <v>1.0312306586243754</v>
      </c>
      <c r="S59" s="691">
        <v>1.0289736351869729</v>
      </c>
      <c r="T59" s="691">
        <v>0</v>
      </c>
      <c r="U59" s="690">
        <v>0</v>
      </c>
      <c r="V59" s="687"/>
      <c r="W59" s="691"/>
      <c r="X59" s="691"/>
      <c r="Y59" s="691"/>
      <c r="Z59" s="690"/>
      <c r="AA59" s="687"/>
      <c r="AB59" s="691"/>
      <c r="AC59" s="691"/>
      <c r="AD59" s="691"/>
      <c r="AE59" s="690"/>
      <c r="AF59" s="689"/>
      <c r="AG59" s="691"/>
      <c r="AH59" s="691"/>
      <c r="AI59" s="695"/>
      <c r="AJ59" s="696"/>
      <c r="AK59" s="697" t="s">
        <v>1028</v>
      </c>
    </row>
    <row r="60" spans="2:41" s="682" customFormat="1">
      <c r="B60" s="698">
        <v>15</v>
      </c>
      <c r="C60" s="684" t="s">
        <v>1029</v>
      </c>
      <c r="D60" s="685" t="s">
        <v>997</v>
      </c>
      <c r="E60" s="685" t="s">
        <v>997</v>
      </c>
      <c r="F60" s="685" t="s">
        <v>998</v>
      </c>
      <c r="G60" s="686">
        <v>2008</v>
      </c>
      <c r="H60" s="686"/>
      <c r="I60" s="686">
        <v>3.25</v>
      </c>
      <c r="J60" s="687">
        <v>1.7643684863475919</v>
      </c>
      <c r="K60" s="688">
        <v>1.7643684863475919</v>
      </c>
      <c r="L60" s="687">
        <v>0</v>
      </c>
      <c r="M60" s="689">
        <v>0</v>
      </c>
      <c r="N60" s="689">
        <v>0</v>
      </c>
      <c r="O60" s="689">
        <v>0</v>
      </c>
      <c r="P60" s="690">
        <v>0</v>
      </c>
      <c r="Q60" s="689">
        <v>0.52689169599834162</v>
      </c>
      <c r="R60" s="691">
        <v>1.2374767903492503</v>
      </c>
      <c r="S60" s="691">
        <v>0</v>
      </c>
      <c r="T60" s="691">
        <v>0</v>
      </c>
      <c r="U60" s="690">
        <v>0</v>
      </c>
      <c r="V60" s="687"/>
      <c r="W60" s="691"/>
      <c r="X60" s="691"/>
      <c r="Y60" s="691"/>
      <c r="Z60" s="690"/>
      <c r="AA60" s="687"/>
      <c r="AB60" s="691"/>
      <c r="AC60" s="691"/>
      <c r="AD60" s="691"/>
      <c r="AE60" s="690"/>
      <c r="AF60" s="689"/>
      <c r="AG60" s="691"/>
      <c r="AH60" s="691"/>
      <c r="AI60" s="695"/>
      <c r="AJ60" s="696"/>
      <c r="AK60" s="697" t="s">
        <v>1030</v>
      </c>
    </row>
    <row r="61" spans="2:41" s="682" customFormat="1">
      <c r="B61" s="698">
        <v>16</v>
      </c>
      <c r="C61" s="684" t="s">
        <v>1031</v>
      </c>
      <c r="D61" s="685" t="s">
        <v>997</v>
      </c>
      <c r="E61" s="685" t="s">
        <v>997</v>
      </c>
      <c r="F61" s="685" t="s">
        <v>998</v>
      </c>
      <c r="G61" s="686">
        <v>2008</v>
      </c>
      <c r="H61" s="686"/>
      <c r="I61" s="686">
        <v>5.25</v>
      </c>
      <c r="J61" s="687">
        <v>1.235421987818663</v>
      </c>
      <c r="K61" s="688">
        <v>1.235421987818663</v>
      </c>
      <c r="L61" s="687">
        <v>0</v>
      </c>
      <c r="M61" s="689">
        <v>0</v>
      </c>
      <c r="N61" s="689">
        <v>0</v>
      </c>
      <c r="O61" s="689">
        <v>0</v>
      </c>
      <c r="P61" s="690">
        <v>0</v>
      </c>
      <c r="Q61" s="689">
        <v>0</v>
      </c>
      <c r="R61" s="691">
        <v>0.51561532931218768</v>
      </c>
      <c r="S61" s="691">
        <v>0.51448681759348647</v>
      </c>
      <c r="T61" s="691">
        <v>0.20531984091298891</v>
      </c>
      <c r="U61" s="690">
        <v>0</v>
      </c>
      <c r="V61" s="687"/>
      <c r="W61" s="691"/>
      <c r="X61" s="691"/>
      <c r="Y61" s="691"/>
      <c r="Z61" s="690"/>
      <c r="AA61" s="687"/>
      <c r="AB61" s="691"/>
      <c r="AC61" s="691"/>
      <c r="AD61" s="691"/>
      <c r="AE61" s="690"/>
      <c r="AF61" s="689"/>
      <c r="AG61" s="691"/>
      <c r="AH61" s="691"/>
      <c r="AI61" s="695"/>
      <c r="AJ61" s="696"/>
      <c r="AK61" s="697" t="s">
        <v>1032</v>
      </c>
    </row>
    <row r="62" spans="2:41" s="682" customFormat="1">
      <c r="B62" s="698">
        <v>17</v>
      </c>
      <c r="C62" s="684" t="s">
        <v>1033</v>
      </c>
      <c r="D62" s="685" t="s">
        <v>1008</v>
      </c>
      <c r="E62" s="685" t="s">
        <v>1008</v>
      </c>
      <c r="F62" s="685" t="s">
        <v>994</v>
      </c>
      <c r="G62" s="686">
        <v>2008</v>
      </c>
      <c r="H62" s="686"/>
      <c r="I62" s="686">
        <v>4.75</v>
      </c>
      <c r="J62" s="687">
        <v>0.51561532931218768</v>
      </c>
      <c r="K62" s="688">
        <v>0.51561532931218768</v>
      </c>
      <c r="L62" s="687">
        <v>0</v>
      </c>
      <c r="M62" s="689">
        <v>0</v>
      </c>
      <c r="N62" s="689">
        <v>0</v>
      </c>
      <c r="O62" s="689">
        <v>0</v>
      </c>
      <c r="P62" s="690">
        <v>0</v>
      </c>
      <c r="Q62" s="689">
        <v>0</v>
      </c>
      <c r="R62" s="691">
        <v>0.51561532931218768</v>
      </c>
      <c r="S62" s="691">
        <v>0</v>
      </c>
      <c r="T62" s="691">
        <v>0</v>
      </c>
      <c r="U62" s="690">
        <v>0</v>
      </c>
      <c r="V62" s="687"/>
      <c r="W62" s="691"/>
      <c r="X62" s="691"/>
      <c r="Y62" s="691"/>
      <c r="Z62" s="690"/>
      <c r="AA62" s="687"/>
      <c r="AB62" s="691"/>
      <c r="AC62" s="691"/>
      <c r="AD62" s="691"/>
      <c r="AE62" s="690"/>
      <c r="AF62" s="689"/>
      <c r="AG62" s="691"/>
      <c r="AH62" s="691"/>
      <c r="AI62" s="695"/>
      <c r="AJ62" s="696"/>
      <c r="AK62" s="697" t="s">
        <v>1034</v>
      </c>
    </row>
    <row r="63" spans="2:41" s="682" customFormat="1">
      <c r="B63" s="698">
        <v>18</v>
      </c>
      <c r="C63" s="684" t="s">
        <v>1035</v>
      </c>
      <c r="D63" s="685" t="s">
        <v>401</v>
      </c>
      <c r="E63" s="685" t="s">
        <v>401</v>
      </c>
      <c r="F63" s="685" t="s">
        <v>1014</v>
      </c>
      <c r="G63" s="686">
        <v>2013</v>
      </c>
      <c r="H63" s="686"/>
      <c r="I63" s="686">
        <v>39</v>
      </c>
      <c r="J63" s="687">
        <v>0.20531984091298891</v>
      </c>
      <c r="K63" s="688">
        <v>0.20531984091298891</v>
      </c>
      <c r="L63" s="687">
        <v>0</v>
      </c>
      <c r="M63" s="689">
        <v>0</v>
      </c>
      <c r="N63" s="689">
        <v>0</v>
      </c>
      <c r="O63" s="689">
        <v>0</v>
      </c>
      <c r="P63" s="690">
        <v>0</v>
      </c>
      <c r="Q63" s="689">
        <v>0</v>
      </c>
      <c r="R63" s="691">
        <v>0</v>
      </c>
      <c r="S63" s="691">
        <v>0</v>
      </c>
      <c r="T63" s="691">
        <v>0.20531984091298891</v>
      </c>
      <c r="U63" s="690">
        <v>0</v>
      </c>
      <c r="V63" s="687"/>
      <c r="W63" s="691"/>
      <c r="X63" s="691"/>
      <c r="Y63" s="691"/>
      <c r="Z63" s="690"/>
      <c r="AA63" s="687"/>
      <c r="AB63" s="691"/>
      <c r="AC63" s="691"/>
      <c r="AD63" s="691"/>
      <c r="AE63" s="690"/>
      <c r="AF63" s="689"/>
      <c r="AG63" s="691"/>
      <c r="AH63" s="691"/>
      <c r="AI63" s="695"/>
      <c r="AJ63" s="696"/>
      <c r="AK63" s="697" t="s">
        <v>1036</v>
      </c>
    </row>
    <row r="64" spans="2:41" s="682" customFormat="1">
      <c r="B64" s="698">
        <v>19</v>
      </c>
      <c r="C64" s="684" t="s">
        <v>1037</v>
      </c>
      <c r="D64" s="685" t="s">
        <v>997</v>
      </c>
      <c r="E64" s="685" t="s">
        <v>997</v>
      </c>
      <c r="F64" s="685" t="s">
        <v>998</v>
      </c>
      <c r="G64" s="686">
        <v>2007</v>
      </c>
      <c r="H64" s="686"/>
      <c r="I64" s="686">
        <v>14.25</v>
      </c>
      <c r="J64" s="687">
        <v>0.94389450612255343</v>
      </c>
      <c r="K64" s="688">
        <v>0.94389450612255343</v>
      </c>
      <c r="L64" s="687">
        <v>0</v>
      </c>
      <c r="M64" s="689">
        <v>0</v>
      </c>
      <c r="N64" s="689">
        <v>0</v>
      </c>
      <c r="O64" s="689">
        <v>0</v>
      </c>
      <c r="P64" s="690">
        <v>0</v>
      </c>
      <c r="Q64" s="689">
        <v>0.73764837439767827</v>
      </c>
      <c r="R64" s="691">
        <v>0.2062461317248751</v>
      </c>
      <c r="S64" s="691">
        <v>0</v>
      </c>
      <c r="T64" s="691">
        <v>0</v>
      </c>
      <c r="U64" s="690">
        <v>0</v>
      </c>
      <c r="V64" s="687"/>
      <c r="W64" s="691"/>
      <c r="X64" s="691"/>
      <c r="Y64" s="691"/>
      <c r="Z64" s="690"/>
      <c r="AA64" s="687"/>
      <c r="AB64" s="691"/>
      <c r="AC64" s="691"/>
      <c r="AD64" s="691"/>
      <c r="AE64" s="690"/>
      <c r="AF64" s="689"/>
      <c r="AG64" s="691"/>
      <c r="AH64" s="691"/>
      <c r="AI64" s="695"/>
      <c r="AJ64" s="696"/>
      <c r="AK64" s="697" t="s">
        <v>1038</v>
      </c>
    </row>
    <row r="65" spans="2:37" s="682" customFormat="1">
      <c r="B65" s="698">
        <v>20</v>
      </c>
      <c r="C65" s="699" t="s">
        <v>1039</v>
      </c>
      <c r="D65" s="700" t="s">
        <v>1008</v>
      </c>
      <c r="E65" s="700" t="s">
        <v>1008</v>
      </c>
      <c r="F65" s="700" t="s">
        <v>998</v>
      </c>
      <c r="G65" s="701">
        <v>2009</v>
      </c>
      <c r="H65" s="686"/>
      <c r="I65" s="701">
        <v>39</v>
      </c>
      <c r="J65" s="702">
        <v>1.6860534271946936</v>
      </c>
      <c r="K65" s="703">
        <v>1.6860534271946936</v>
      </c>
      <c r="L65" s="702">
        <v>0</v>
      </c>
      <c r="M65" s="704">
        <v>0</v>
      </c>
      <c r="N65" s="704">
        <v>0</v>
      </c>
      <c r="O65" s="704">
        <v>0</v>
      </c>
      <c r="P65" s="705">
        <v>0</v>
      </c>
      <c r="Q65" s="704">
        <v>1.6860534271946936</v>
      </c>
      <c r="R65" s="706">
        <v>0</v>
      </c>
      <c r="S65" s="706">
        <v>0</v>
      </c>
      <c r="T65" s="706">
        <v>0</v>
      </c>
      <c r="U65" s="705">
        <v>0</v>
      </c>
      <c r="V65" s="687"/>
      <c r="W65" s="691"/>
      <c r="X65" s="691"/>
      <c r="Y65" s="691"/>
      <c r="Z65" s="690"/>
      <c r="AA65" s="687"/>
      <c r="AB65" s="691"/>
      <c r="AC65" s="691"/>
      <c r="AD65" s="691"/>
      <c r="AE65" s="690"/>
      <c r="AF65" s="689"/>
      <c r="AG65" s="691"/>
      <c r="AH65" s="691"/>
      <c r="AI65" s="695"/>
      <c r="AJ65" s="696"/>
      <c r="AK65" s="707" t="s">
        <v>1040</v>
      </c>
    </row>
    <row r="66" spans="2:37" s="682" customFormat="1">
      <c r="B66" s="698">
        <v>21</v>
      </c>
      <c r="C66" s="699" t="s">
        <v>1041</v>
      </c>
      <c r="D66" s="700" t="s">
        <v>1008</v>
      </c>
      <c r="E66" s="700" t="s">
        <v>1008</v>
      </c>
      <c r="F66" s="700" t="s">
        <v>1019</v>
      </c>
      <c r="G66" s="701">
        <v>2008</v>
      </c>
      <c r="H66" s="686"/>
      <c r="I66" s="701">
        <v>28</v>
      </c>
      <c r="J66" s="702">
        <v>1.4421430056679436</v>
      </c>
      <c r="K66" s="703">
        <v>1.4421430056679436</v>
      </c>
      <c r="L66" s="702">
        <v>0</v>
      </c>
      <c r="M66" s="704">
        <v>0</v>
      </c>
      <c r="N66" s="704">
        <v>0</v>
      </c>
      <c r="O66" s="704">
        <v>0</v>
      </c>
      <c r="P66" s="705">
        <v>0</v>
      </c>
      <c r="Q66" s="704">
        <v>0</v>
      </c>
      <c r="R66" s="706">
        <v>0.72186146103706272</v>
      </c>
      <c r="S66" s="706">
        <v>0.72028154463088101</v>
      </c>
      <c r="T66" s="706">
        <v>0</v>
      </c>
      <c r="U66" s="705">
        <v>0</v>
      </c>
      <c r="V66" s="687"/>
      <c r="W66" s="691"/>
      <c r="X66" s="691"/>
      <c r="Y66" s="691"/>
      <c r="Z66" s="690"/>
      <c r="AA66" s="687"/>
      <c r="AB66" s="691"/>
      <c r="AC66" s="691"/>
      <c r="AD66" s="691"/>
      <c r="AE66" s="690"/>
      <c r="AF66" s="689"/>
      <c r="AG66" s="691"/>
      <c r="AH66" s="691"/>
      <c r="AI66" s="695"/>
      <c r="AJ66" s="696"/>
      <c r="AK66" s="707" t="s">
        <v>1042</v>
      </c>
    </row>
    <row r="67" spans="2:37" s="682" customFormat="1">
      <c r="B67" s="698">
        <v>22</v>
      </c>
      <c r="C67" s="699" t="s">
        <v>1043</v>
      </c>
      <c r="D67" s="700" t="s">
        <v>997</v>
      </c>
      <c r="E67" s="700" t="s">
        <v>997</v>
      </c>
      <c r="F67" s="700" t="s">
        <v>1019</v>
      </c>
      <c r="G67" s="701">
        <v>2007</v>
      </c>
      <c r="H67" s="686"/>
      <c r="I67" s="701">
        <v>22</v>
      </c>
      <c r="J67" s="702">
        <v>0.52689169599834162</v>
      </c>
      <c r="K67" s="703">
        <v>0.52689169599834162</v>
      </c>
      <c r="L67" s="702">
        <v>0</v>
      </c>
      <c r="M67" s="704">
        <v>0</v>
      </c>
      <c r="N67" s="704">
        <v>0</v>
      </c>
      <c r="O67" s="704">
        <v>0</v>
      </c>
      <c r="P67" s="705">
        <v>0</v>
      </c>
      <c r="Q67" s="704">
        <v>0.52689169599834162</v>
      </c>
      <c r="R67" s="706">
        <v>0</v>
      </c>
      <c r="S67" s="706">
        <v>0</v>
      </c>
      <c r="T67" s="706">
        <v>0</v>
      </c>
      <c r="U67" s="705">
        <v>0</v>
      </c>
      <c r="V67" s="687"/>
      <c r="W67" s="691"/>
      <c r="X67" s="691"/>
      <c r="Y67" s="691"/>
      <c r="Z67" s="690"/>
      <c r="AA67" s="687"/>
      <c r="AB67" s="691"/>
      <c r="AC67" s="691"/>
      <c r="AD67" s="691"/>
      <c r="AE67" s="690"/>
      <c r="AF67" s="689"/>
      <c r="AG67" s="691"/>
      <c r="AH67" s="691"/>
      <c r="AI67" s="695"/>
      <c r="AJ67" s="696"/>
      <c r="AK67" s="707" t="s">
        <v>1044</v>
      </c>
    </row>
    <row r="68" spans="2:37" s="682" customFormat="1">
      <c r="B68" s="698">
        <v>23</v>
      </c>
      <c r="C68" s="699" t="s">
        <v>1045</v>
      </c>
      <c r="D68" s="700" t="s">
        <v>401</v>
      </c>
      <c r="E68" s="700" t="s">
        <v>401</v>
      </c>
      <c r="F68" s="700" t="s">
        <v>994</v>
      </c>
      <c r="G68" s="701">
        <v>2011</v>
      </c>
      <c r="H68" s="686"/>
      <c r="I68" s="701">
        <v>58</v>
      </c>
      <c r="J68" s="702">
        <v>2.0555728397519175</v>
      </c>
      <c r="K68" s="703">
        <v>2.0555728397519175</v>
      </c>
      <c r="L68" s="702">
        <v>0</v>
      </c>
      <c r="M68" s="704">
        <v>0</v>
      </c>
      <c r="N68" s="704">
        <v>0</v>
      </c>
      <c r="O68" s="704">
        <v>0</v>
      </c>
      <c r="P68" s="705">
        <v>0</v>
      </c>
      <c r="Q68" s="704">
        <v>0</v>
      </c>
      <c r="R68" s="706">
        <v>0</v>
      </c>
      <c r="S68" s="706">
        <v>1.0289736351869729</v>
      </c>
      <c r="T68" s="706">
        <v>1.0265992045649444</v>
      </c>
      <c r="U68" s="705">
        <v>0</v>
      </c>
      <c r="V68" s="687"/>
      <c r="W68" s="691"/>
      <c r="X68" s="691"/>
      <c r="Y68" s="691"/>
      <c r="Z68" s="690"/>
      <c r="AA68" s="687"/>
      <c r="AB68" s="691"/>
      <c r="AC68" s="691"/>
      <c r="AD68" s="691"/>
      <c r="AE68" s="690"/>
      <c r="AF68" s="689"/>
      <c r="AG68" s="691"/>
      <c r="AH68" s="691"/>
      <c r="AI68" s="695"/>
      <c r="AJ68" s="696"/>
      <c r="AK68" s="707" t="s">
        <v>1046</v>
      </c>
    </row>
    <row r="69" spans="2:37" s="682" customFormat="1">
      <c r="B69" s="698">
        <v>24</v>
      </c>
      <c r="C69" s="699" t="s">
        <v>1047</v>
      </c>
      <c r="D69" s="700" t="s">
        <v>401</v>
      </c>
      <c r="E69" s="700" t="s">
        <v>401</v>
      </c>
      <c r="F69" s="700" t="s">
        <v>998</v>
      </c>
      <c r="G69" s="701">
        <v>2013</v>
      </c>
      <c r="H69" s="686"/>
      <c r="I69" s="701">
        <v>170</v>
      </c>
      <c r="J69" s="702">
        <v>12.901953590954676</v>
      </c>
      <c r="K69" s="703">
        <v>12.901953590954676</v>
      </c>
      <c r="L69" s="702">
        <v>0</v>
      </c>
      <c r="M69" s="704">
        <v>0</v>
      </c>
      <c r="N69" s="704">
        <v>0</v>
      </c>
      <c r="O69" s="704">
        <v>0</v>
      </c>
      <c r="P69" s="705">
        <v>0</v>
      </c>
      <c r="Q69" s="704">
        <v>0</v>
      </c>
      <c r="R69" s="706">
        <v>2.4749535806985006</v>
      </c>
      <c r="S69" s="706">
        <v>2.4695367244487354</v>
      </c>
      <c r="T69" s="706">
        <v>2.4638380909558668</v>
      </c>
      <c r="U69" s="705">
        <v>5.4936251948515729</v>
      </c>
      <c r="V69" s="687"/>
      <c r="W69" s="691"/>
      <c r="X69" s="691"/>
      <c r="Y69" s="691"/>
      <c r="Z69" s="690"/>
      <c r="AA69" s="687"/>
      <c r="AB69" s="691"/>
      <c r="AC69" s="691"/>
      <c r="AD69" s="691"/>
      <c r="AE69" s="690"/>
      <c r="AF69" s="689"/>
      <c r="AG69" s="691"/>
      <c r="AH69" s="691"/>
      <c r="AI69" s="695"/>
      <c r="AJ69" s="696"/>
      <c r="AK69" s="707" t="s">
        <v>1048</v>
      </c>
    </row>
    <row r="70" spans="2:37" s="682" customFormat="1">
      <c r="B70" s="698">
        <v>25</v>
      </c>
      <c r="C70" s="699" t="s">
        <v>1049</v>
      </c>
      <c r="D70" s="700" t="s">
        <v>997</v>
      </c>
      <c r="E70" s="700" t="s">
        <v>997</v>
      </c>
      <c r="F70" s="700" t="s">
        <v>994</v>
      </c>
      <c r="G70" s="701">
        <v>2011</v>
      </c>
      <c r="H70" s="686"/>
      <c r="I70" s="701">
        <v>5</v>
      </c>
      <c r="J70" s="702">
        <v>0.2057947270373946</v>
      </c>
      <c r="K70" s="703">
        <v>0.2057947270373946</v>
      </c>
      <c r="L70" s="702">
        <v>0</v>
      </c>
      <c r="M70" s="704">
        <v>0</v>
      </c>
      <c r="N70" s="704">
        <v>0</v>
      </c>
      <c r="O70" s="704">
        <v>0</v>
      </c>
      <c r="P70" s="705">
        <v>0</v>
      </c>
      <c r="Q70" s="704">
        <v>0</v>
      </c>
      <c r="R70" s="706">
        <v>0</v>
      </c>
      <c r="S70" s="706">
        <v>0.2057947270373946</v>
      </c>
      <c r="T70" s="706">
        <v>0</v>
      </c>
      <c r="U70" s="705">
        <v>0</v>
      </c>
      <c r="V70" s="687"/>
      <c r="W70" s="691"/>
      <c r="X70" s="691"/>
      <c r="Y70" s="691"/>
      <c r="Z70" s="690"/>
      <c r="AA70" s="687"/>
      <c r="AB70" s="691"/>
      <c r="AC70" s="691"/>
      <c r="AD70" s="691"/>
      <c r="AE70" s="690"/>
      <c r="AF70" s="689"/>
      <c r="AG70" s="691"/>
      <c r="AH70" s="691"/>
      <c r="AI70" s="695"/>
      <c r="AJ70" s="696"/>
      <c r="AK70" s="707" t="s">
        <v>1050</v>
      </c>
    </row>
    <row r="71" spans="2:37" s="682" customFormat="1">
      <c r="B71" s="698">
        <v>26</v>
      </c>
      <c r="C71" s="699" t="s">
        <v>1051</v>
      </c>
      <c r="D71" s="700" t="s">
        <v>1008</v>
      </c>
      <c r="E71" s="700" t="s">
        <v>1008</v>
      </c>
      <c r="F71" s="700" t="s">
        <v>1019</v>
      </c>
      <c r="G71" s="701">
        <v>2009</v>
      </c>
      <c r="H71" s="686"/>
      <c r="I71" s="701">
        <v>43</v>
      </c>
      <c r="J71" s="702">
        <v>0.92810759276193777</v>
      </c>
      <c r="K71" s="703">
        <v>0.92810759276193777</v>
      </c>
      <c r="L71" s="702">
        <v>0</v>
      </c>
      <c r="M71" s="704">
        <v>0</v>
      </c>
      <c r="N71" s="704">
        <v>0</v>
      </c>
      <c r="O71" s="704">
        <v>0</v>
      </c>
      <c r="P71" s="705">
        <v>0</v>
      </c>
      <c r="Q71" s="704">
        <v>0</v>
      </c>
      <c r="R71" s="706">
        <v>0.92810759276193777</v>
      </c>
      <c r="S71" s="706">
        <v>0</v>
      </c>
      <c r="T71" s="706">
        <v>0</v>
      </c>
      <c r="U71" s="705">
        <v>0</v>
      </c>
      <c r="V71" s="687"/>
      <c r="W71" s="691"/>
      <c r="X71" s="691"/>
      <c r="Y71" s="691"/>
      <c r="Z71" s="690"/>
      <c r="AA71" s="687"/>
      <c r="AB71" s="691"/>
      <c r="AC71" s="691"/>
      <c r="AD71" s="691"/>
      <c r="AE71" s="690"/>
      <c r="AF71" s="689"/>
      <c r="AG71" s="691"/>
      <c r="AH71" s="691"/>
      <c r="AI71" s="695"/>
      <c r="AJ71" s="696"/>
      <c r="AK71" s="707" t="s">
        <v>1052</v>
      </c>
    </row>
    <row r="72" spans="2:37" s="682" customFormat="1">
      <c r="B72" s="698">
        <v>27</v>
      </c>
      <c r="C72" s="699" t="s">
        <v>1053</v>
      </c>
      <c r="D72" s="700" t="s">
        <v>401</v>
      </c>
      <c r="E72" s="700" t="s">
        <v>401</v>
      </c>
      <c r="F72" s="700" t="s">
        <v>998</v>
      </c>
      <c r="G72" s="701">
        <v>2009</v>
      </c>
      <c r="H72" s="686"/>
      <c r="I72" s="701">
        <v>56.75</v>
      </c>
      <c r="J72" s="702">
        <v>0.84302671359734682</v>
      </c>
      <c r="K72" s="703">
        <v>0.84302671359734682</v>
      </c>
      <c r="L72" s="702">
        <v>0</v>
      </c>
      <c r="M72" s="704">
        <v>0</v>
      </c>
      <c r="N72" s="704">
        <v>0</v>
      </c>
      <c r="O72" s="704">
        <v>0</v>
      </c>
      <c r="P72" s="705">
        <v>0</v>
      </c>
      <c r="Q72" s="704">
        <v>0.84302671359734682</v>
      </c>
      <c r="R72" s="706">
        <v>0</v>
      </c>
      <c r="S72" s="706">
        <v>0</v>
      </c>
      <c r="T72" s="706">
        <v>0</v>
      </c>
      <c r="U72" s="705">
        <v>0</v>
      </c>
      <c r="V72" s="687"/>
      <c r="W72" s="691"/>
      <c r="X72" s="691"/>
      <c r="Y72" s="691"/>
      <c r="Z72" s="690"/>
      <c r="AA72" s="687"/>
      <c r="AB72" s="691"/>
      <c r="AC72" s="691"/>
      <c r="AD72" s="691"/>
      <c r="AE72" s="690"/>
      <c r="AF72" s="689"/>
      <c r="AG72" s="691"/>
      <c r="AH72" s="691"/>
      <c r="AI72" s="695"/>
      <c r="AJ72" s="696"/>
      <c r="AK72" s="707" t="s">
        <v>1054</v>
      </c>
    </row>
    <row r="73" spans="2:37" s="682" customFormat="1">
      <c r="B73" s="698">
        <v>28</v>
      </c>
      <c r="C73" s="699" t="s">
        <v>1055</v>
      </c>
      <c r="D73" s="700" t="s">
        <v>1008</v>
      </c>
      <c r="E73" s="700" t="s">
        <v>1008</v>
      </c>
      <c r="F73" s="700" t="s">
        <v>998</v>
      </c>
      <c r="G73" s="701">
        <v>2010</v>
      </c>
      <c r="H73" s="686"/>
      <c r="I73" s="701">
        <v>39</v>
      </c>
      <c r="J73" s="702">
        <v>5.9634182587179625</v>
      </c>
      <c r="K73" s="703">
        <v>5.9634182587179625</v>
      </c>
      <c r="L73" s="702">
        <v>0</v>
      </c>
      <c r="M73" s="704">
        <v>0</v>
      </c>
      <c r="N73" s="704">
        <v>0</v>
      </c>
      <c r="O73" s="704">
        <v>0</v>
      </c>
      <c r="P73" s="705">
        <v>0</v>
      </c>
      <c r="Q73" s="704">
        <v>0</v>
      </c>
      <c r="R73" s="706">
        <v>1.0312306586243754</v>
      </c>
      <c r="S73" s="706">
        <v>1.9550499068552485</v>
      </c>
      <c r="T73" s="706">
        <v>2.9771376932383387</v>
      </c>
      <c r="U73" s="705">
        <v>0</v>
      </c>
      <c r="V73" s="687"/>
      <c r="W73" s="691"/>
      <c r="X73" s="691"/>
      <c r="Y73" s="691"/>
      <c r="Z73" s="690"/>
      <c r="AA73" s="687"/>
      <c r="AB73" s="691"/>
      <c r="AC73" s="691"/>
      <c r="AD73" s="691"/>
      <c r="AE73" s="690"/>
      <c r="AF73" s="689"/>
      <c r="AG73" s="691"/>
      <c r="AH73" s="691"/>
      <c r="AI73" s="695"/>
      <c r="AJ73" s="696"/>
      <c r="AK73" s="707" t="s">
        <v>1056</v>
      </c>
    </row>
    <row r="74" spans="2:37" s="682" customFormat="1">
      <c r="B74" s="698">
        <v>29</v>
      </c>
      <c r="C74" s="699" t="s">
        <v>1057</v>
      </c>
      <c r="D74" s="700" t="s">
        <v>997</v>
      </c>
      <c r="E74" s="700" t="s">
        <v>997</v>
      </c>
      <c r="F74" s="700" t="s">
        <v>1014</v>
      </c>
      <c r="G74" s="701">
        <v>2008</v>
      </c>
      <c r="H74" s="686"/>
      <c r="I74" s="701">
        <v>10</v>
      </c>
      <c r="J74" s="702">
        <v>0.2062461317248751</v>
      </c>
      <c r="K74" s="703">
        <v>0.2062461317248751</v>
      </c>
      <c r="L74" s="702">
        <v>0</v>
      </c>
      <c r="M74" s="704">
        <v>0</v>
      </c>
      <c r="N74" s="704">
        <v>0</v>
      </c>
      <c r="O74" s="704">
        <v>0</v>
      </c>
      <c r="P74" s="705">
        <v>0</v>
      </c>
      <c r="Q74" s="704">
        <v>0</v>
      </c>
      <c r="R74" s="706">
        <v>0.2062461317248751</v>
      </c>
      <c r="S74" s="706">
        <v>0</v>
      </c>
      <c r="T74" s="706">
        <v>0</v>
      </c>
      <c r="U74" s="705">
        <v>0</v>
      </c>
      <c r="V74" s="687"/>
      <c r="W74" s="691"/>
      <c r="X74" s="691"/>
      <c r="Y74" s="691"/>
      <c r="Z74" s="690"/>
      <c r="AA74" s="687"/>
      <c r="AB74" s="691"/>
      <c r="AC74" s="691"/>
      <c r="AD74" s="691"/>
      <c r="AE74" s="690"/>
      <c r="AF74" s="689"/>
      <c r="AG74" s="691"/>
      <c r="AH74" s="691"/>
      <c r="AI74" s="695"/>
      <c r="AJ74" s="696"/>
      <c r="AK74" s="707" t="s">
        <v>1058</v>
      </c>
    </row>
    <row r="75" spans="2:37" s="682" customFormat="1">
      <c r="B75" s="698">
        <v>30</v>
      </c>
      <c r="C75" s="699" t="s">
        <v>1059</v>
      </c>
      <c r="D75" s="700" t="s">
        <v>997</v>
      </c>
      <c r="E75" s="700" t="s">
        <v>997</v>
      </c>
      <c r="F75" s="700" t="s">
        <v>998</v>
      </c>
      <c r="G75" s="701">
        <v>2007</v>
      </c>
      <c r="H75" s="686"/>
      <c r="I75" s="701">
        <v>12</v>
      </c>
      <c r="J75" s="702">
        <v>0.31613501759900503</v>
      </c>
      <c r="K75" s="703">
        <v>0.31613501759900503</v>
      </c>
      <c r="L75" s="702">
        <v>0</v>
      </c>
      <c r="M75" s="704">
        <v>0</v>
      </c>
      <c r="N75" s="704">
        <v>0</v>
      </c>
      <c r="O75" s="704">
        <v>0</v>
      </c>
      <c r="P75" s="705">
        <v>0</v>
      </c>
      <c r="Q75" s="704">
        <v>0.31613501759900503</v>
      </c>
      <c r="R75" s="706">
        <v>0</v>
      </c>
      <c r="S75" s="706">
        <v>0</v>
      </c>
      <c r="T75" s="706">
        <v>0</v>
      </c>
      <c r="U75" s="705">
        <v>0</v>
      </c>
      <c r="V75" s="687"/>
      <c r="W75" s="691"/>
      <c r="X75" s="691"/>
      <c r="Y75" s="691"/>
      <c r="Z75" s="690"/>
      <c r="AA75" s="687"/>
      <c r="AB75" s="691"/>
      <c r="AC75" s="691"/>
      <c r="AD75" s="691"/>
      <c r="AE75" s="690"/>
      <c r="AF75" s="689"/>
      <c r="AG75" s="691"/>
      <c r="AH75" s="691"/>
      <c r="AI75" s="695"/>
      <c r="AJ75" s="696"/>
      <c r="AK75" s="707" t="s">
        <v>1060</v>
      </c>
    </row>
    <row r="76" spans="2:37" s="682" customFormat="1">
      <c r="B76" s="698">
        <v>31</v>
      </c>
      <c r="C76" s="699" t="s">
        <v>1061</v>
      </c>
      <c r="D76" s="700" t="s">
        <v>401</v>
      </c>
      <c r="E76" s="700" t="s">
        <v>401</v>
      </c>
      <c r="F76" s="700" t="s">
        <v>1014</v>
      </c>
      <c r="G76" s="701">
        <v>2010</v>
      </c>
      <c r="H76" s="686"/>
      <c r="I76" s="701">
        <v>13</v>
      </c>
      <c r="J76" s="702">
        <v>2.0602042938113483</v>
      </c>
      <c r="K76" s="703">
        <v>2.0602042938113483</v>
      </c>
      <c r="L76" s="702">
        <v>0</v>
      </c>
      <c r="M76" s="704">
        <v>0</v>
      </c>
      <c r="N76" s="704">
        <v>0</v>
      </c>
      <c r="O76" s="704">
        <v>0</v>
      </c>
      <c r="P76" s="705">
        <v>0</v>
      </c>
      <c r="Q76" s="704">
        <v>0</v>
      </c>
      <c r="R76" s="706">
        <v>1.0312306586243754</v>
      </c>
      <c r="S76" s="706">
        <v>1.0289736351869729</v>
      </c>
      <c r="T76" s="706">
        <v>0</v>
      </c>
      <c r="U76" s="705">
        <v>0</v>
      </c>
      <c r="V76" s="687"/>
      <c r="W76" s="691"/>
      <c r="X76" s="691"/>
      <c r="Y76" s="691"/>
      <c r="Z76" s="690"/>
      <c r="AA76" s="687"/>
      <c r="AB76" s="691"/>
      <c r="AC76" s="691"/>
      <c r="AD76" s="691"/>
      <c r="AE76" s="690"/>
      <c r="AF76" s="689"/>
      <c r="AG76" s="691"/>
      <c r="AH76" s="691"/>
      <c r="AI76" s="695"/>
      <c r="AJ76" s="696"/>
      <c r="AK76" s="707" t="s">
        <v>1062</v>
      </c>
    </row>
    <row r="77" spans="2:37" s="682" customFormat="1">
      <c r="B77" s="698">
        <v>32</v>
      </c>
      <c r="C77" s="699" t="s">
        <v>1063</v>
      </c>
      <c r="D77" s="700" t="s">
        <v>997</v>
      </c>
      <c r="E77" s="700" t="s">
        <v>997</v>
      </c>
      <c r="F77" s="700" t="s">
        <v>998</v>
      </c>
      <c r="G77" s="701">
        <v>2010</v>
      </c>
      <c r="H77" s="686"/>
      <c r="I77" s="701">
        <v>6.5</v>
      </c>
      <c r="J77" s="702">
        <v>0.52012587598664928</v>
      </c>
      <c r="K77" s="703">
        <v>0.52012587598664928</v>
      </c>
      <c r="L77" s="702">
        <v>0</v>
      </c>
      <c r="M77" s="704">
        <v>0</v>
      </c>
      <c r="N77" s="704">
        <v>0</v>
      </c>
      <c r="O77" s="704">
        <v>0</v>
      </c>
      <c r="P77" s="705">
        <v>0</v>
      </c>
      <c r="Q77" s="704">
        <v>0.21075667839933671</v>
      </c>
      <c r="R77" s="706">
        <v>0.30936919758731257</v>
      </c>
      <c r="S77" s="706">
        <v>0</v>
      </c>
      <c r="T77" s="706">
        <v>0</v>
      </c>
      <c r="U77" s="705">
        <v>0</v>
      </c>
      <c r="V77" s="687"/>
      <c r="W77" s="691"/>
      <c r="X77" s="691"/>
      <c r="Y77" s="691"/>
      <c r="Z77" s="690"/>
      <c r="AA77" s="687"/>
      <c r="AB77" s="691"/>
      <c r="AC77" s="691"/>
      <c r="AD77" s="691"/>
      <c r="AE77" s="690"/>
      <c r="AF77" s="689"/>
      <c r="AG77" s="691"/>
      <c r="AH77" s="691"/>
      <c r="AI77" s="695"/>
      <c r="AJ77" s="696"/>
      <c r="AK77" s="707" t="s">
        <v>1064</v>
      </c>
    </row>
    <row r="78" spans="2:37" s="682" customFormat="1">
      <c r="B78" s="698">
        <v>33</v>
      </c>
      <c r="C78" s="699" t="s">
        <v>1065</v>
      </c>
      <c r="D78" s="700" t="s">
        <v>997</v>
      </c>
      <c r="E78" s="700" t="s">
        <v>997</v>
      </c>
      <c r="F78" s="700" t="s">
        <v>998</v>
      </c>
      <c r="G78" s="701">
        <v>2008</v>
      </c>
      <c r="H78" s="686"/>
      <c r="I78" s="701">
        <v>5</v>
      </c>
      <c r="J78" s="702">
        <v>0.30797976136948335</v>
      </c>
      <c r="K78" s="703">
        <v>0.30797976136948335</v>
      </c>
      <c r="L78" s="702">
        <v>0</v>
      </c>
      <c r="M78" s="704">
        <v>0</v>
      </c>
      <c r="N78" s="704">
        <v>0</v>
      </c>
      <c r="O78" s="704">
        <v>0</v>
      </c>
      <c r="P78" s="705">
        <v>0</v>
      </c>
      <c r="Q78" s="704">
        <v>0</v>
      </c>
      <c r="R78" s="706">
        <v>0</v>
      </c>
      <c r="S78" s="706">
        <v>0</v>
      </c>
      <c r="T78" s="706">
        <v>0.30797976136948335</v>
      </c>
      <c r="U78" s="705">
        <v>0</v>
      </c>
      <c r="V78" s="687"/>
      <c r="W78" s="691"/>
      <c r="X78" s="691"/>
      <c r="Y78" s="691"/>
      <c r="Z78" s="690"/>
      <c r="AA78" s="687"/>
      <c r="AB78" s="691"/>
      <c r="AC78" s="691"/>
      <c r="AD78" s="691"/>
      <c r="AE78" s="690"/>
      <c r="AF78" s="689"/>
      <c r="AG78" s="691"/>
      <c r="AH78" s="691"/>
      <c r="AI78" s="695"/>
      <c r="AJ78" s="696"/>
      <c r="AK78" s="707" t="s">
        <v>1066</v>
      </c>
    </row>
    <row r="79" spans="2:37" s="682" customFormat="1">
      <c r="B79" s="698">
        <v>34</v>
      </c>
      <c r="C79" s="699" t="s">
        <v>1067</v>
      </c>
      <c r="D79" s="700" t="s">
        <v>997</v>
      </c>
      <c r="E79" s="700" t="s">
        <v>997</v>
      </c>
      <c r="F79" s="700" t="s">
        <v>994</v>
      </c>
      <c r="G79" s="701">
        <v>2009</v>
      </c>
      <c r="H79" s="686"/>
      <c r="I79" s="701">
        <v>28</v>
      </c>
      <c r="J79" s="702">
        <v>2.9883118865732858</v>
      </c>
      <c r="K79" s="703">
        <v>2.9883118865732858</v>
      </c>
      <c r="L79" s="702">
        <v>0</v>
      </c>
      <c r="M79" s="704">
        <v>0</v>
      </c>
      <c r="N79" s="704">
        <v>0</v>
      </c>
      <c r="O79" s="704">
        <v>0</v>
      </c>
      <c r="P79" s="705">
        <v>0</v>
      </c>
      <c r="Q79" s="704">
        <v>0</v>
      </c>
      <c r="R79" s="706">
        <v>1.9593382513863129</v>
      </c>
      <c r="S79" s="706">
        <v>1.0289736351869729</v>
      </c>
      <c r="T79" s="706">
        <v>0</v>
      </c>
      <c r="U79" s="705">
        <v>0</v>
      </c>
      <c r="V79" s="687"/>
      <c r="W79" s="691"/>
      <c r="X79" s="691"/>
      <c r="Y79" s="691"/>
      <c r="Z79" s="690"/>
      <c r="AA79" s="687"/>
      <c r="AB79" s="691"/>
      <c r="AC79" s="691"/>
      <c r="AD79" s="691"/>
      <c r="AE79" s="690"/>
      <c r="AF79" s="689"/>
      <c r="AG79" s="691"/>
      <c r="AH79" s="691"/>
      <c r="AI79" s="695"/>
      <c r="AJ79" s="696"/>
      <c r="AK79" s="707" t="s">
        <v>1068</v>
      </c>
    </row>
    <row r="80" spans="2:37" s="682" customFormat="1">
      <c r="B80" s="698">
        <v>35</v>
      </c>
      <c r="C80" s="699" t="s">
        <v>1069</v>
      </c>
      <c r="D80" s="700" t="s">
        <v>401</v>
      </c>
      <c r="E80" s="700" t="s">
        <v>401</v>
      </c>
      <c r="F80" s="700" t="s">
        <v>994</v>
      </c>
      <c r="G80" s="701">
        <v>2010</v>
      </c>
      <c r="H80" s="686"/>
      <c r="I80" s="701">
        <v>51</v>
      </c>
      <c r="J80" s="702">
        <v>1.9550499068552485</v>
      </c>
      <c r="K80" s="703">
        <v>1.9550499068552485</v>
      </c>
      <c r="L80" s="702">
        <v>0</v>
      </c>
      <c r="M80" s="704">
        <v>0</v>
      </c>
      <c r="N80" s="704">
        <v>0</v>
      </c>
      <c r="O80" s="704">
        <v>0</v>
      </c>
      <c r="P80" s="705">
        <v>0</v>
      </c>
      <c r="Q80" s="704">
        <v>0</v>
      </c>
      <c r="R80" s="706">
        <v>0</v>
      </c>
      <c r="S80" s="706">
        <v>1.9550499068552485</v>
      </c>
      <c r="T80" s="706">
        <v>0</v>
      </c>
      <c r="U80" s="705">
        <v>0</v>
      </c>
      <c r="V80" s="687"/>
      <c r="W80" s="691"/>
      <c r="X80" s="691"/>
      <c r="Y80" s="691"/>
      <c r="Z80" s="690"/>
      <c r="AA80" s="687"/>
      <c r="AB80" s="691"/>
      <c r="AC80" s="691"/>
      <c r="AD80" s="691"/>
      <c r="AE80" s="690"/>
      <c r="AF80" s="689"/>
      <c r="AG80" s="691"/>
      <c r="AH80" s="691"/>
      <c r="AI80" s="695"/>
      <c r="AJ80" s="696"/>
      <c r="AK80" s="707" t="s">
        <v>1070</v>
      </c>
    </row>
    <row r="81" spans="2:37" s="682" customFormat="1">
      <c r="B81" s="698">
        <v>36</v>
      </c>
      <c r="C81" s="699" t="s">
        <v>1071</v>
      </c>
      <c r="D81" s="700" t="s">
        <v>997</v>
      </c>
      <c r="E81" s="700" t="s">
        <v>997</v>
      </c>
      <c r="F81" s="700" t="s">
        <v>1019</v>
      </c>
      <c r="G81" s="701">
        <v>2008</v>
      </c>
      <c r="H81" s="686"/>
      <c r="I81" s="701">
        <v>20</v>
      </c>
      <c r="J81" s="702">
        <v>0.30936919758731257</v>
      </c>
      <c r="K81" s="703">
        <v>0.30936919758731257</v>
      </c>
      <c r="L81" s="702">
        <v>0</v>
      </c>
      <c r="M81" s="704">
        <v>0</v>
      </c>
      <c r="N81" s="704">
        <v>0</v>
      </c>
      <c r="O81" s="704">
        <v>0</v>
      </c>
      <c r="P81" s="705">
        <v>0</v>
      </c>
      <c r="Q81" s="704">
        <v>0</v>
      </c>
      <c r="R81" s="706">
        <v>0.30936919758731257</v>
      </c>
      <c r="S81" s="706">
        <v>0</v>
      </c>
      <c r="T81" s="706">
        <v>0</v>
      </c>
      <c r="U81" s="705">
        <v>0</v>
      </c>
      <c r="V81" s="687"/>
      <c r="W81" s="691"/>
      <c r="X81" s="691"/>
      <c r="Y81" s="691"/>
      <c r="Z81" s="690"/>
      <c r="AA81" s="687"/>
      <c r="AB81" s="691"/>
      <c r="AC81" s="691"/>
      <c r="AD81" s="691"/>
      <c r="AE81" s="690"/>
      <c r="AF81" s="689"/>
      <c r="AG81" s="691"/>
      <c r="AH81" s="691"/>
      <c r="AI81" s="695"/>
      <c r="AJ81" s="696"/>
      <c r="AK81" s="707" t="s">
        <v>1072</v>
      </c>
    </row>
    <row r="82" spans="2:37" s="682" customFormat="1">
      <c r="B82" s="698">
        <v>37</v>
      </c>
      <c r="C82" s="699" t="s">
        <v>1073</v>
      </c>
      <c r="D82" s="700" t="s">
        <v>401</v>
      </c>
      <c r="E82" s="700" t="s">
        <v>401</v>
      </c>
      <c r="F82" s="700" t="s">
        <v>994</v>
      </c>
      <c r="G82" s="701">
        <v>2012</v>
      </c>
      <c r="H82" s="686"/>
      <c r="I82" s="701">
        <v>100</v>
      </c>
      <c r="J82" s="702">
        <v>6.1056111771635688</v>
      </c>
      <c r="K82" s="703">
        <v>6.1056111771635688</v>
      </c>
      <c r="L82" s="702">
        <v>0</v>
      </c>
      <c r="M82" s="704">
        <v>0</v>
      </c>
      <c r="N82" s="704">
        <v>0</v>
      </c>
      <c r="O82" s="704">
        <v>0</v>
      </c>
      <c r="P82" s="705">
        <v>0</v>
      </c>
      <c r="Q82" s="704">
        <v>0</v>
      </c>
      <c r="R82" s="706">
        <v>0</v>
      </c>
      <c r="S82" s="706">
        <v>0</v>
      </c>
      <c r="T82" s="706">
        <v>1.0265992045649444</v>
      </c>
      <c r="U82" s="705">
        <v>5.0790119725986242</v>
      </c>
      <c r="V82" s="687"/>
      <c r="W82" s="691"/>
      <c r="X82" s="691"/>
      <c r="Y82" s="691"/>
      <c r="Z82" s="690"/>
      <c r="AA82" s="687"/>
      <c r="AB82" s="691"/>
      <c r="AC82" s="691"/>
      <c r="AD82" s="691"/>
      <c r="AE82" s="690"/>
      <c r="AF82" s="689"/>
      <c r="AG82" s="691"/>
      <c r="AH82" s="691"/>
      <c r="AI82" s="695"/>
      <c r="AJ82" s="696"/>
      <c r="AK82" s="707" t="s">
        <v>1074</v>
      </c>
    </row>
    <row r="83" spans="2:37" s="682" customFormat="1">
      <c r="B83" s="698">
        <v>38</v>
      </c>
      <c r="C83" s="699" t="s">
        <v>1075</v>
      </c>
      <c r="D83" s="700" t="s">
        <v>401</v>
      </c>
      <c r="E83" s="700" t="s">
        <v>401</v>
      </c>
      <c r="F83" s="700" t="s">
        <v>994</v>
      </c>
      <c r="G83" s="701">
        <v>2011</v>
      </c>
      <c r="H83" s="686"/>
      <c r="I83" s="701">
        <v>100</v>
      </c>
      <c r="J83" s="702">
        <v>2.9960120102664511</v>
      </c>
      <c r="K83" s="703">
        <v>2.9960120102664511</v>
      </c>
      <c r="L83" s="702">
        <v>0</v>
      </c>
      <c r="M83" s="704">
        <v>0</v>
      </c>
      <c r="N83" s="704">
        <v>0</v>
      </c>
      <c r="O83" s="704">
        <v>0</v>
      </c>
      <c r="P83" s="705">
        <v>0</v>
      </c>
      <c r="Q83" s="704">
        <v>0</v>
      </c>
      <c r="R83" s="706">
        <v>0</v>
      </c>
      <c r="S83" s="706">
        <v>0</v>
      </c>
      <c r="T83" s="706">
        <v>1.0265992045649444</v>
      </c>
      <c r="U83" s="705">
        <v>1.969412805701507</v>
      </c>
      <c r="V83" s="687"/>
      <c r="W83" s="691"/>
      <c r="X83" s="691"/>
      <c r="Y83" s="691"/>
      <c r="Z83" s="690"/>
      <c r="AA83" s="687"/>
      <c r="AB83" s="691"/>
      <c r="AC83" s="691"/>
      <c r="AD83" s="691"/>
      <c r="AE83" s="690"/>
      <c r="AF83" s="689"/>
      <c r="AG83" s="691"/>
      <c r="AH83" s="691"/>
      <c r="AI83" s="695"/>
      <c r="AJ83" s="696"/>
      <c r="AK83" s="707" t="s">
        <v>1076</v>
      </c>
    </row>
    <row r="84" spans="2:37" s="682" customFormat="1">
      <c r="B84" s="698">
        <v>39</v>
      </c>
      <c r="C84" s="699" t="s">
        <v>1077</v>
      </c>
      <c r="D84" s="700" t="s">
        <v>997</v>
      </c>
      <c r="E84" s="700" t="s">
        <v>997</v>
      </c>
      <c r="F84" s="700" t="s">
        <v>994</v>
      </c>
      <c r="G84" s="701">
        <v>2008</v>
      </c>
      <c r="H84" s="686"/>
      <c r="I84" s="701">
        <v>5</v>
      </c>
      <c r="J84" s="702">
        <v>0.2057947270373946</v>
      </c>
      <c r="K84" s="703">
        <v>0.2057947270373946</v>
      </c>
      <c r="L84" s="702">
        <v>0</v>
      </c>
      <c r="M84" s="704">
        <v>0</v>
      </c>
      <c r="N84" s="704">
        <v>0</v>
      </c>
      <c r="O84" s="704">
        <v>0</v>
      </c>
      <c r="P84" s="705">
        <v>0</v>
      </c>
      <c r="Q84" s="704">
        <v>0</v>
      </c>
      <c r="R84" s="706">
        <v>0</v>
      </c>
      <c r="S84" s="706">
        <v>0.2057947270373946</v>
      </c>
      <c r="T84" s="706">
        <v>0</v>
      </c>
      <c r="U84" s="705">
        <v>0</v>
      </c>
      <c r="V84" s="687"/>
      <c r="W84" s="691"/>
      <c r="X84" s="691"/>
      <c r="Y84" s="691"/>
      <c r="Z84" s="690"/>
      <c r="AA84" s="687"/>
      <c r="AB84" s="691"/>
      <c r="AC84" s="691"/>
      <c r="AD84" s="691"/>
      <c r="AE84" s="690"/>
      <c r="AF84" s="689"/>
      <c r="AG84" s="691"/>
      <c r="AH84" s="691"/>
      <c r="AI84" s="695"/>
      <c r="AJ84" s="696"/>
      <c r="AK84" s="707" t="s">
        <v>1078</v>
      </c>
    </row>
    <row r="85" spans="2:37" s="682" customFormat="1">
      <c r="B85" s="698">
        <v>40</v>
      </c>
      <c r="C85" s="699" t="s">
        <v>1079</v>
      </c>
      <c r="D85" s="700" t="s">
        <v>997</v>
      </c>
      <c r="E85" s="700" t="s">
        <v>997</v>
      </c>
      <c r="F85" s="700" t="s">
        <v>998</v>
      </c>
      <c r="G85" s="701">
        <v>2007</v>
      </c>
      <c r="H85" s="686"/>
      <c r="I85" s="701">
        <v>14.25</v>
      </c>
      <c r="J85" s="702">
        <v>0.93148962771769828</v>
      </c>
      <c r="K85" s="703">
        <v>0.93148962771769828</v>
      </c>
      <c r="L85" s="702">
        <v>0</v>
      </c>
      <c r="M85" s="704">
        <v>0</v>
      </c>
      <c r="N85" s="704">
        <v>0</v>
      </c>
      <c r="O85" s="704">
        <v>0</v>
      </c>
      <c r="P85" s="705">
        <v>0</v>
      </c>
      <c r="Q85" s="704">
        <v>0.21075667839933671</v>
      </c>
      <c r="R85" s="706">
        <v>0.2062461317248751</v>
      </c>
      <c r="S85" s="706">
        <v>0.51448681759348647</v>
      </c>
      <c r="T85" s="706">
        <v>0</v>
      </c>
      <c r="U85" s="705">
        <v>0</v>
      </c>
      <c r="V85" s="687"/>
      <c r="W85" s="691"/>
      <c r="X85" s="691"/>
      <c r="Y85" s="691"/>
      <c r="Z85" s="690"/>
      <c r="AA85" s="687"/>
      <c r="AB85" s="691"/>
      <c r="AC85" s="691"/>
      <c r="AD85" s="691"/>
      <c r="AE85" s="690"/>
      <c r="AF85" s="689"/>
      <c r="AG85" s="691"/>
      <c r="AH85" s="691"/>
      <c r="AI85" s="695"/>
      <c r="AJ85" s="696"/>
      <c r="AK85" s="707" t="s">
        <v>1080</v>
      </c>
    </row>
    <row r="86" spans="2:37" s="682" customFormat="1">
      <c r="B86" s="698">
        <v>41</v>
      </c>
      <c r="C86" s="699" t="s">
        <v>1081</v>
      </c>
      <c r="D86" s="700" t="s">
        <v>997</v>
      </c>
      <c r="E86" s="700" t="s">
        <v>997</v>
      </c>
      <c r="F86" s="700" t="s">
        <v>998</v>
      </c>
      <c r="G86" s="701">
        <v>2007</v>
      </c>
      <c r="H86" s="686"/>
      <c r="I86" s="701">
        <v>24</v>
      </c>
      <c r="J86" s="702">
        <v>0.73764837439767827</v>
      </c>
      <c r="K86" s="703">
        <v>0.73764837439767827</v>
      </c>
      <c r="L86" s="702">
        <v>0</v>
      </c>
      <c r="M86" s="704">
        <v>0</v>
      </c>
      <c r="N86" s="704">
        <v>0</v>
      </c>
      <c r="O86" s="704">
        <v>0</v>
      </c>
      <c r="P86" s="705">
        <v>0</v>
      </c>
      <c r="Q86" s="704">
        <v>0.73764837439767827</v>
      </c>
      <c r="R86" s="706">
        <v>0</v>
      </c>
      <c r="S86" s="706">
        <v>0</v>
      </c>
      <c r="T86" s="706">
        <v>0</v>
      </c>
      <c r="U86" s="705">
        <v>0</v>
      </c>
      <c r="V86" s="687"/>
      <c r="W86" s="691"/>
      <c r="X86" s="691"/>
      <c r="Y86" s="691"/>
      <c r="Z86" s="690"/>
      <c r="AA86" s="687"/>
      <c r="AB86" s="691"/>
      <c r="AC86" s="691"/>
      <c r="AD86" s="691"/>
      <c r="AE86" s="690"/>
      <c r="AF86" s="689"/>
      <c r="AG86" s="691"/>
      <c r="AH86" s="691"/>
      <c r="AI86" s="695"/>
      <c r="AJ86" s="696"/>
      <c r="AK86" s="707" t="s">
        <v>1082</v>
      </c>
    </row>
    <row r="87" spans="2:37" s="682" customFormat="1">
      <c r="B87" s="698">
        <v>42</v>
      </c>
      <c r="C87" s="699" t="s">
        <v>1083</v>
      </c>
      <c r="D87" s="700" t="s">
        <v>997</v>
      </c>
      <c r="E87" s="700" t="s">
        <v>997</v>
      </c>
      <c r="F87" s="700" t="s">
        <v>1019</v>
      </c>
      <c r="G87" s="701">
        <v>2007</v>
      </c>
      <c r="H87" s="686"/>
      <c r="I87" s="701">
        <v>21</v>
      </c>
      <c r="J87" s="702">
        <v>2.0850140506210586</v>
      </c>
      <c r="K87" s="703">
        <v>2.0850140506210586</v>
      </c>
      <c r="L87" s="702">
        <v>0</v>
      </c>
      <c r="M87" s="704">
        <v>0</v>
      </c>
      <c r="N87" s="704">
        <v>0</v>
      </c>
      <c r="O87" s="704">
        <v>0</v>
      </c>
      <c r="P87" s="705">
        <v>0</v>
      </c>
      <c r="Q87" s="704">
        <v>1.0537833919966832</v>
      </c>
      <c r="R87" s="706">
        <v>1.0312306586243754</v>
      </c>
      <c r="S87" s="706">
        <v>0</v>
      </c>
      <c r="T87" s="706">
        <v>0</v>
      </c>
      <c r="U87" s="705">
        <v>0</v>
      </c>
      <c r="V87" s="687"/>
      <c r="W87" s="691"/>
      <c r="X87" s="691"/>
      <c r="Y87" s="691"/>
      <c r="Z87" s="690"/>
      <c r="AA87" s="687"/>
      <c r="AB87" s="691"/>
      <c r="AC87" s="691"/>
      <c r="AD87" s="691"/>
      <c r="AE87" s="690"/>
      <c r="AF87" s="689"/>
      <c r="AG87" s="691"/>
      <c r="AH87" s="691"/>
      <c r="AI87" s="695"/>
      <c r="AJ87" s="696"/>
      <c r="AK87" s="707" t="s">
        <v>1084</v>
      </c>
    </row>
    <row r="88" spans="2:37" s="682" customFormat="1">
      <c r="B88" s="698">
        <v>43</v>
      </c>
      <c r="C88" s="699" t="s">
        <v>1085</v>
      </c>
      <c r="D88" s="700" t="s">
        <v>1008</v>
      </c>
      <c r="E88" s="700" t="s">
        <v>1008</v>
      </c>
      <c r="F88" s="700" t="s">
        <v>998</v>
      </c>
      <c r="G88" s="701">
        <v>2008</v>
      </c>
      <c r="H88" s="686"/>
      <c r="I88" s="701">
        <v>14.25</v>
      </c>
      <c r="J88" s="702">
        <v>3.0334191034180735</v>
      </c>
      <c r="K88" s="703">
        <v>3.0334191034180735</v>
      </c>
      <c r="L88" s="702">
        <v>0</v>
      </c>
      <c r="M88" s="704">
        <v>0</v>
      </c>
      <c r="N88" s="704">
        <v>0</v>
      </c>
      <c r="O88" s="704">
        <v>0</v>
      </c>
      <c r="P88" s="705">
        <v>0</v>
      </c>
      <c r="Q88" s="704">
        <v>2.0021884447936982</v>
      </c>
      <c r="R88" s="706">
        <v>1.0312306586243754</v>
      </c>
      <c r="S88" s="706">
        <v>0</v>
      </c>
      <c r="T88" s="706">
        <v>0</v>
      </c>
      <c r="U88" s="705">
        <v>0</v>
      </c>
      <c r="V88" s="687"/>
      <c r="W88" s="691"/>
      <c r="X88" s="691"/>
      <c r="Y88" s="691"/>
      <c r="Z88" s="690"/>
      <c r="AA88" s="687"/>
      <c r="AB88" s="691"/>
      <c r="AC88" s="691"/>
      <c r="AD88" s="691"/>
      <c r="AE88" s="690"/>
      <c r="AF88" s="689"/>
      <c r="AG88" s="691"/>
      <c r="AH88" s="691"/>
      <c r="AI88" s="695"/>
      <c r="AJ88" s="696"/>
      <c r="AK88" s="707" t="s">
        <v>1086</v>
      </c>
    </row>
    <row r="89" spans="2:37" s="682" customFormat="1">
      <c r="B89" s="698">
        <v>44</v>
      </c>
      <c r="C89" s="699" t="s">
        <v>1087</v>
      </c>
      <c r="D89" s="700" t="s">
        <v>401</v>
      </c>
      <c r="E89" s="700" t="s">
        <v>401</v>
      </c>
      <c r="F89" s="700" t="s">
        <v>998</v>
      </c>
      <c r="G89" s="701">
        <v>2013</v>
      </c>
      <c r="H89" s="686"/>
      <c r="I89" s="701">
        <v>78</v>
      </c>
      <c r="J89" s="702">
        <v>1.0365330556323722</v>
      </c>
      <c r="K89" s="703">
        <v>1.0365330556323722</v>
      </c>
      <c r="L89" s="702">
        <v>0</v>
      </c>
      <c r="M89" s="704">
        <v>0</v>
      </c>
      <c r="N89" s="704">
        <v>0</v>
      </c>
      <c r="O89" s="704">
        <v>0</v>
      </c>
      <c r="P89" s="705">
        <v>0</v>
      </c>
      <c r="Q89" s="704">
        <v>0</v>
      </c>
      <c r="R89" s="706">
        <v>0</v>
      </c>
      <c r="S89" s="706">
        <v>0</v>
      </c>
      <c r="T89" s="706">
        <v>0</v>
      </c>
      <c r="U89" s="705">
        <v>1.0365330556323722</v>
      </c>
      <c r="V89" s="687"/>
      <c r="W89" s="691"/>
      <c r="X89" s="691"/>
      <c r="Y89" s="691"/>
      <c r="Z89" s="690"/>
      <c r="AA89" s="687"/>
      <c r="AB89" s="691"/>
      <c r="AC89" s="691"/>
      <c r="AD89" s="691"/>
      <c r="AE89" s="690"/>
      <c r="AF89" s="689"/>
      <c r="AG89" s="691"/>
      <c r="AH89" s="691"/>
      <c r="AI89" s="695"/>
      <c r="AJ89" s="696"/>
      <c r="AK89" s="707" t="s">
        <v>1088</v>
      </c>
    </row>
    <row r="90" spans="2:37" s="682" customFormat="1">
      <c r="B90" s="698">
        <v>45</v>
      </c>
      <c r="C90" s="699" t="s">
        <v>1089</v>
      </c>
      <c r="D90" s="700" t="s">
        <v>997</v>
      </c>
      <c r="E90" s="700" t="s">
        <v>997</v>
      </c>
      <c r="F90" s="700" t="s">
        <v>1019</v>
      </c>
      <c r="G90" s="701">
        <v>2010</v>
      </c>
      <c r="H90" s="686"/>
      <c r="I90" s="701">
        <v>41</v>
      </c>
      <c r="J90" s="702">
        <v>0.41262645203946335</v>
      </c>
      <c r="K90" s="703">
        <v>0.41262645203946335</v>
      </c>
      <c r="L90" s="702">
        <v>0</v>
      </c>
      <c r="M90" s="704">
        <v>0</v>
      </c>
      <c r="N90" s="704">
        <v>0</v>
      </c>
      <c r="O90" s="704">
        <v>0</v>
      </c>
      <c r="P90" s="705">
        <v>0</v>
      </c>
      <c r="Q90" s="704">
        <v>0</v>
      </c>
      <c r="R90" s="706">
        <v>0</v>
      </c>
      <c r="S90" s="706">
        <v>0</v>
      </c>
      <c r="T90" s="706">
        <v>0.20531984091298891</v>
      </c>
      <c r="U90" s="705">
        <v>0.20730661112647447</v>
      </c>
      <c r="V90" s="687"/>
      <c r="W90" s="691"/>
      <c r="X90" s="691"/>
      <c r="Y90" s="691"/>
      <c r="Z90" s="690"/>
      <c r="AA90" s="687"/>
      <c r="AB90" s="691"/>
      <c r="AC90" s="691"/>
      <c r="AD90" s="691"/>
      <c r="AE90" s="690"/>
      <c r="AF90" s="689"/>
      <c r="AG90" s="691"/>
      <c r="AH90" s="691"/>
      <c r="AI90" s="695"/>
      <c r="AJ90" s="696"/>
      <c r="AK90" s="707" t="s">
        <v>1090</v>
      </c>
    </row>
    <row r="91" spans="2:37" s="682" customFormat="1">
      <c r="B91" s="698">
        <v>46</v>
      </c>
      <c r="C91" s="699" t="s">
        <v>1091</v>
      </c>
      <c r="D91" s="700" t="s">
        <v>997</v>
      </c>
      <c r="E91" s="700" t="s">
        <v>997</v>
      </c>
      <c r="F91" s="700" t="s">
        <v>1019</v>
      </c>
      <c r="G91" s="701">
        <v>2010</v>
      </c>
      <c r="H91" s="686"/>
      <c r="I91" s="701">
        <v>11</v>
      </c>
      <c r="J91" s="702">
        <v>0.30936919758731257</v>
      </c>
      <c r="K91" s="703">
        <v>0.30936919758731257</v>
      </c>
      <c r="L91" s="702">
        <v>0</v>
      </c>
      <c r="M91" s="704">
        <v>0</v>
      </c>
      <c r="N91" s="704">
        <v>0</v>
      </c>
      <c r="O91" s="704">
        <v>0</v>
      </c>
      <c r="P91" s="705">
        <v>0</v>
      </c>
      <c r="Q91" s="704">
        <v>0</v>
      </c>
      <c r="R91" s="706">
        <v>0.30936919758731257</v>
      </c>
      <c r="S91" s="706">
        <v>0</v>
      </c>
      <c r="T91" s="706">
        <v>0</v>
      </c>
      <c r="U91" s="705">
        <v>0</v>
      </c>
      <c r="V91" s="687"/>
      <c r="W91" s="691"/>
      <c r="X91" s="691"/>
      <c r="Y91" s="691"/>
      <c r="Z91" s="690"/>
      <c r="AA91" s="687"/>
      <c r="AB91" s="691"/>
      <c r="AC91" s="691"/>
      <c r="AD91" s="691"/>
      <c r="AE91" s="690"/>
      <c r="AF91" s="689"/>
      <c r="AG91" s="691"/>
      <c r="AH91" s="691"/>
      <c r="AI91" s="695"/>
      <c r="AJ91" s="696"/>
      <c r="AK91" s="707" t="s">
        <v>1092</v>
      </c>
    </row>
    <row r="92" spans="2:37" s="682" customFormat="1">
      <c r="B92" s="698">
        <v>47</v>
      </c>
      <c r="C92" s="699" t="s">
        <v>1093</v>
      </c>
      <c r="D92" s="700" t="s">
        <v>401</v>
      </c>
      <c r="E92" s="700" t="s">
        <v>401</v>
      </c>
      <c r="F92" s="700" t="s">
        <v>998</v>
      </c>
      <c r="G92" s="701">
        <v>2007</v>
      </c>
      <c r="H92" s="686"/>
      <c r="I92" s="701">
        <v>39</v>
      </c>
      <c r="J92" s="702">
        <v>2.5290801407920402</v>
      </c>
      <c r="K92" s="703">
        <v>2.5290801407920402</v>
      </c>
      <c r="L92" s="702">
        <v>0</v>
      </c>
      <c r="M92" s="704">
        <v>0</v>
      </c>
      <c r="N92" s="704">
        <v>0</v>
      </c>
      <c r="O92" s="704">
        <v>0</v>
      </c>
      <c r="P92" s="705">
        <v>0</v>
      </c>
      <c r="Q92" s="704">
        <v>2.5290801407920402</v>
      </c>
      <c r="R92" s="706">
        <v>0</v>
      </c>
      <c r="S92" s="706">
        <v>0</v>
      </c>
      <c r="T92" s="706">
        <v>0</v>
      </c>
      <c r="U92" s="705">
        <v>0</v>
      </c>
      <c r="V92" s="687"/>
      <c r="W92" s="691"/>
      <c r="X92" s="691"/>
      <c r="Y92" s="691"/>
      <c r="Z92" s="690"/>
      <c r="AA92" s="687"/>
      <c r="AB92" s="691"/>
      <c r="AC92" s="691"/>
      <c r="AD92" s="691"/>
      <c r="AE92" s="690"/>
      <c r="AF92" s="689"/>
      <c r="AG92" s="691"/>
      <c r="AH92" s="691"/>
      <c r="AI92" s="695"/>
      <c r="AJ92" s="696"/>
      <c r="AK92" s="707" t="s">
        <v>1094</v>
      </c>
    </row>
    <row r="93" spans="2:37" s="682" customFormat="1">
      <c r="B93" s="698">
        <v>48</v>
      </c>
      <c r="C93" s="699" t="s">
        <v>1095</v>
      </c>
      <c r="D93" s="700" t="s">
        <v>1008</v>
      </c>
      <c r="E93" s="700" t="s">
        <v>1008</v>
      </c>
      <c r="F93" s="700" t="s">
        <v>994</v>
      </c>
      <c r="G93" s="701">
        <v>2008</v>
      </c>
      <c r="H93" s="686"/>
      <c r="I93" s="701">
        <v>12</v>
      </c>
      <c r="J93" s="702">
        <v>0.92810759276193777</v>
      </c>
      <c r="K93" s="703">
        <v>0.92810759276193777</v>
      </c>
      <c r="L93" s="702">
        <v>0</v>
      </c>
      <c r="M93" s="704">
        <v>0</v>
      </c>
      <c r="N93" s="704">
        <v>0</v>
      </c>
      <c r="O93" s="704">
        <v>0</v>
      </c>
      <c r="P93" s="705">
        <v>0</v>
      </c>
      <c r="Q93" s="704">
        <v>0</v>
      </c>
      <c r="R93" s="706">
        <v>0.92810759276193777</v>
      </c>
      <c r="S93" s="706">
        <v>0</v>
      </c>
      <c r="T93" s="706">
        <v>0</v>
      </c>
      <c r="U93" s="705">
        <v>0</v>
      </c>
      <c r="V93" s="687"/>
      <c r="W93" s="691"/>
      <c r="X93" s="691"/>
      <c r="Y93" s="691"/>
      <c r="Z93" s="690"/>
      <c r="AA93" s="687"/>
      <c r="AB93" s="691"/>
      <c r="AC93" s="691"/>
      <c r="AD93" s="691"/>
      <c r="AE93" s="690"/>
      <c r="AF93" s="689"/>
      <c r="AG93" s="691"/>
      <c r="AH93" s="691"/>
      <c r="AI93" s="695"/>
      <c r="AJ93" s="696"/>
      <c r="AK93" s="707" t="s">
        <v>1096</v>
      </c>
    </row>
    <row r="94" spans="2:37" s="682" customFormat="1">
      <c r="B94" s="698">
        <v>49</v>
      </c>
      <c r="C94" s="699" t="s">
        <v>1097</v>
      </c>
      <c r="D94" s="700" t="s">
        <v>401</v>
      </c>
      <c r="E94" s="700" t="s">
        <v>401</v>
      </c>
      <c r="F94" s="700" t="s">
        <v>994</v>
      </c>
      <c r="G94" s="701">
        <v>2010</v>
      </c>
      <c r="H94" s="686"/>
      <c r="I94" s="701">
        <v>19</v>
      </c>
      <c r="J94" s="702">
        <v>0.51561532931218768</v>
      </c>
      <c r="K94" s="703">
        <v>0.51561532931218768</v>
      </c>
      <c r="L94" s="702">
        <v>0</v>
      </c>
      <c r="M94" s="704">
        <v>0</v>
      </c>
      <c r="N94" s="704">
        <v>0</v>
      </c>
      <c r="O94" s="704">
        <v>0</v>
      </c>
      <c r="P94" s="705">
        <v>0</v>
      </c>
      <c r="Q94" s="704">
        <v>0</v>
      </c>
      <c r="R94" s="706">
        <v>0.51561532931218768</v>
      </c>
      <c r="S94" s="706">
        <v>0</v>
      </c>
      <c r="T94" s="706">
        <v>0</v>
      </c>
      <c r="U94" s="705">
        <v>0</v>
      </c>
      <c r="V94" s="687"/>
      <c r="W94" s="691"/>
      <c r="X94" s="691"/>
      <c r="Y94" s="691"/>
      <c r="Z94" s="690"/>
      <c r="AA94" s="687"/>
      <c r="AB94" s="691"/>
      <c r="AC94" s="691"/>
      <c r="AD94" s="691"/>
      <c r="AE94" s="690"/>
      <c r="AF94" s="689"/>
      <c r="AG94" s="691"/>
      <c r="AH94" s="691"/>
      <c r="AI94" s="695"/>
      <c r="AJ94" s="696"/>
      <c r="AK94" s="707" t="s">
        <v>1098</v>
      </c>
    </row>
    <row r="95" spans="2:37" s="682" customFormat="1">
      <c r="B95" s="698">
        <v>50</v>
      </c>
      <c r="C95" s="699" t="s">
        <v>1099</v>
      </c>
      <c r="D95" s="700" t="s">
        <v>401</v>
      </c>
      <c r="E95" s="700" t="s">
        <v>401</v>
      </c>
      <c r="F95" s="700" t="s">
        <v>994</v>
      </c>
      <c r="G95" s="701">
        <v>2010</v>
      </c>
      <c r="H95" s="686"/>
      <c r="I95" s="701">
        <v>100</v>
      </c>
      <c r="J95" s="702">
        <v>5.9611612352805601</v>
      </c>
      <c r="K95" s="703">
        <v>5.9611612352805601</v>
      </c>
      <c r="L95" s="702">
        <v>0</v>
      </c>
      <c r="M95" s="704">
        <v>0</v>
      </c>
      <c r="N95" s="704">
        <v>0</v>
      </c>
      <c r="O95" s="704">
        <v>0</v>
      </c>
      <c r="P95" s="705">
        <v>0</v>
      </c>
      <c r="Q95" s="704">
        <v>0</v>
      </c>
      <c r="R95" s="706">
        <v>0</v>
      </c>
      <c r="S95" s="706">
        <v>2.984023542042221</v>
      </c>
      <c r="T95" s="706">
        <v>2.9771376932383387</v>
      </c>
      <c r="U95" s="705">
        <v>0</v>
      </c>
      <c r="V95" s="687"/>
      <c r="W95" s="691"/>
      <c r="X95" s="691"/>
      <c r="Y95" s="691"/>
      <c r="Z95" s="690"/>
      <c r="AA95" s="687"/>
      <c r="AB95" s="691"/>
      <c r="AC95" s="691"/>
      <c r="AD95" s="691"/>
      <c r="AE95" s="690"/>
      <c r="AF95" s="689"/>
      <c r="AG95" s="691"/>
      <c r="AH95" s="691"/>
      <c r="AI95" s="695"/>
      <c r="AJ95" s="696"/>
      <c r="AK95" s="707" t="s">
        <v>1100</v>
      </c>
    </row>
    <row r="96" spans="2:37" s="682" customFormat="1">
      <c r="B96" s="698">
        <v>51</v>
      </c>
      <c r="C96" s="699" t="s">
        <v>1101</v>
      </c>
      <c r="D96" s="700" t="s">
        <v>997</v>
      </c>
      <c r="E96" s="700" t="s">
        <v>997</v>
      </c>
      <c r="F96" s="700" t="s">
        <v>1014</v>
      </c>
      <c r="G96" s="701">
        <v>2012</v>
      </c>
      <c r="H96" s="686"/>
      <c r="I96" s="701">
        <v>6</v>
      </c>
      <c r="J96" s="702">
        <v>0.1028973635186973</v>
      </c>
      <c r="K96" s="703">
        <v>0.1028973635186973</v>
      </c>
      <c r="L96" s="702">
        <v>0</v>
      </c>
      <c r="M96" s="704">
        <v>0</v>
      </c>
      <c r="N96" s="704">
        <v>0</v>
      </c>
      <c r="O96" s="704">
        <v>0</v>
      </c>
      <c r="P96" s="705">
        <v>0</v>
      </c>
      <c r="Q96" s="704">
        <v>0</v>
      </c>
      <c r="R96" s="706">
        <v>0</v>
      </c>
      <c r="S96" s="706">
        <v>0.1028973635186973</v>
      </c>
      <c r="T96" s="706">
        <v>0</v>
      </c>
      <c r="U96" s="705">
        <v>0</v>
      </c>
      <c r="V96" s="687"/>
      <c r="W96" s="691"/>
      <c r="X96" s="691"/>
      <c r="Y96" s="691"/>
      <c r="Z96" s="690"/>
      <c r="AA96" s="687"/>
      <c r="AB96" s="691"/>
      <c r="AC96" s="691"/>
      <c r="AD96" s="691"/>
      <c r="AE96" s="690"/>
      <c r="AF96" s="689"/>
      <c r="AG96" s="691"/>
      <c r="AH96" s="691"/>
      <c r="AI96" s="695"/>
      <c r="AJ96" s="696"/>
      <c r="AK96" s="707" t="s">
        <v>1102</v>
      </c>
    </row>
    <row r="97" spans="2:37" s="682" customFormat="1" ht="13.5" thickBot="1">
      <c r="B97" s="698">
        <v>52</v>
      </c>
      <c r="C97" s="699" t="s">
        <v>1103</v>
      </c>
      <c r="D97" s="700" t="s">
        <v>1008</v>
      </c>
      <c r="E97" s="700" t="s">
        <v>1008</v>
      </c>
      <c r="F97" s="700" t="s">
        <v>994</v>
      </c>
      <c r="G97" s="701">
        <v>2007</v>
      </c>
      <c r="H97" s="701"/>
      <c r="I97" s="701">
        <v>3</v>
      </c>
      <c r="J97" s="702">
        <v>0.31613501759900503</v>
      </c>
      <c r="K97" s="703">
        <v>0.31613501759900503</v>
      </c>
      <c r="L97" s="702">
        <v>0</v>
      </c>
      <c r="M97" s="704">
        <v>0</v>
      </c>
      <c r="N97" s="704">
        <v>0</v>
      </c>
      <c r="O97" s="704">
        <v>0</v>
      </c>
      <c r="P97" s="705">
        <v>0</v>
      </c>
      <c r="Q97" s="704">
        <v>0.31613501759900503</v>
      </c>
      <c r="R97" s="706">
        <v>0</v>
      </c>
      <c r="S97" s="706">
        <v>0</v>
      </c>
      <c r="T97" s="706">
        <v>0</v>
      </c>
      <c r="U97" s="705">
        <v>0</v>
      </c>
      <c r="V97" s="708"/>
      <c r="W97" s="709"/>
      <c r="X97" s="709"/>
      <c r="Y97" s="709"/>
      <c r="Z97" s="710"/>
      <c r="AA97" s="708"/>
      <c r="AB97" s="709"/>
      <c r="AC97" s="709"/>
      <c r="AD97" s="709"/>
      <c r="AE97" s="710"/>
      <c r="AF97" s="689"/>
      <c r="AG97" s="691"/>
      <c r="AH97" s="691"/>
      <c r="AI97" s="695"/>
      <c r="AJ97" s="696"/>
      <c r="AK97" s="707" t="s">
        <v>1104</v>
      </c>
    </row>
    <row r="98" spans="2:37" s="682" customFormat="1">
      <c r="B98" s="698">
        <v>53</v>
      </c>
      <c r="C98" s="699" t="s">
        <v>1105</v>
      </c>
      <c r="D98" s="700" t="s">
        <v>1008</v>
      </c>
      <c r="E98" s="700" t="s">
        <v>1008</v>
      </c>
      <c r="F98" s="700" t="s">
        <v>994</v>
      </c>
      <c r="G98" s="701">
        <v>2008</v>
      </c>
      <c r="H98" s="686"/>
      <c r="I98" s="701">
        <v>10</v>
      </c>
      <c r="J98" s="702">
        <v>1.2645400703960201</v>
      </c>
      <c r="K98" s="703">
        <v>1.2645400703960201</v>
      </c>
      <c r="L98" s="702">
        <v>0</v>
      </c>
      <c r="M98" s="704">
        <v>0</v>
      </c>
      <c r="N98" s="704">
        <v>0</v>
      </c>
      <c r="O98" s="704">
        <v>0</v>
      </c>
      <c r="P98" s="705">
        <v>0</v>
      </c>
      <c r="Q98" s="704">
        <v>1.2645400703960201</v>
      </c>
      <c r="R98" s="706">
        <v>0</v>
      </c>
      <c r="S98" s="706">
        <v>0</v>
      </c>
      <c r="T98" s="706">
        <v>0</v>
      </c>
      <c r="U98" s="705">
        <v>0</v>
      </c>
      <c r="V98" s="687"/>
      <c r="W98" s="691"/>
      <c r="X98" s="691"/>
      <c r="Y98" s="691"/>
      <c r="Z98" s="690"/>
      <c r="AA98" s="687"/>
      <c r="AB98" s="691"/>
      <c r="AC98" s="691"/>
      <c r="AD98" s="691"/>
      <c r="AE98" s="690"/>
      <c r="AF98" s="689"/>
      <c r="AG98" s="691"/>
      <c r="AH98" s="691"/>
      <c r="AI98" s="695"/>
      <c r="AJ98" s="696"/>
      <c r="AK98" s="707" t="s">
        <v>1106</v>
      </c>
    </row>
    <row r="99" spans="2:37" s="682" customFormat="1">
      <c r="B99" s="698">
        <v>54</v>
      </c>
      <c r="C99" s="699" t="s">
        <v>1107</v>
      </c>
      <c r="D99" s="700" t="s">
        <v>997</v>
      </c>
      <c r="E99" s="700" t="s">
        <v>997</v>
      </c>
      <c r="F99" s="700" t="s">
        <v>994</v>
      </c>
      <c r="G99" s="701">
        <v>2013</v>
      </c>
      <c r="H99" s="686"/>
      <c r="I99" s="701">
        <v>6.5</v>
      </c>
      <c r="J99" s="702">
        <v>0.51329960228247218</v>
      </c>
      <c r="K99" s="703">
        <v>0.51329960228247218</v>
      </c>
      <c r="L99" s="702">
        <v>0</v>
      </c>
      <c r="M99" s="704">
        <v>0</v>
      </c>
      <c r="N99" s="704">
        <v>0</v>
      </c>
      <c r="O99" s="704">
        <v>0</v>
      </c>
      <c r="P99" s="705">
        <v>0</v>
      </c>
      <c r="Q99" s="704">
        <v>0</v>
      </c>
      <c r="R99" s="706">
        <v>0</v>
      </c>
      <c r="S99" s="706">
        <v>0</v>
      </c>
      <c r="T99" s="706">
        <v>0.51329960228247218</v>
      </c>
      <c r="U99" s="705">
        <v>0</v>
      </c>
      <c r="V99" s="687"/>
      <c r="W99" s="691"/>
      <c r="X99" s="691"/>
      <c r="Y99" s="691"/>
      <c r="Z99" s="690"/>
      <c r="AA99" s="687"/>
      <c r="AB99" s="691"/>
      <c r="AC99" s="691"/>
      <c r="AD99" s="691"/>
      <c r="AE99" s="690"/>
      <c r="AF99" s="689"/>
      <c r="AG99" s="691"/>
      <c r="AH99" s="691"/>
      <c r="AI99" s="695"/>
      <c r="AJ99" s="696"/>
      <c r="AK99" s="707" t="s">
        <v>1108</v>
      </c>
    </row>
    <row r="100" spans="2:37" s="682" customFormat="1">
      <c r="B100" s="698">
        <v>55</v>
      </c>
      <c r="C100" s="699" t="s">
        <v>1109</v>
      </c>
      <c r="D100" s="700" t="s">
        <v>997</v>
      </c>
      <c r="E100" s="700" t="s">
        <v>997</v>
      </c>
      <c r="F100" s="700" t="s">
        <v>1019</v>
      </c>
      <c r="G100" s="701">
        <v>2012</v>
      </c>
      <c r="H100" s="686"/>
      <c r="I100" s="701">
        <v>10</v>
      </c>
      <c r="J100" s="702">
        <v>1.5547995834485584</v>
      </c>
      <c r="K100" s="703">
        <v>1.5547995834485584</v>
      </c>
      <c r="L100" s="702">
        <v>0</v>
      </c>
      <c r="M100" s="704">
        <v>0</v>
      </c>
      <c r="N100" s="704">
        <v>0</v>
      </c>
      <c r="O100" s="704">
        <v>0</v>
      </c>
      <c r="P100" s="705">
        <v>0</v>
      </c>
      <c r="Q100" s="704">
        <v>0</v>
      </c>
      <c r="R100" s="706">
        <v>0</v>
      </c>
      <c r="S100" s="706">
        <v>0</v>
      </c>
      <c r="T100" s="706">
        <v>0</v>
      </c>
      <c r="U100" s="705">
        <v>1.5547995834485584</v>
      </c>
      <c r="V100" s="687"/>
      <c r="W100" s="691"/>
      <c r="X100" s="691"/>
      <c r="Y100" s="691"/>
      <c r="Z100" s="690"/>
      <c r="AA100" s="687"/>
      <c r="AB100" s="691"/>
      <c r="AC100" s="691"/>
      <c r="AD100" s="691"/>
      <c r="AE100" s="690"/>
      <c r="AF100" s="689"/>
      <c r="AG100" s="691"/>
      <c r="AH100" s="691"/>
      <c r="AI100" s="695"/>
      <c r="AJ100" s="696"/>
      <c r="AK100" s="707" t="s">
        <v>1110</v>
      </c>
    </row>
    <row r="101" spans="2:37" s="682" customFormat="1">
      <c r="B101" s="698">
        <v>56</v>
      </c>
      <c r="C101" s="699" t="s">
        <v>1111</v>
      </c>
      <c r="D101" s="700" t="s">
        <v>997</v>
      </c>
      <c r="E101" s="700" t="s">
        <v>997</v>
      </c>
      <c r="F101" s="700" t="s">
        <v>998</v>
      </c>
      <c r="G101" s="701">
        <v>2008</v>
      </c>
      <c r="H101" s="686"/>
      <c r="I101" s="701">
        <v>39</v>
      </c>
      <c r="J101" s="702">
        <v>7.9216279983855742</v>
      </c>
      <c r="K101" s="703">
        <v>7.9216279983855742</v>
      </c>
      <c r="L101" s="702">
        <v>0</v>
      </c>
      <c r="M101" s="704">
        <v>0</v>
      </c>
      <c r="N101" s="704">
        <v>0</v>
      </c>
      <c r="O101" s="704">
        <v>0</v>
      </c>
      <c r="P101" s="705">
        <v>0</v>
      </c>
      <c r="Q101" s="704">
        <v>0</v>
      </c>
      <c r="R101" s="706">
        <v>2.4749535806985006</v>
      </c>
      <c r="S101" s="706">
        <v>2.4695367244487354</v>
      </c>
      <c r="T101" s="706">
        <v>2.9771376932383387</v>
      </c>
      <c r="U101" s="705">
        <v>0</v>
      </c>
      <c r="V101" s="687"/>
      <c r="W101" s="691"/>
      <c r="X101" s="691"/>
      <c r="Y101" s="691"/>
      <c r="Z101" s="690"/>
      <c r="AA101" s="687"/>
      <c r="AB101" s="691"/>
      <c r="AC101" s="691"/>
      <c r="AD101" s="691"/>
      <c r="AE101" s="690"/>
      <c r="AF101" s="689"/>
      <c r="AG101" s="691"/>
      <c r="AH101" s="691"/>
      <c r="AI101" s="695"/>
      <c r="AJ101" s="696"/>
      <c r="AK101" s="707" t="s">
        <v>1112</v>
      </c>
    </row>
    <row r="102" spans="2:37" s="682" customFormat="1">
      <c r="B102" s="698">
        <v>57</v>
      </c>
      <c r="C102" s="699" t="s">
        <v>1113</v>
      </c>
      <c r="D102" s="700" t="s">
        <v>401</v>
      </c>
      <c r="E102" s="700" t="s">
        <v>401</v>
      </c>
      <c r="F102" s="700" t="s">
        <v>994</v>
      </c>
      <c r="G102" s="701">
        <v>2012</v>
      </c>
      <c r="H102" s="686"/>
      <c r="I102" s="701">
        <v>240</v>
      </c>
      <c r="J102" s="702">
        <v>3.0059458613338794</v>
      </c>
      <c r="K102" s="703">
        <v>3.0059458613338794</v>
      </c>
      <c r="L102" s="702">
        <v>0</v>
      </c>
      <c r="M102" s="704">
        <v>0</v>
      </c>
      <c r="N102" s="704">
        <v>0</v>
      </c>
      <c r="O102" s="704">
        <v>0</v>
      </c>
      <c r="P102" s="705">
        <v>0</v>
      </c>
      <c r="Q102" s="704">
        <v>0</v>
      </c>
      <c r="R102" s="706">
        <v>0</v>
      </c>
      <c r="S102" s="706">
        <v>0</v>
      </c>
      <c r="T102" s="706">
        <v>0</v>
      </c>
      <c r="U102" s="705">
        <v>3.0059458613338794</v>
      </c>
      <c r="V102" s="687"/>
      <c r="W102" s="691"/>
      <c r="X102" s="691"/>
      <c r="Y102" s="691"/>
      <c r="Z102" s="690"/>
      <c r="AA102" s="687"/>
      <c r="AB102" s="691"/>
      <c r="AC102" s="691"/>
      <c r="AD102" s="691"/>
      <c r="AE102" s="690"/>
      <c r="AF102" s="689"/>
      <c r="AG102" s="691"/>
      <c r="AH102" s="691"/>
      <c r="AI102" s="695"/>
      <c r="AJ102" s="696"/>
      <c r="AK102" s="707" t="s">
        <v>1114</v>
      </c>
    </row>
    <row r="103" spans="2:37" s="682" customFormat="1">
      <c r="B103" s="698">
        <v>58</v>
      </c>
      <c r="C103" s="699" t="s">
        <v>1115</v>
      </c>
      <c r="D103" s="700" t="s">
        <v>401</v>
      </c>
      <c r="E103" s="700" t="s">
        <v>401</v>
      </c>
      <c r="F103" s="700" t="s">
        <v>998</v>
      </c>
      <c r="G103" s="701">
        <v>2011</v>
      </c>
      <c r="H103" s="686"/>
      <c r="I103" s="701">
        <v>39</v>
      </c>
      <c r="J103" s="702">
        <v>2.0555728397519175</v>
      </c>
      <c r="K103" s="703">
        <v>2.0555728397519175</v>
      </c>
      <c r="L103" s="702">
        <v>0</v>
      </c>
      <c r="M103" s="704">
        <v>0</v>
      </c>
      <c r="N103" s="704">
        <v>0</v>
      </c>
      <c r="O103" s="704">
        <v>0</v>
      </c>
      <c r="P103" s="705">
        <v>0</v>
      </c>
      <c r="Q103" s="704">
        <v>0</v>
      </c>
      <c r="R103" s="706">
        <v>0</v>
      </c>
      <c r="S103" s="706">
        <v>1.0289736351869729</v>
      </c>
      <c r="T103" s="706">
        <v>1.0265992045649444</v>
      </c>
      <c r="U103" s="705">
        <v>0</v>
      </c>
      <c r="V103" s="687"/>
      <c r="W103" s="691"/>
      <c r="X103" s="691"/>
      <c r="Y103" s="691"/>
      <c r="Z103" s="690"/>
      <c r="AA103" s="687"/>
      <c r="AB103" s="691"/>
      <c r="AC103" s="691"/>
      <c r="AD103" s="691"/>
      <c r="AE103" s="690"/>
      <c r="AF103" s="689"/>
      <c r="AG103" s="691"/>
      <c r="AH103" s="691"/>
      <c r="AI103" s="695"/>
      <c r="AJ103" s="696"/>
      <c r="AK103" s="707" t="s">
        <v>1116</v>
      </c>
    </row>
    <row r="104" spans="2:37" s="682" customFormat="1">
      <c r="B104" s="698">
        <v>59</v>
      </c>
      <c r="C104" s="699" t="s">
        <v>1117</v>
      </c>
      <c r="D104" s="700" t="s">
        <v>997</v>
      </c>
      <c r="E104" s="700" t="s">
        <v>997</v>
      </c>
      <c r="F104" s="700" t="s">
        <v>998</v>
      </c>
      <c r="G104" s="701">
        <v>2014</v>
      </c>
      <c r="H104" s="686"/>
      <c r="I104" s="701">
        <v>8.5</v>
      </c>
      <c r="J104" s="702">
        <v>1.0365330556323722</v>
      </c>
      <c r="K104" s="703">
        <v>1.0365330556323722</v>
      </c>
      <c r="L104" s="702">
        <v>0</v>
      </c>
      <c r="M104" s="704">
        <v>0</v>
      </c>
      <c r="N104" s="704">
        <v>0</v>
      </c>
      <c r="O104" s="704">
        <v>0</v>
      </c>
      <c r="P104" s="705">
        <v>0</v>
      </c>
      <c r="Q104" s="704">
        <v>0</v>
      </c>
      <c r="R104" s="706">
        <v>0</v>
      </c>
      <c r="S104" s="706">
        <v>0</v>
      </c>
      <c r="T104" s="706">
        <v>0</v>
      </c>
      <c r="U104" s="705">
        <v>1.0365330556323722</v>
      </c>
      <c r="V104" s="687"/>
      <c r="W104" s="691"/>
      <c r="X104" s="691"/>
      <c r="Y104" s="691"/>
      <c r="Z104" s="690"/>
      <c r="AA104" s="687"/>
      <c r="AB104" s="691"/>
      <c r="AC104" s="691"/>
      <c r="AD104" s="691"/>
      <c r="AE104" s="690"/>
      <c r="AF104" s="689"/>
      <c r="AG104" s="691"/>
      <c r="AH104" s="691"/>
      <c r="AI104" s="695"/>
      <c r="AJ104" s="696"/>
      <c r="AK104" s="707" t="s">
        <v>1118</v>
      </c>
    </row>
    <row r="105" spans="2:37" s="682" customFormat="1">
      <c r="B105" s="698">
        <v>60</v>
      </c>
      <c r="C105" s="699" t="s">
        <v>1119</v>
      </c>
      <c r="D105" s="700" t="s">
        <v>997</v>
      </c>
      <c r="E105" s="700" t="s">
        <v>997</v>
      </c>
      <c r="F105" s="700" t="s">
        <v>1120</v>
      </c>
      <c r="G105" s="701">
        <v>2008</v>
      </c>
      <c r="H105" s="686"/>
      <c r="I105" s="701">
        <v>31</v>
      </c>
      <c r="J105" s="702">
        <v>0.84302671359734682</v>
      </c>
      <c r="K105" s="703">
        <v>0.84302671359734682</v>
      </c>
      <c r="L105" s="702">
        <v>0</v>
      </c>
      <c r="M105" s="704">
        <v>0</v>
      </c>
      <c r="N105" s="704">
        <v>0</v>
      </c>
      <c r="O105" s="704">
        <v>0</v>
      </c>
      <c r="P105" s="705">
        <v>0</v>
      </c>
      <c r="Q105" s="704">
        <v>0.84302671359734682</v>
      </c>
      <c r="R105" s="706">
        <v>0</v>
      </c>
      <c r="S105" s="706">
        <v>0</v>
      </c>
      <c r="T105" s="706">
        <v>0</v>
      </c>
      <c r="U105" s="705">
        <v>0</v>
      </c>
      <c r="V105" s="687"/>
      <c r="W105" s="691"/>
      <c r="X105" s="691"/>
      <c r="Y105" s="691"/>
      <c r="Z105" s="690"/>
      <c r="AA105" s="687"/>
      <c r="AB105" s="691"/>
      <c r="AC105" s="691"/>
      <c r="AD105" s="691"/>
      <c r="AE105" s="690"/>
      <c r="AF105" s="689"/>
      <c r="AG105" s="691"/>
      <c r="AH105" s="691"/>
      <c r="AI105" s="695"/>
      <c r="AJ105" s="696"/>
      <c r="AK105" s="707" t="s">
        <v>1121</v>
      </c>
    </row>
    <row r="106" spans="2:37" s="682" customFormat="1">
      <c r="B106" s="698">
        <v>61</v>
      </c>
      <c r="C106" s="699" t="s">
        <v>1122</v>
      </c>
      <c r="D106" s="700" t="s">
        <v>401</v>
      </c>
      <c r="E106" s="700" t="s">
        <v>401</v>
      </c>
      <c r="F106" s="700" t="s">
        <v>998</v>
      </c>
      <c r="G106" s="701">
        <v>2013</v>
      </c>
      <c r="H106" s="686"/>
      <c r="I106" s="701">
        <v>117</v>
      </c>
      <c r="J106" s="702">
        <v>3.1354746714435837</v>
      </c>
      <c r="K106" s="703">
        <v>3.1354746714435837</v>
      </c>
      <c r="L106" s="702">
        <v>0</v>
      </c>
      <c r="M106" s="704">
        <v>0</v>
      </c>
      <c r="N106" s="704">
        <v>0</v>
      </c>
      <c r="O106" s="704">
        <v>0</v>
      </c>
      <c r="P106" s="705">
        <v>0</v>
      </c>
      <c r="Q106" s="704">
        <v>1.5806750879950251</v>
      </c>
      <c r="R106" s="706">
        <v>0</v>
      </c>
      <c r="S106" s="706">
        <v>0</v>
      </c>
      <c r="T106" s="706">
        <v>0</v>
      </c>
      <c r="U106" s="705">
        <v>1.5547995834485584</v>
      </c>
      <c r="V106" s="687"/>
      <c r="W106" s="691"/>
      <c r="X106" s="691"/>
      <c r="Y106" s="691"/>
      <c r="Z106" s="690"/>
      <c r="AA106" s="687"/>
      <c r="AB106" s="691"/>
      <c r="AC106" s="691"/>
      <c r="AD106" s="691"/>
      <c r="AE106" s="690"/>
      <c r="AF106" s="689"/>
      <c r="AG106" s="691"/>
      <c r="AH106" s="691"/>
      <c r="AI106" s="695"/>
      <c r="AJ106" s="696"/>
      <c r="AK106" s="707" t="s">
        <v>1123</v>
      </c>
    </row>
    <row r="107" spans="2:37" s="682" customFormat="1">
      <c r="B107" s="698">
        <v>62</v>
      </c>
      <c r="C107" s="699" t="s">
        <v>1124</v>
      </c>
      <c r="D107" s="700" t="s">
        <v>997</v>
      </c>
      <c r="E107" s="700" t="s">
        <v>997</v>
      </c>
      <c r="F107" s="700" t="s">
        <v>998</v>
      </c>
      <c r="G107" s="701">
        <v>2007</v>
      </c>
      <c r="H107" s="686"/>
      <c r="I107" s="701">
        <v>18</v>
      </c>
      <c r="J107" s="702">
        <v>1.5806750879950251</v>
      </c>
      <c r="K107" s="703">
        <v>1.5806750879950251</v>
      </c>
      <c r="L107" s="702">
        <v>0</v>
      </c>
      <c r="M107" s="704">
        <v>0</v>
      </c>
      <c r="N107" s="704">
        <v>0</v>
      </c>
      <c r="O107" s="704">
        <v>0</v>
      </c>
      <c r="P107" s="705">
        <v>0</v>
      </c>
      <c r="Q107" s="704">
        <v>1.5806750879950251</v>
      </c>
      <c r="R107" s="706">
        <v>0</v>
      </c>
      <c r="S107" s="706">
        <v>0</v>
      </c>
      <c r="T107" s="706">
        <v>0</v>
      </c>
      <c r="U107" s="705">
        <v>0</v>
      </c>
      <c r="V107" s="687"/>
      <c r="W107" s="691"/>
      <c r="X107" s="691"/>
      <c r="Y107" s="691"/>
      <c r="Z107" s="690"/>
      <c r="AA107" s="687"/>
      <c r="AB107" s="691"/>
      <c r="AC107" s="691"/>
      <c r="AD107" s="691"/>
      <c r="AE107" s="690"/>
      <c r="AF107" s="689"/>
      <c r="AG107" s="691"/>
      <c r="AH107" s="691"/>
      <c r="AI107" s="695"/>
      <c r="AJ107" s="696"/>
      <c r="AK107" s="707" t="s">
        <v>1125</v>
      </c>
    </row>
    <row r="108" spans="2:37" s="682" customFormat="1">
      <c r="B108" s="698">
        <v>63</v>
      </c>
      <c r="C108" s="699" t="s">
        <v>1126</v>
      </c>
      <c r="D108" s="700" t="s">
        <v>1003</v>
      </c>
      <c r="E108" s="700" t="s">
        <v>1003</v>
      </c>
      <c r="F108" s="700" t="s">
        <v>994</v>
      </c>
      <c r="G108" s="701">
        <v>2008</v>
      </c>
      <c r="H108" s="686"/>
      <c r="I108" s="701">
        <v>4</v>
      </c>
      <c r="J108" s="702">
        <v>0.86050000000000004</v>
      </c>
      <c r="K108" s="703">
        <v>0.86050000000000004</v>
      </c>
      <c r="L108" s="702">
        <v>0</v>
      </c>
      <c r="M108" s="704">
        <v>0</v>
      </c>
      <c r="N108" s="704">
        <v>0</v>
      </c>
      <c r="O108" s="704">
        <v>0</v>
      </c>
      <c r="P108" s="705">
        <v>0</v>
      </c>
      <c r="Q108" s="704">
        <v>0.32550000000000001</v>
      </c>
      <c r="R108" s="706">
        <v>0.53500000000000003</v>
      </c>
      <c r="S108" s="706">
        <v>0</v>
      </c>
      <c r="T108" s="706">
        <v>0</v>
      </c>
      <c r="U108" s="705">
        <v>0</v>
      </c>
      <c r="V108" s="687"/>
      <c r="W108" s="691"/>
      <c r="X108" s="691"/>
      <c r="Y108" s="691"/>
      <c r="Z108" s="690"/>
      <c r="AA108" s="687"/>
      <c r="AB108" s="691"/>
      <c r="AC108" s="691"/>
      <c r="AD108" s="691"/>
      <c r="AE108" s="690"/>
      <c r="AF108" s="689"/>
      <c r="AG108" s="691"/>
      <c r="AH108" s="691"/>
      <c r="AI108" s="695"/>
      <c r="AJ108" s="696"/>
      <c r="AK108" s="707" t="s">
        <v>1078</v>
      </c>
    </row>
    <row r="109" spans="2:37" s="682" customFormat="1">
      <c r="B109" s="698">
        <v>64</v>
      </c>
      <c r="C109" s="699" t="s">
        <v>1127</v>
      </c>
      <c r="D109" s="700" t="s">
        <v>401</v>
      </c>
      <c r="E109" s="700" t="s">
        <v>401</v>
      </c>
      <c r="F109" s="700" t="s">
        <v>998</v>
      </c>
      <c r="G109" s="701">
        <v>2008</v>
      </c>
      <c r="H109" s="686"/>
      <c r="I109" s="701">
        <v>54</v>
      </c>
      <c r="J109" s="702">
        <v>1.5693987213088709</v>
      </c>
      <c r="K109" s="703">
        <v>1.5693987213088709</v>
      </c>
      <c r="L109" s="702">
        <v>0</v>
      </c>
      <c r="M109" s="704">
        <v>0</v>
      </c>
      <c r="N109" s="704">
        <v>0</v>
      </c>
      <c r="O109" s="704">
        <v>0</v>
      </c>
      <c r="P109" s="705">
        <v>0</v>
      </c>
      <c r="Q109" s="704">
        <v>1.0537833919966832</v>
      </c>
      <c r="R109" s="706">
        <v>0.51561532931218768</v>
      </c>
      <c r="S109" s="706">
        <v>0</v>
      </c>
      <c r="T109" s="706">
        <v>0</v>
      </c>
      <c r="U109" s="705">
        <v>0</v>
      </c>
      <c r="V109" s="687"/>
      <c r="W109" s="691"/>
      <c r="X109" s="691"/>
      <c r="Y109" s="691"/>
      <c r="Z109" s="690"/>
      <c r="AA109" s="687"/>
      <c r="AB109" s="691"/>
      <c r="AC109" s="691"/>
      <c r="AD109" s="691"/>
      <c r="AE109" s="690"/>
      <c r="AF109" s="689"/>
      <c r="AG109" s="691"/>
      <c r="AH109" s="691"/>
      <c r="AI109" s="695"/>
      <c r="AJ109" s="696"/>
      <c r="AK109" s="707" t="s">
        <v>1128</v>
      </c>
    </row>
    <row r="110" spans="2:37" s="682" customFormat="1">
      <c r="B110" s="698">
        <v>65</v>
      </c>
      <c r="C110" s="699" t="s">
        <v>1129</v>
      </c>
      <c r="D110" s="700" t="s">
        <v>401</v>
      </c>
      <c r="E110" s="700" t="s">
        <v>401</v>
      </c>
      <c r="F110" s="700" t="s">
        <v>998</v>
      </c>
      <c r="G110" s="701">
        <v>2011</v>
      </c>
      <c r="H110" s="686"/>
      <c r="I110" s="701">
        <v>78</v>
      </c>
      <c r="J110" s="702">
        <v>2.0590757820926471</v>
      </c>
      <c r="K110" s="703">
        <v>2.0590757820926471</v>
      </c>
      <c r="L110" s="702">
        <v>0</v>
      </c>
      <c r="M110" s="704">
        <v>0</v>
      </c>
      <c r="N110" s="704">
        <v>0</v>
      </c>
      <c r="O110" s="704">
        <v>0</v>
      </c>
      <c r="P110" s="705">
        <v>0</v>
      </c>
      <c r="Q110" s="704">
        <v>0</v>
      </c>
      <c r="R110" s="706">
        <v>0.51561532931218768</v>
      </c>
      <c r="S110" s="706">
        <v>1.5434604527804594</v>
      </c>
      <c r="T110" s="706">
        <v>0</v>
      </c>
      <c r="U110" s="705">
        <v>0</v>
      </c>
      <c r="V110" s="687"/>
      <c r="W110" s="691"/>
      <c r="X110" s="691"/>
      <c r="Y110" s="691"/>
      <c r="Z110" s="690"/>
      <c r="AA110" s="687"/>
      <c r="AB110" s="691"/>
      <c r="AC110" s="691"/>
      <c r="AD110" s="691"/>
      <c r="AE110" s="690"/>
      <c r="AF110" s="689"/>
      <c r="AG110" s="691"/>
      <c r="AH110" s="691"/>
      <c r="AI110" s="695"/>
      <c r="AJ110" s="696"/>
      <c r="AK110" s="707" t="s">
        <v>1130</v>
      </c>
    </row>
    <row r="111" spans="2:37" s="682" customFormat="1">
      <c r="B111" s="698">
        <v>66</v>
      </c>
      <c r="C111" s="699" t="s">
        <v>1131</v>
      </c>
      <c r="D111" s="700" t="s">
        <v>997</v>
      </c>
      <c r="E111" s="700" t="s">
        <v>997</v>
      </c>
      <c r="F111" s="700" t="s">
        <v>998</v>
      </c>
      <c r="G111" s="701">
        <v>2006</v>
      </c>
      <c r="H111" s="686"/>
      <c r="I111" s="701">
        <v>10.5</v>
      </c>
      <c r="J111" s="702">
        <v>1.3473656762233803</v>
      </c>
      <c r="K111" s="703">
        <v>1.3473656762233803</v>
      </c>
      <c r="L111" s="702">
        <v>0</v>
      </c>
      <c r="M111" s="704">
        <v>0</v>
      </c>
      <c r="N111" s="704">
        <v>0</v>
      </c>
      <c r="O111" s="704">
        <v>0</v>
      </c>
      <c r="P111" s="705">
        <v>0</v>
      </c>
      <c r="Q111" s="704">
        <v>0.31613501759900503</v>
      </c>
      <c r="R111" s="706">
        <v>1.0312306586243754</v>
      </c>
      <c r="S111" s="706">
        <v>0</v>
      </c>
      <c r="T111" s="706">
        <v>0</v>
      </c>
      <c r="U111" s="705">
        <v>0</v>
      </c>
      <c r="V111" s="687"/>
      <c r="W111" s="691"/>
      <c r="X111" s="691"/>
      <c r="Y111" s="691"/>
      <c r="Z111" s="690"/>
      <c r="AA111" s="687"/>
      <c r="AB111" s="691"/>
      <c r="AC111" s="691"/>
      <c r="AD111" s="691"/>
      <c r="AE111" s="690"/>
      <c r="AF111" s="689"/>
      <c r="AG111" s="691"/>
      <c r="AH111" s="691"/>
      <c r="AI111" s="695"/>
      <c r="AJ111" s="696"/>
      <c r="AK111" s="707" t="s">
        <v>1132</v>
      </c>
    </row>
    <row r="112" spans="2:37" s="682" customFormat="1">
      <c r="B112" s="698">
        <v>67</v>
      </c>
      <c r="C112" s="699" t="s">
        <v>1133</v>
      </c>
      <c r="D112" s="700" t="s">
        <v>997</v>
      </c>
      <c r="E112" s="700" t="s">
        <v>997</v>
      </c>
      <c r="F112" s="700" t="s">
        <v>994</v>
      </c>
      <c r="G112" s="701">
        <v>2007</v>
      </c>
      <c r="H112" s="686"/>
      <c r="I112" s="701">
        <v>2</v>
      </c>
      <c r="J112" s="702">
        <v>0.30936919758731257</v>
      </c>
      <c r="K112" s="703">
        <v>0.30936919758731257</v>
      </c>
      <c r="L112" s="702">
        <v>0</v>
      </c>
      <c r="M112" s="704">
        <v>0</v>
      </c>
      <c r="N112" s="704">
        <v>0</v>
      </c>
      <c r="O112" s="704">
        <v>0</v>
      </c>
      <c r="P112" s="705">
        <v>0</v>
      </c>
      <c r="Q112" s="704">
        <v>0</v>
      </c>
      <c r="R112" s="706">
        <v>0.30936919758731257</v>
      </c>
      <c r="S112" s="706">
        <v>0</v>
      </c>
      <c r="T112" s="706">
        <v>0</v>
      </c>
      <c r="U112" s="705">
        <v>0</v>
      </c>
      <c r="V112" s="687"/>
      <c r="W112" s="691"/>
      <c r="X112" s="691"/>
      <c r="Y112" s="691"/>
      <c r="Z112" s="690"/>
      <c r="AA112" s="687"/>
      <c r="AB112" s="691"/>
      <c r="AC112" s="691"/>
      <c r="AD112" s="691"/>
      <c r="AE112" s="690"/>
      <c r="AF112" s="689"/>
      <c r="AG112" s="691"/>
      <c r="AH112" s="691"/>
      <c r="AI112" s="695"/>
      <c r="AJ112" s="696"/>
      <c r="AK112" s="707" t="s">
        <v>1134</v>
      </c>
    </row>
    <row r="113" spans="2:37" s="682" customFormat="1">
      <c r="B113" s="698">
        <v>68</v>
      </c>
      <c r="C113" s="699" t="s">
        <v>1135</v>
      </c>
      <c r="D113" s="700" t="s">
        <v>401</v>
      </c>
      <c r="E113" s="700" t="s">
        <v>401</v>
      </c>
      <c r="F113" s="700" t="s">
        <v>1014</v>
      </c>
      <c r="G113" s="701">
        <v>2010</v>
      </c>
      <c r="H113" s="686"/>
      <c r="I113" s="701">
        <v>39</v>
      </c>
      <c r="J113" s="702">
        <v>1.0289736351869729</v>
      </c>
      <c r="K113" s="703">
        <v>1.0289736351869729</v>
      </c>
      <c r="L113" s="702">
        <v>0</v>
      </c>
      <c r="M113" s="704">
        <v>0</v>
      </c>
      <c r="N113" s="704">
        <v>0</v>
      </c>
      <c r="O113" s="704">
        <v>0</v>
      </c>
      <c r="P113" s="705">
        <v>0</v>
      </c>
      <c r="Q113" s="704">
        <v>0</v>
      </c>
      <c r="R113" s="706">
        <v>0</v>
      </c>
      <c r="S113" s="706">
        <v>1.0289736351869729</v>
      </c>
      <c r="T113" s="706">
        <v>0</v>
      </c>
      <c r="U113" s="705">
        <v>0</v>
      </c>
      <c r="V113" s="687"/>
      <c r="W113" s="691"/>
      <c r="X113" s="691"/>
      <c r="Y113" s="691"/>
      <c r="Z113" s="690"/>
      <c r="AA113" s="687"/>
      <c r="AB113" s="691"/>
      <c r="AC113" s="691"/>
      <c r="AD113" s="691"/>
      <c r="AE113" s="690"/>
      <c r="AF113" s="689"/>
      <c r="AG113" s="691"/>
      <c r="AH113" s="691"/>
      <c r="AI113" s="695"/>
      <c r="AJ113" s="696"/>
      <c r="AK113" s="707" t="s">
        <v>1136</v>
      </c>
    </row>
    <row r="114" spans="2:37">
      <c r="B114" s="698">
        <v>69</v>
      </c>
      <c r="C114" s="699" t="s">
        <v>1137</v>
      </c>
      <c r="D114" s="700" t="s">
        <v>997</v>
      </c>
      <c r="E114" s="700" t="s">
        <v>997</v>
      </c>
      <c r="F114" s="700" t="s">
        <v>998</v>
      </c>
      <c r="G114" s="701">
        <v>2008</v>
      </c>
      <c r="H114" s="686"/>
      <c r="I114" s="701">
        <v>17.5</v>
      </c>
      <c r="J114" s="702">
        <v>1.6567348738106928</v>
      </c>
      <c r="K114" s="703">
        <v>1.6567348738106928</v>
      </c>
      <c r="L114" s="702">
        <v>0</v>
      </c>
      <c r="M114" s="704">
        <v>0</v>
      </c>
      <c r="N114" s="704">
        <v>0</v>
      </c>
      <c r="O114" s="704">
        <v>0</v>
      </c>
      <c r="P114" s="705">
        <v>0</v>
      </c>
      <c r="Q114" s="704">
        <v>0.31613501759900503</v>
      </c>
      <c r="R114" s="706">
        <v>1.3405998562116879</v>
      </c>
      <c r="S114" s="706">
        <v>0</v>
      </c>
      <c r="T114" s="706">
        <v>0</v>
      </c>
      <c r="U114" s="705">
        <v>0</v>
      </c>
      <c r="V114" s="687"/>
      <c r="W114" s="691"/>
      <c r="X114" s="691"/>
      <c r="Y114" s="691"/>
      <c r="Z114" s="690"/>
      <c r="AA114" s="687"/>
      <c r="AB114" s="691"/>
      <c r="AC114" s="691"/>
      <c r="AD114" s="691"/>
      <c r="AE114" s="690"/>
      <c r="AF114" s="689"/>
      <c r="AG114" s="691"/>
      <c r="AH114" s="691"/>
      <c r="AI114" s="695"/>
      <c r="AJ114" s="696"/>
      <c r="AK114" s="707" t="s">
        <v>1138</v>
      </c>
    </row>
    <row r="115" spans="2:37">
      <c r="B115" s="698">
        <v>70</v>
      </c>
      <c r="C115" s="699" t="s">
        <v>1139</v>
      </c>
      <c r="D115" s="700" t="s">
        <v>401</v>
      </c>
      <c r="E115" s="700" t="s">
        <v>401</v>
      </c>
      <c r="F115" s="700" t="s">
        <v>1014</v>
      </c>
      <c r="G115" s="701">
        <v>2009</v>
      </c>
      <c r="H115" s="686"/>
      <c r="I115" s="701">
        <v>0</v>
      </c>
      <c r="J115" s="702">
        <v>0.21075667839933671</v>
      </c>
      <c r="K115" s="703">
        <v>0.21075667839933671</v>
      </c>
      <c r="L115" s="702">
        <v>0</v>
      </c>
      <c r="M115" s="704">
        <v>0</v>
      </c>
      <c r="N115" s="704">
        <v>0</v>
      </c>
      <c r="O115" s="704">
        <v>0</v>
      </c>
      <c r="P115" s="705">
        <v>0</v>
      </c>
      <c r="Q115" s="704">
        <v>0.21075667839933671</v>
      </c>
      <c r="R115" s="706">
        <v>0</v>
      </c>
      <c r="S115" s="706">
        <v>0</v>
      </c>
      <c r="T115" s="706">
        <v>0</v>
      </c>
      <c r="U115" s="705">
        <v>0</v>
      </c>
      <c r="V115" s="687"/>
      <c r="W115" s="691"/>
      <c r="X115" s="691"/>
      <c r="Y115" s="691"/>
      <c r="Z115" s="690"/>
      <c r="AA115" s="687"/>
      <c r="AB115" s="691"/>
      <c r="AC115" s="691"/>
      <c r="AD115" s="691"/>
      <c r="AE115" s="690"/>
      <c r="AF115" s="689"/>
      <c r="AG115" s="691"/>
      <c r="AH115" s="691"/>
      <c r="AI115" s="695"/>
      <c r="AJ115" s="696"/>
      <c r="AK115" s="707" t="s">
        <v>1140</v>
      </c>
    </row>
    <row r="116" spans="2:37">
      <c r="B116" s="698">
        <v>71</v>
      </c>
      <c r="C116" s="699" t="s">
        <v>1141</v>
      </c>
      <c r="D116" s="700" t="s">
        <v>997</v>
      </c>
      <c r="E116" s="700" t="s">
        <v>997</v>
      </c>
      <c r="F116" s="700" t="s">
        <v>1142</v>
      </c>
      <c r="G116" s="701">
        <v>2010</v>
      </c>
      <c r="H116" s="686"/>
      <c r="I116" s="701">
        <v>31</v>
      </c>
      <c r="J116" s="702">
        <v>5.4603879789772005</v>
      </c>
      <c r="K116" s="703">
        <v>5.4603879789772005</v>
      </c>
      <c r="L116" s="702">
        <v>0</v>
      </c>
      <c r="M116" s="704">
        <v>0</v>
      </c>
      <c r="N116" s="704">
        <v>0</v>
      </c>
      <c r="O116" s="704">
        <v>0</v>
      </c>
      <c r="P116" s="705">
        <v>0</v>
      </c>
      <c r="Q116" s="704">
        <v>0</v>
      </c>
      <c r="R116" s="706">
        <v>0</v>
      </c>
      <c r="S116" s="706">
        <v>1.9550499068552485</v>
      </c>
      <c r="T116" s="706">
        <v>1.9505384886733943</v>
      </c>
      <c r="U116" s="705">
        <v>1.5547995834485584</v>
      </c>
      <c r="V116" s="687"/>
      <c r="W116" s="691"/>
      <c r="X116" s="691"/>
      <c r="Y116" s="691"/>
      <c r="Z116" s="690"/>
      <c r="AA116" s="687"/>
      <c r="AB116" s="691"/>
      <c r="AC116" s="691"/>
      <c r="AD116" s="691"/>
      <c r="AE116" s="690"/>
      <c r="AF116" s="689"/>
      <c r="AG116" s="691"/>
      <c r="AH116" s="691"/>
      <c r="AI116" s="695"/>
      <c r="AJ116" s="696"/>
      <c r="AK116" s="707" t="s">
        <v>1143</v>
      </c>
    </row>
    <row r="117" spans="2:37">
      <c r="B117" s="698">
        <v>72</v>
      </c>
      <c r="C117" s="699" t="s">
        <v>1144</v>
      </c>
      <c r="D117" s="700" t="s">
        <v>997</v>
      </c>
      <c r="E117" s="700" t="s">
        <v>997</v>
      </c>
      <c r="F117" s="700" t="s">
        <v>1145</v>
      </c>
      <c r="G117" s="701">
        <v>2007</v>
      </c>
      <c r="H117" s="686"/>
      <c r="I117" s="701">
        <v>14</v>
      </c>
      <c r="J117" s="702">
        <v>0.41474753678698095</v>
      </c>
      <c r="K117" s="703">
        <v>0.41474753678698095</v>
      </c>
      <c r="L117" s="702">
        <v>0</v>
      </c>
      <c r="M117" s="704">
        <v>0</v>
      </c>
      <c r="N117" s="704">
        <v>0</v>
      </c>
      <c r="O117" s="704">
        <v>0</v>
      </c>
      <c r="P117" s="705">
        <v>0</v>
      </c>
      <c r="Q117" s="704">
        <v>0.10537833919966835</v>
      </c>
      <c r="R117" s="706">
        <v>0.30936919758731257</v>
      </c>
      <c r="S117" s="706">
        <v>0</v>
      </c>
      <c r="T117" s="706">
        <v>0</v>
      </c>
      <c r="U117" s="705">
        <v>0</v>
      </c>
      <c r="V117" s="687"/>
      <c r="W117" s="691"/>
      <c r="X117" s="691"/>
      <c r="Y117" s="691"/>
      <c r="Z117" s="690"/>
      <c r="AA117" s="687"/>
      <c r="AB117" s="691"/>
      <c r="AC117" s="691"/>
      <c r="AD117" s="691"/>
      <c r="AE117" s="690"/>
      <c r="AF117" s="689"/>
      <c r="AG117" s="691"/>
      <c r="AH117" s="691"/>
      <c r="AI117" s="695"/>
      <c r="AJ117" s="696"/>
      <c r="AK117" s="707" t="s">
        <v>1146</v>
      </c>
    </row>
    <row r="118" spans="2:37">
      <c r="B118" s="698">
        <v>73</v>
      </c>
      <c r="C118" s="699" t="s">
        <v>1147</v>
      </c>
      <c r="D118" s="700" t="s">
        <v>401</v>
      </c>
      <c r="E118" s="700" t="s">
        <v>401</v>
      </c>
      <c r="F118" s="700" t="s">
        <v>1142</v>
      </c>
      <c r="G118" s="701">
        <v>2012</v>
      </c>
      <c r="H118" s="686"/>
      <c r="I118" s="701">
        <v>150</v>
      </c>
      <c r="J118" s="702">
        <v>9.0652555988890811</v>
      </c>
      <c r="K118" s="703">
        <v>9.0652555988890811</v>
      </c>
      <c r="L118" s="702">
        <v>0</v>
      </c>
      <c r="M118" s="704">
        <v>0</v>
      </c>
      <c r="N118" s="704">
        <v>0</v>
      </c>
      <c r="O118" s="704">
        <v>0</v>
      </c>
      <c r="P118" s="705">
        <v>0</v>
      </c>
      <c r="Q118" s="704">
        <v>0</v>
      </c>
      <c r="R118" s="706">
        <v>0</v>
      </c>
      <c r="S118" s="706">
        <v>1.0289736351869729</v>
      </c>
      <c r="T118" s="706">
        <v>5.0303361023682278</v>
      </c>
      <c r="U118" s="705">
        <v>3.0059458613338794</v>
      </c>
      <c r="V118" s="687"/>
      <c r="W118" s="691"/>
      <c r="X118" s="691"/>
      <c r="Y118" s="691"/>
      <c r="Z118" s="690"/>
      <c r="AA118" s="687"/>
      <c r="AB118" s="691"/>
      <c r="AC118" s="691"/>
      <c r="AD118" s="691"/>
      <c r="AE118" s="690"/>
      <c r="AF118" s="689"/>
      <c r="AG118" s="691"/>
      <c r="AH118" s="691"/>
      <c r="AI118" s="695"/>
      <c r="AJ118" s="696"/>
      <c r="AK118" s="707" t="s">
        <v>1148</v>
      </c>
    </row>
    <row r="119" spans="2:37">
      <c r="B119" s="698">
        <v>74</v>
      </c>
      <c r="C119" s="699" t="s">
        <v>1149</v>
      </c>
      <c r="D119" s="700" t="s">
        <v>997</v>
      </c>
      <c r="E119" s="700" t="s">
        <v>997</v>
      </c>
      <c r="F119" s="700" t="s">
        <v>998</v>
      </c>
      <c r="G119" s="701">
        <v>2008</v>
      </c>
      <c r="H119" s="686"/>
      <c r="I119" s="701">
        <v>14.25</v>
      </c>
      <c r="J119" s="702">
        <v>1.0425070253105293</v>
      </c>
      <c r="K119" s="703">
        <v>1.0425070253105293</v>
      </c>
      <c r="L119" s="702">
        <v>0</v>
      </c>
      <c r="M119" s="704">
        <v>0</v>
      </c>
      <c r="N119" s="704">
        <v>0</v>
      </c>
      <c r="O119" s="704">
        <v>0</v>
      </c>
      <c r="P119" s="705">
        <v>0</v>
      </c>
      <c r="Q119" s="704">
        <v>0.52689169599834162</v>
      </c>
      <c r="R119" s="706">
        <v>0.51561532931218768</v>
      </c>
      <c r="S119" s="706">
        <v>0</v>
      </c>
      <c r="T119" s="706">
        <v>0</v>
      </c>
      <c r="U119" s="705">
        <v>0</v>
      </c>
      <c r="V119" s="687"/>
      <c r="W119" s="691"/>
      <c r="X119" s="691"/>
      <c r="Y119" s="691"/>
      <c r="Z119" s="690"/>
      <c r="AA119" s="687"/>
      <c r="AB119" s="691"/>
      <c r="AC119" s="691"/>
      <c r="AD119" s="691"/>
      <c r="AE119" s="690"/>
      <c r="AF119" s="689"/>
      <c r="AG119" s="691"/>
      <c r="AH119" s="691"/>
      <c r="AI119" s="695"/>
      <c r="AJ119" s="696"/>
      <c r="AK119" s="707" t="s">
        <v>1150</v>
      </c>
    </row>
    <row r="120" spans="2:37">
      <c r="B120" s="698">
        <v>75</v>
      </c>
      <c r="C120" s="699"/>
      <c r="D120" s="700"/>
      <c r="E120" s="700"/>
      <c r="F120" s="700"/>
      <c r="G120" s="701"/>
      <c r="H120" s="686"/>
      <c r="I120" s="701"/>
      <c r="J120" s="702"/>
      <c r="K120" s="703"/>
      <c r="L120" s="702"/>
      <c r="M120" s="704"/>
      <c r="N120" s="704"/>
      <c r="O120" s="704"/>
      <c r="P120" s="705"/>
      <c r="Q120" s="704"/>
      <c r="R120" s="706"/>
      <c r="S120" s="706"/>
      <c r="T120" s="706"/>
      <c r="U120" s="705"/>
      <c r="V120" s="687"/>
      <c r="W120" s="691"/>
      <c r="X120" s="691"/>
      <c r="Y120" s="691"/>
      <c r="Z120" s="690"/>
      <c r="AA120" s="687"/>
      <c r="AB120" s="691"/>
      <c r="AC120" s="691"/>
      <c r="AD120" s="691"/>
      <c r="AE120" s="690"/>
      <c r="AF120" s="689"/>
      <c r="AG120" s="691"/>
      <c r="AH120" s="691"/>
      <c r="AI120" s="695"/>
      <c r="AJ120" s="696"/>
      <c r="AK120" s="707"/>
    </row>
    <row r="121" spans="2:37" s="682" customFormat="1" ht="13.5" thickBot="1">
      <c r="B121" s="711"/>
      <c r="C121" s="712" t="s">
        <v>200</v>
      </c>
      <c r="D121" s="713"/>
      <c r="E121" s="713"/>
      <c r="F121" s="713"/>
      <c r="G121" s="713"/>
      <c r="H121" s="713"/>
      <c r="I121" s="714">
        <f t="shared" ref="I121:U121" si="9">SUM(I46:I120)</f>
        <v>2633.25</v>
      </c>
      <c r="J121" s="715">
        <f t="shared" si="9"/>
        <v>133.57112682216822</v>
      </c>
      <c r="K121" s="716">
        <f t="shared" si="9"/>
        <v>128.31212682216821</v>
      </c>
      <c r="L121" s="717">
        <f t="shared" si="9"/>
        <v>0</v>
      </c>
      <c r="M121" s="718">
        <f t="shared" si="9"/>
        <v>0</v>
      </c>
      <c r="N121" s="718">
        <f t="shared" si="9"/>
        <v>0</v>
      </c>
      <c r="O121" s="718">
        <f t="shared" si="9"/>
        <v>1.4</v>
      </c>
      <c r="P121" s="719">
        <f t="shared" si="9"/>
        <v>3.859</v>
      </c>
      <c r="Q121" s="720">
        <f t="shared" si="9"/>
        <v>24.277599606328032</v>
      </c>
      <c r="R121" s="718">
        <f t="shared" si="9"/>
        <v>26.418889531471816</v>
      </c>
      <c r="S121" s="721">
        <f t="shared" si="9"/>
        <v>25.312751425599526</v>
      </c>
      <c r="T121" s="721">
        <f t="shared" si="9"/>
        <v>25.767640034580104</v>
      </c>
      <c r="U121" s="719">
        <f t="shared" si="9"/>
        <v>26.535246224188732</v>
      </c>
      <c r="V121" s="722">
        <f>SUM(V46:V120)</f>
        <v>0</v>
      </c>
      <c r="W121" s="722">
        <f t="shared" ref="W121:AH121" si="10">SUM(W46:W120)</f>
        <v>0</v>
      </c>
      <c r="X121" s="722">
        <f t="shared" si="10"/>
        <v>0</v>
      </c>
      <c r="Y121" s="722">
        <f t="shared" si="10"/>
        <v>0</v>
      </c>
      <c r="Z121" s="722">
        <f t="shared" si="10"/>
        <v>0</v>
      </c>
      <c r="AA121" s="722">
        <f t="shared" si="10"/>
        <v>0</v>
      </c>
      <c r="AB121" s="722">
        <f t="shared" si="10"/>
        <v>0</v>
      </c>
      <c r="AC121" s="722">
        <f t="shared" si="10"/>
        <v>0</v>
      </c>
      <c r="AD121" s="722">
        <f t="shared" si="10"/>
        <v>0</v>
      </c>
      <c r="AE121" s="722">
        <f t="shared" si="10"/>
        <v>0</v>
      </c>
      <c r="AF121" s="722">
        <f t="shared" si="10"/>
        <v>0</v>
      </c>
      <c r="AG121" s="722">
        <f t="shared" si="10"/>
        <v>0</v>
      </c>
      <c r="AH121" s="722">
        <f t="shared" si="10"/>
        <v>0</v>
      </c>
      <c r="AI121" s="723"/>
      <c r="AJ121" s="724"/>
      <c r="AK121" s="725"/>
    </row>
    <row r="122" spans="2:37" s="682" customFormat="1"/>
    <row r="123" spans="2:37" s="682" customFormat="1"/>
    <row r="124" spans="2:37" s="682" customFormat="1"/>
    <row r="125" spans="2:37" s="682" customFormat="1"/>
    <row r="126" spans="2:37" s="682" customFormat="1"/>
    <row r="127" spans="2:37" s="682" customFormat="1"/>
    <row r="128" spans="2:37" s="682" customFormat="1"/>
    <row r="129" s="682" customFormat="1"/>
    <row r="130" s="682" customFormat="1"/>
    <row r="131" s="682" customFormat="1"/>
  </sheetData>
  <mergeCells count="9">
    <mergeCell ref="V43:AI43"/>
    <mergeCell ref="AJ43:AJ44"/>
    <mergeCell ref="V44:AE44"/>
    <mergeCell ref="S7:T7"/>
    <mergeCell ref="C24:C25"/>
    <mergeCell ref="C32:C33"/>
    <mergeCell ref="C43:K43"/>
    <mergeCell ref="L43:P43"/>
    <mergeCell ref="Q43:U43"/>
  </mergeCells>
  <phoneticPr fontId="1" type="noConversion"/>
  <hyperlinks>
    <hyperlink ref="G1" location="Inputs!A1" display="Index"/>
  </hyperlinks>
  <pageMargins left="0.75" right="0.75" top="1" bottom="1" header="0.5" footer="0.5"/>
  <pageSetup paperSize="9" scale="12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5FFFF"/>
    <pageSetUpPr fitToPage="1"/>
  </sheetPr>
  <dimension ref="A1:S33"/>
  <sheetViews>
    <sheetView workbookViewId="0">
      <selection sqref="A1:XFD1048576"/>
    </sheetView>
  </sheetViews>
  <sheetFormatPr defaultColWidth="8.85546875" defaultRowHeight="12.75"/>
  <cols>
    <col min="1" max="1" width="5.5703125" style="74" customWidth="1"/>
    <col min="2" max="2" width="18.140625" style="74" customWidth="1"/>
    <col min="3" max="3" width="15.7109375" style="74" customWidth="1"/>
    <col min="4" max="18" width="8.85546875" style="74"/>
    <col min="19" max="19" width="10.7109375" style="74" customWidth="1"/>
    <col min="20" max="16384" width="8.85546875" style="74"/>
  </cols>
  <sheetData>
    <row r="1" spans="1:19">
      <c r="A1" s="726" t="s">
        <v>74</v>
      </c>
      <c r="F1" s="125" t="s">
        <v>985</v>
      </c>
    </row>
    <row r="2" spans="1:19">
      <c r="A2" s="726"/>
    </row>
    <row r="3" spans="1:19">
      <c r="A3" s="726" t="s">
        <v>397</v>
      </c>
    </row>
    <row r="6" spans="1:19">
      <c r="B6" s="570" t="s">
        <v>398</v>
      </c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26"/>
      <c r="S6" s="626"/>
    </row>
    <row r="7" spans="1:19" ht="13.5" thickBot="1"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26"/>
      <c r="S7" s="626"/>
    </row>
    <row r="8" spans="1:19" ht="15" customHeight="1">
      <c r="B8" s="1542"/>
      <c r="C8" s="1543"/>
      <c r="D8" s="727" t="s">
        <v>399</v>
      </c>
      <c r="E8" s="728"/>
      <c r="F8" s="729"/>
      <c r="G8" s="727" t="s">
        <v>400</v>
      </c>
      <c r="H8" s="728"/>
      <c r="I8" s="729"/>
      <c r="J8" s="626"/>
      <c r="K8" s="626"/>
      <c r="L8" s="626"/>
      <c r="M8" s="626"/>
      <c r="N8" s="626"/>
      <c r="O8" s="626"/>
      <c r="P8" s="626"/>
      <c r="Q8" s="626"/>
      <c r="R8" s="626"/>
      <c r="S8" s="626"/>
    </row>
    <row r="9" spans="1:19" ht="15" customHeight="1">
      <c r="B9" s="1544"/>
      <c r="C9" s="1545"/>
      <c r="D9" s="730" t="s">
        <v>401</v>
      </c>
      <c r="E9" s="731" t="s">
        <v>402</v>
      </c>
      <c r="F9" s="732" t="s">
        <v>223</v>
      </c>
      <c r="G9" s="730" t="s">
        <v>401</v>
      </c>
      <c r="H9" s="731" t="s">
        <v>402</v>
      </c>
      <c r="I9" s="732" t="s">
        <v>223</v>
      </c>
      <c r="J9" s="626"/>
      <c r="K9" s="626"/>
      <c r="L9" s="626"/>
      <c r="M9" s="626"/>
      <c r="N9" s="626"/>
      <c r="O9" s="626"/>
      <c r="P9" s="626"/>
      <c r="Q9" s="626"/>
      <c r="R9" s="626"/>
      <c r="S9" s="626"/>
    </row>
    <row r="10" spans="1:19" ht="15" customHeight="1">
      <c r="B10" s="1535" t="s">
        <v>403</v>
      </c>
      <c r="C10" s="1536"/>
      <c r="D10" s="733">
        <v>50</v>
      </c>
      <c r="E10" s="734">
        <v>175</v>
      </c>
      <c r="F10" s="735">
        <v>411</v>
      </c>
      <c r="G10" s="733">
        <v>51</v>
      </c>
      <c r="H10" s="734">
        <v>177</v>
      </c>
      <c r="I10" s="735">
        <v>420</v>
      </c>
      <c r="J10" s="626"/>
      <c r="K10" s="626"/>
      <c r="L10" s="626"/>
      <c r="M10" s="626"/>
      <c r="N10" s="626"/>
      <c r="O10" s="626"/>
      <c r="P10" s="626"/>
      <c r="Q10" s="626"/>
      <c r="R10" s="626"/>
      <c r="S10" s="626"/>
    </row>
    <row r="11" spans="1:19" ht="27" customHeight="1">
      <c r="B11" s="1546" t="s">
        <v>404</v>
      </c>
      <c r="C11" s="1547"/>
      <c r="D11" s="736">
        <v>5</v>
      </c>
      <c r="E11" s="737">
        <v>12</v>
      </c>
      <c r="F11" s="738">
        <v>32</v>
      </c>
      <c r="G11" s="736">
        <v>5</v>
      </c>
      <c r="H11" s="737">
        <v>10</v>
      </c>
      <c r="I11" s="738">
        <v>30</v>
      </c>
      <c r="J11" s="626"/>
      <c r="K11" s="626"/>
      <c r="L11" s="626"/>
      <c r="M11" s="626"/>
      <c r="N11" s="626"/>
      <c r="O11" s="626"/>
      <c r="P11" s="626"/>
      <c r="Q11" s="626"/>
      <c r="R11" s="626"/>
      <c r="S11" s="626"/>
    </row>
    <row r="12" spans="1:19" ht="30" customHeight="1" thickBot="1">
      <c r="B12" s="1548" t="s">
        <v>405</v>
      </c>
      <c r="C12" s="1549"/>
      <c r="D12" s="739">
        <v>5</v>
      </c>
      <c r="E12" s="740">
        <v>12</v>
      </c>
      <c r="F12" s="741">
        <v>32</v>
      </c>
      <c r="G12" s="739">
        <v>5</v>
      </c>
      <c r="H12" s="740">
        <v>10</v>
      </c>
      <c r="I12" s="741">
        <v>30</v>
      </c>
      <c r="J12" s="626"/>
      <c r="K12" s="626"/>
      <c r="L12" s="626"/>
      <c r="M12" s="626"/>
      <c r="N12" s="626"/>
      <c r="O12" s="626"/>
      <c r="P12" s="626"/>
      <c r="Q12" s="626"/>
      <c r="R12" s="626"/>
      <c r="S12" s="626"/>
    </row>
    <row r="13" spans="1:19">
      <c r="B13" s="626"/>
      <c r="C13" s="62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</row>
    <row r="14" spans="1:19">
      <c r="B14" s="570" t="s">
        <v>406</v>
      </c>
      <c r="C14" s="62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</row>
    <row r="15" spans="1:19" ht="13.5" thickBot="1"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</row>
    <row r="16" spans="1:19">
      <c r="B16" s="1550" t="s">
        <v>407</v>
      </c>
      <c r="C16" s="1551"/>
      <c r="D16" s="742" t="s">
        <v>191</v>
      </c>
      <c r="E16" s="728"/>
      <c r="F16" s="729"/>
      <c r="G16" s="727" t="s">
        <v>192</v>
      </c>
      <c r="H16" s="728"/>
      <c r="I16" s="729"/>
      <c r="J16" s="626"/>
      <c r="K16" s="626"/>
      <c r="L16" s="626"/>
      <c r="M16" s="626"/>
      <c r="N16" s="626"/>
      <c r="O16" s="626"/>
      <c r="P16" s="626"/>
      <c r="Q16" s="626"/>
      <c r="R16" s="626"/>
      <c r="S16" s="626"/>
    </row>
    <row r="17" spans="2:19">
      <c r="B17" s="1552"/>
      <c r="C17" s="1553"/>
      <c r="D17" s="743" t="s">
        <v>401</v>
      </c>
      <c r="E17" s="731" t="s">
        <v>402</v>
      </c>
      <c r="F17" s="732" t="s">
        <v>223</v>
      </c>
      <c r="G17" s="730" t="s">
        <v>401</v>
      </c>
      <c r="H17" s="731" t="s">
        <v>402</v>
      </c>
      <c r="I17" s="732" t="s">
        <v>223</v>
      </c>
      <c r="J17" s="626"/>
      <c r="K17" s="626"/>
      <c r="L17" s="626"/>
      <c r="M17" s="626"/>
      <c r="N17" s="626"/>
      <c r="O17" s="626"/>
      <c r="P17" s="626"/>
      <c r="Q17" s="626"/>
      <c r="R17" s="626"/>
      <c r="S17" s="626"/>
    </row>
    <row r="18" spans="2:19" ht="15" customHeight="1">
      <c r="B18" s="1535" t="s">
        <v>408</v>
      </c>
      <c r="C18" s="1536"/>
      <c r="D18" s="736">
        <v>0</v>
      </c>
      <c r="E18" s="737">
        <v>0</v>
      </c>
      <c r="F18" s="744">
        <v>0</v>
      </c>
      <c r="G18" s="736">
        <v>4</v>
      </c>
      <c r="H18" s="737">
        <v>3</v>
      </c>
      <c r="I18" s="744">
        <v>0</v>
      </c>
      <c r="J18" s="626"/>
      <c r="K18" s="626"/>
      <c r="L18" s="626"/>
      <c r="M18" s="626"/>
      <c r="N18" s="626"/>
      <c r="O18" s="626"/>
      <c r="P18" s="626"/>
      <c r="Q18" s="626"/>
      <c r="R18" s="626"/>
      <c r="S18" s="626"/>
    </row>
    <row r="19" spans="2:19" ht="15" customHeight="1">
      <c r="B19" s="1535" t="s">
        <v>409</v>
      </c>
      <c r="C19" s="1536"/>
      <c r="D19" s="736">
        <v>0</v>
      </c>
      <c r="E19" s="737">
        <v>0</v>
      </c>
      <c r="F19" s="744">
        <v>0</v>
      </c>
      <c r="G19" s="736">
        <v>0</v>
      </c>
      <c r="H19" s="737">
        <v>0</v>
      </c>
      <c r="I19" s="744">
        <v>0</v>
      </c>
      <c r="J19" s="626"/>
      <c r="K19" s="626"/>
      <c r="L19" s="626"/>
      <c r="M19" s="626"/>
      <c r="N19" s="626"/>
      <c r="O19" s="626"/>
      <c r="P19" s="626"/>
      <c r="Q19" s="626"/>
      <c r="R19" s="626"/>
      <c r="S19" s="626"/>
    </row>
    <row r="20" spans="2:19" ht="15" customHeight="1" thickBot="1">
      <c r="B20" s="1537" t="s">
        <v>410</v>
      </c>
      <c r="C20" s="1538"/>
      <c r="D20" s="739">
        <v>0</v>
      </c>
      <c r="E20" s="745">
        <v>0</v>
      </c>
      <c r="F20" s="741">
        <v>0</v>
      </c>
      <c r="G20" s="739">
        <v>0</v>
      </c>
      <c r="H20" s="745">
        <v>0</v>
      </c>
      <c r="I20" s="741">
        <v>0</v>
      </c>
      <c r="J20" s="626"/>
      <c r="K20" s="626"/>
      <c r="L20" s="626"/>
      <c r="M20" s="626"/>
      <c r="N20" s="626"/>
      <c r="O20" s="626"/>
      <c r="P20" s="626"/>
      <c r="Q20" s="626"/>
      <c r="R20" s="626"/>
      <c r="S20" s="626"/>
    </row>
    <row r="21" spans="2:19">
      <c r="B21" s="626"/>
      <c r="C21" s="626"/>
      <c r="D21" s="626"/>
      <c r="E21" s="626"/>
      <c r="F21" s="626"/>
      <c r="G21" s="626"/>
      <c r="H21" s="626"/>
      <c r="I21" s="626"/>
      <c r="J21" s="626"/>
      <c r="K21" s="626"/>
      <c r="L21" s="626"/>
      <c r="M21" s="626"/>
      <c r="N21" s="626"/>
      <c r="O21" s="626"/>
      <c r="P21" s="626"/>
      <c r="Q21" s="626"/>
      <c r="R21" s="626"/>
      <c r="S21" s="626"/>
    </row>
    <row r="22" spans="2:19">
      <c r="B22" s="570" t="s">
        <v>411</v>
      </c>
      <c r="C22" s="62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</row>
    <row r="23" spans="2:19" ht="13.5" thickBot="1">
      <c r="B23" s="570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</row>
    <row r="24" spans="2:19">
      <c r="B24" s="1539"/>
      <c r="C24" s="572" t="s">
        <v>191</v>
      </c>
      <c r="D24" s="573"/>
      <c r="E24" s="573"/>
      <c r="F24" s="573"/>
      <c r="G24" s="746"/>
      <c r="H24" s="572" t="s">
        <v>192</v>
      </c>
      <c r="I24" s="747"/>
      <c r="J24" s="747"/>
      <c r="K24" s="747"/>
      <c r="L24" s="746"/>
      <c r="M24" s="748"/>
      <c r="N24" s="577" t="s">
        <v>191</v>
      </c>
      <c r="O24" s="578"/>
      <c r="P24" s="579"/>
      <c r="Q24" s="748"/>
      <c r="R24" s="577" t="s">
        <v>192</v>
      </c>
      <c r="S24" s="579"/>
    </row>
    <row r="25" spans="2:19">
      <c r="B25" s="1540"/>
      <c r="C25" s="582" t="s">
        <v>79</v>
      </c>
      <c r="D25" s="583" t="s">
        <v>80</v>
      </c>
      <c r="E25" s="583" t="s">
        <v>81</v>
      </c>
      <c r="F25" s="583" t="s">
        <v>82</v>
      </c>
      <c r="G25" s="584" t="s">
        <v>44</v>
      </c>
      <c r="H25" s="582" t="s">
        <v>193</v>
      </c>
      <c r="I25" s="583" t="s">
        <v>194</v>
      </c>
      <c r="J25" s="583" t="s">
        <v>195</v>
      </c>
      <c r="K25" s="583" t="s">
        <v>196</v>
      </c>
      <c r="L25" s="584" t="s">
        <v>197</v>
      </c>
      <c r="M25" s="748"/>
      <c r="N25" s="582" t="s">
        <v>198</v>
      </c>
      <c r="O25" s="583" t="s">
        <v>199</v>
      </c>
      <c r="P25" s="584" t="s">
        <v>200</v>
      </c>
      <c r="Q25" s="748"/>
      <c r="R25" s="582" t="s">
        <v>199</v>
      </c>
      <c r="S25" s="584" t="s">
        <v>201</v>
      </c>
    </row>
    <row r="26" spans="2:19">
      <c r="B26" s="1541"/>
      <c r="C26" s="588" t="s">
        <v>343</v>
      </c>
      <c r="D26" s="589" t="s">
        <v>343</v>
      </c>
      <c r="E26" s="589" t="s">
        <v>343</v>
      </c>
      <c r="F26" s="589" t="s">
        <v>343</v>
      </c>
      <c r="G26" s="590" t="s">
        <v>343</v>
      </c>
      <c r="H26" s="588" t="s">
        <v>343</v>
      </c>
      <c r="I26" s="589" t="s">
        <v>343</v>
      </c>
      <c r="J26" s="589" t="s">
        <v>343</v>
      </c>
      <c r="K26" s="589" t="s">
        <v>343</v>
      </c>
      <c r="L26" s="590" t="s">
        <v>343</v>
      </c>
      <c r="M26" s="749"/>
      <c r="N26" s="588" t="s">
        <v>343</v>
      </c>
      <c r="O26" s="589" t="s">
        <v>343</v>
      </c>
      <c r="P26" s="590" t="s">
        <v>343</v>
      </c>
      <c r="Q26" s="749"/>
      <c r="R26" s="588" t="s">
        <v>343</v>
      </c>
      <c r="S26" s="590" t="s">
        <v>343</v>
      </c>
    </row>
    <row r="27" spans="2:19" ht="25.5">
      <c r="B27" s="609" t="s">
        <v>412</v>
      </c>
      <c r="C27" s="750"/>
      <c r="D27" s="751"/>
      <c r="E27" s="751"/>
      <c r="F27" s="751"/>
      <c r="G27" s="752"/>
      <c r="H27" s="750"/>
      <c r="I27" s="751"/>
      <c r="J27" s="751"/>
      <c r="K27" s="751"/>
      <c r="L27" s="752"/>
      <c r="M27" s="749"/>
      <c r="N27" s="750"/>
      <c r="O27" s="196"/>
      <c r="P27" s="197"/>
      <c r="Q27" s="749"/>
      <c r="R27" s="750"/>
      <c r="S27" s="600"/>
    </row>
    <row r="28" spans="2:19">
      <c r="B28" s="602" t="s">
        <v>413</v>
      </c>
      <c r="C28" s="185">
        <v>0</v>
      </c>
      <c r="D28" s="186">
        <v>0</v>
      </c>
      <c r="E28" s="186">
        <v>0</v>
      </c>
      <c r="F28" s="186">
        <v>0</v>
      </c>
      <c r="G28" s="187">
        <v>0</v>
      </c>
      <c r="H28" s="185">
        <v>0</v>
      </c>
      <c r="I28" s="188">
        <v>0</v>
      </c>
      <c r="J28" s="188">
        <v>0</v>
      </c>
      <c r="K28" s="188">
        <v>0</v>
      </c>
      <c r="L28" s="187">
        <v>0</v>
      </c>
      <c r="M28" s="753"/>
      <c r="N28" s="152">
        <v>0</v>
      </c>
      <c r="O28" s="153">
        <v>0</v>
      </c>
      <c r="P28" s="154">
        <v>0</v>
      </c>
      <c r="Q28" s="753"/>
      <c r="R28" s="152">
        <v>0</v>
      </c>
      <c r="S28" s="156" t="s">
        <v>989</v>
      </c>
    </row>
    <row r="29" spans="2:19">
      <c r="B29" s="602" t="s">
        <v>223</v>
      </c>
      <c r="C29" s="185">
        <v>0</v>
      </c>
      <c r="D29" s="186">
        <v>0</v>
      </c>
      <c r="E29" s="186">
        <v>0</v>
      </c>
      <c r="F29" s="186">
        <v>0</v>
      </c>
      <c r="G29" s="187">
        <v>0</v>
      </c>
      <c r="H29" s="185">
        <v>0</v>
      </c>
      <c r="I29" s="188">
        <v>0</v>
      </c>
      <c r="J29" s="188">
        <v>0</v>
      </c>
      <c r="K29" s="188">
        <v>0</v>
      </c>
      <c r="L29" s="187">
        <v>0</v>
      </c>
      <c r="M29" s="753"/>
      <c r="N29" s="152">
        <v>0</v>
      </c>
      <c r="O29" s="153">
        <v>0</v>
      </c>
      <c r="P29" s="154">
        <v>0</v>
      </c>
      <c r="Q29" s="753"/>
      <c r="R29" s="152">
        <v>0</v>
      </c>
      <c r="S29" s="156" t="s">
        <v>989</v>
      </c>
    </row>
    <row r="30" spans="2:19">
      <c r="B30" s="602" t="s">
        <v>414</v>
      </c>
      <c r="C30" s="185">
        <v>0</v>
      </c>
      <c r="D30" s="186">
        <v>0</v>
      </c>
      <c r="E30" s="186">
        <v>0</v>
      </c>
      <c r="F30" s="186">
        <v>0</v>
      </c>
      <c r="G30" s="187">
        <v>0</v>
      </c>
      <c r="H30" s="185">
        <v>0</v>
      </c>
      <c r="I30" s="188">
        <v>1.2374767903492503</v>
      </c>
      <c r="J30" s="188">
        <v>1.7492551798178539</v>
      </c>
      <c r="K30" s="188">
        <v>1.2319190454779334</v>
      </c>
      <c r="L30" s="187">
        <v>0</v>
      </c>
      <c r="M30" s="753"/>
      <c r="N30" s="152">
        <v>0</v>
      </c>
      <c r="O30" s="153">
        <v>0</v>
      </c>
      <c r="P30" s="154">
        <v>0</v>
      </c>
      <c r="Q30" s="753"/>
      <c r="R30" s="152">
        <v>4.2186510156450376</v>
      </c>
      <c r="S30" s="156" t="s">
        <v>989</v>
      </c>
    </row>
    <row r="31" spans="2:19">
      <c r="B31" s="602" t="s">
        <v>415</v>
      </c>
      <c r="C31" s="185">
        <v>0</v>
      </c>
      <c r="D31" s="186">
        <v>0</v>
      </c>
      <c r="E31" s="186">
        <v>0</v>
      </c>
      <c r="F31" s="186">
        <v>0</v>
      </c>
      <c r="G31" s="187">
        <v>0</v>
      </c>
      <c r="H31" s="185">
        <v>0</v>
      </c>
      <c r="I31" s="188">
        <v>0</v>
      </c>
      <c r="J31" s="188">
        <v>4.0129971772291944</v>
      </c>
      <c r="K31" s="188">
        <v>5.0303361023682278</v>
      </c>
      <c r="L31" s="187">
        <v>6.011891722667758</v>
      </c>
      <c r="M31" s="753"/>
      <c r="N31" s="152">
        <v>0</v>
      </c>
      <c r="O31" s="153">
        <v>0</v>
      </c>
      <c r="P31" s="154">
        <v>0</v>
      </c>
      <c r="Q31" s="753"/>
      <c r="R31" s="152">
        <v>15.055225002265182</v>
      </c>
      <c r="S31" s="156" t="s">
        <v>989</v>
      </c>
    </row>
    <row r="32" spans="2:19" ht="13.5" thickBot="1">
      <c r="B32" s="754" t="s">
        <v>416</v>
      </c>
      <c r="C32" s="168">
        <v>0</v>
      </c>
      <c r="D32" s="171">
        <v>0</v>
      </c>
      <c r="E32" s="171">
        <v>0</v>
      </c>
      <c r="F32" s="171">
        <v>0</v>
      </c>
      <c r="G32" s="170">
        <v>0</v>
      </c>
      <c r="H32" s="168">
        <v>0</v>
      </c>
      <c r="I32" s="169">
        <v>1.2374767903492503</v>
      </c>
      <c r="J32" s="169">
        <v>5.7622523570470481</v>
      </c>
      <c r="K32" s="169">
        <v>6.2622551478461617</v>
      </c>
      <c r="L32" s="170">
        <v>6.011891722667758</v>
      </c>
      <c r="M32" s="755"/>
      <c r="N32" s="168">
        <v>0</v>
      </c>
      <c r="O32" s="169">
        <v>0</v>
      </c>
      <c r="P32" s="170">
        <v>0</v>
      </c>
      <c r="Q32" s="755"/>
      <c r="R32" s="168">
        <v>19.273876017910219</v>
      </c>
      <c r="S32" s="293" t="s">
        <v>989</v>
      </c>
    </row>
    <row r="33" spans="2:19">
      <c r="B33" s="569"/>
      <c r="C33" s="569"/>
      <c r="D33" s="569"/>
      <c r="E33" s="569"/>
      <c r="F33" s="569"/>
      <c r="G33" s="569"/>
      <c r="H33" s="569"/>
      <c r="I33" s="569"/>
      <c r="J33" s="569"/>
      <c r="K33" s="569"/>
      <c r="L33" s="569"/>
      <c r="M33" s="576"/>
      <c r="N33" s="569"/>
      <c r="O33" s="569"/>
      <c r="P33" s="569"/>
      <c r="Q33" s="576"/>
      <c r="R33" s="569"/>
      <c r="S33" s="569"/>
    </row>
  </sheetData>
  <mergeCells count="9">
    <mergeCell ref="B19:C19"/>
    <mergeCell ref="B20:C20"/>
    <mergeCell ref="B24:B26"/>
    <mergeCell ref="B8:C9"/>
    <mergeCell ref="B10:C10"/>
    <mergeCell ref="B11:C11"/>
    <mergeCell ref="B12:C12"/>
    <mergeCell ref="B16:C17"/>
    <mergeCell ref="B18:C18"/>
  </mergeCells>
  <phoneticPr fontId="1" type="noConversion"/>
  <hyperlinks>
    <hyperlink ref="F1" location="Inputs!A1" display="Index"/>
  </hyperlinks>
  <pageMargins left="0.75" right="0.75" top="1" bottom="1" header="0.5" footer="0.5"/>
  <pageSetup paperSize="9" scale="44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C5FFFF"/>
    <pageSetUpPr fitToPage="1"/>
  </sheetPr>
  <dimension ref="A1:W187"/>
  <sheetViews>
    <sheetView topLeftCell="A31" workbookViewId="0">
      <selection sqref="A1:XFD1048576"/>
    </sheetView>
  </sheetViews>
  <sheetFormatPr defaultRowHeight="14.25"/>
  <cols>
    <col min="1" max="1" width="4.28515625" style="842" customWidth="1"/>
    <col min="2" max="2" width="45.85546875" style="844" customWidth="1"/>
    <col min="3" max="3" width="40.28515625" style="844" customWidth="1"/>
    <col min="4" max="8" width="10.28515625" style="844" customWidth="1"/>
    <col min="9" max="13" width="10.28515625" style="845" customWidth="1"/>
    <col min="14" max="14" width="4.140625" style="845" customWidth="1"/>
    <col min="15" max="17" width="13.7109375" style="845" customWidth="1"/>
    <col min="18" max="18" width="4.28515625" style="845" customWidth="1"/>
    <col min="19" max="20" width="11.85546875" style="845" customWidth="1"/>
    <col min="21" max="23" width="9.140625" style="845"/>
    <col min="24" max="16384" width="9.140625" style="844"/>
  </cols>
  <sheetData>
    <row r="1" spans="1:20" s="756" customFormat="1" ht="20.25">
      <c r="A1" s="726" t="s">
        <v>340</v>
      </c>
      <c r="G1" s="757" t="s">
        <v>47</v>
      </c>
    </row>
    <row r="2" spans="1:20" s="756" customFormat="1" ht="20.25">
      <c r="A2" s="726" t="s">
        <v>990</v>
      </c>
      <c r="B2" s="757"/>
    </row>
    <row r="3" spans="1:20" s="756" customFormat="1" ht="20.25">
      <c r="A3" s="726" t="s">
        <v>417</v>
      </c>
    </row>
    <row r="4" spans="1:20" s="759" customFormat="1" ht="12.75">
      <c r="A4" s="758"/>
      <c r="S4" s="748"/>
      <c r="T4" s="748"/>
    </row>
    <row r="5" spans="1:20" s="759" customFormat="1" ht="12.75">
      <c r="A5" s="758"/>
      <c r="B5" s="760" t="s">
        <v>418</v>
      </c>
      <c r="O5" s="748"/>
      <c r="P5" s="748"/>
      <c r="Q5" s="748"/>
      <c r="R5" s="748"/>
      <c r="S5" s="748"/>
      <c r="T5" s="748"/>
    </row>
    <row r="6" spans="1:20" s="762" customFormat="1" ht="13.5" thickBot="1">
      <c r="A6" s="761"/>
      <c r="B6" s="647"/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748"/>
      <c r="O6" s="648"/>
      <c r="P6" s="648"/>
      <c r="Q6" s="648"/>
      <c r="R6" s="748"/>
      <c r="S6" s="648"/>
      <c r="T6" s="648"/>
    </row>
    <row r="7" spans="1:20" s="762" customFormat="1" ht="12.75">
      <c r="A7" s="761"/>
      <c r="B7" s="1555" t="s">
        <v>419</v>
      </c>
      <c r="C7" s="1556"/>
      <c r="D7" s="763" t="s">
        <v>420</v>
      </c>
      <c r="E7" s="764"/>
      <c r="F7" s="764"/>
      <c r="G7" s="764"/>
      <c r="H7" s="765"/>
      <c r="I7" s="763" t="s">
        <v>421</v>
      </c>
      <c r="J7" s="764"/>
      <c r="K7" s="764"/>
      <c r="L7" s="764"/>
      <c r="M7" s="765"/>
      <c r="N7" s="748"/>
      <c r="O7" s="577" t="s">
        <v>191</v>
      </c>
      <c r="P7" s="578"/>
      <c r="Q7" s="579"/>
      <c r="R7" s="748"/>
      <c r="S7" s="577" t="s">
        <v>192</v>
      </c>
      <c r="T7" s="579"/>
    </row>
    <row r="8" spans="1:20" s="762" customFormat="1" ht="12.75">
      <c r="A8" s="761"/>
      <c r="B8" s="1557"/>
      <c r="C8" s="1558"/>
      <c r="D8" s="766" t="s">
        <v>79</v>
      </c>
      <c r="E8" s="631" t="s">
        <v>80</v>
      </c>
      <c r="F8" s="631" t="s">
        <v>81</v>
      </c>
      <c r="G8" s="631" t="s">
        <v>82</v>
      </c>
      <c r="H8" s="767" t="s">
        <v>44</v>
      </c>
      <c r="I8" s="766" t="s">
        <v>193</v>
      </c>
      <c r="J8" s="631" t="s">
        <v>194</v>
      </c>
      <c r="K8" s="631" t="s">
        <v>195</v>
      </c>
      <c r="L8" s="631" t="s">
        <v>196</v>
      </c>
      <c r="M8" s="767" t="s">
        <v>197</v>
      </c>
      <c r="N8" s="748"/>
      <c r="O8" s="582" t="s">
        <v>198</v>
      </c>
      <c r="P8" s="583" t="s">
        <v>199</v>
      </c>
      <c r="Q8" s="584" t="s">
        <v>200</v>
      </c>
      <c r="R8" s="748"/>
      <c r="S8" s="582" t="s">
        <v>199</v>
      </c>
      <c r="T8" s="584" t="s">
        <v>201</v>
      </c>
    </row>
    <row r="9" spans="1:20" s="762" customFormat="1" ht="12.75">
      <c r="A9" s="761"/>
      <c r="B9" s="1559"/>
      <c r="C9" s="1560"/>
      <c r="D9" s="766" t="s">
        <v>203</v>
      </c>
      <c r="E9" s="631" t="s">
        <v>203</v>
      </c>
      <c r="F9" s="631" t="s">
        <v>203</v>
      </c>
      <c r="G9" s="631" t="s">
        <v>203</v>
      </c>
      <c r="H9" s="767" t="s">
        <v>203</v>
      </c>
      <c r="I9" s="768" t="s">
        <v>203</v>
      </c>
      <c r="J9" s="631" t="s">
        <v>203</v>
      </c>
      <c r="K9" s="631" t="s">
        <v>203</v>
      </c>
      <c r="L9" s="631" t="s">
        <v>203</v>
      </c>
      <c r="M9" s="767" t="s">
        <v>203</v>
      </c>
      <c r="N9" s="647"/>
      <c r="O9" s="290"/>
      <c r="P9" s="291"/>
      <c r="Q9" s="292"/>
      <c r="R9" s="748"/>
      <c r="S9" s="769"/>
      <c r="T9" s="770"/>
    </row>
    <row r="10" spans="1:20" s="762" customFormat="1" ht="15" customHeight="1">
      <c r="A10" s="761"/>
      <c r="B10" s="1561" t="s">
        <v>422</v>
      </c>
      <c r="C10" s="771" t="s">
        <v>423</v>
      </c>
      <c r="D10" s="772">
        <v>0.29829754130088582</v>
      </c>
      <c r="E10" s="773">
        <v>0</v>
      </c>
      <c r="F10" s="773">
        <v>0.19930757130482524</v>
      </c>
      <c r="G10" s="773">
        <v>0.89307592869675823</v>
      </c>
      <c r="H10" s="774">
        <v>1.1117532404936123</v>
      </c>
      <c r="I10" s="772">
        <v>2.3315957022593938</v>
      </c>
      <c r="J10" s="773">
        <v>2.3858703688355409</v>
      </c>
      <c r="K10" s="773">
        <v>2.5898619825362434</v>
      </c>
      <c r="L10" s="773">
        <v>2.6870814154358671</v>
      </c>
      <c r="M10" s="774">
        <v>2.9234021642228014</v>
      </c>
      <c r="N10" s="647"/>
      <c r="O10" s="152">
        <f>SUM(D10:G10)</f>
        <v>1.3906810413024693</v>
      </c>
      <c r="P10" s="153">
        <f>H10</f>
        <v>1.1117532404936123</v>
      </c>
      <c r="Q10" s="154">
        <f>SUM(D10:H10)</f>
        <v>2.5024342817960816</v>
      </c>
      <c r="R10" s="748"/>
      <c r="S10" s="152">
        <f>SUM(I10:M10)</f>
        <v>12.917811633289846</v>
      </c>
      <c r="T10" s="156">
        <f>IF(Q10&lt;&gt;0,(S10-Q10)/Q10,"0")</f>
        <v>4.162098252593589</v>
      </c>
    </row>
    <row r="11" spans="1:20" s="762" customFormat="1" ht="15" customHeight="1">
      <c r="A11" s="761"/>
      <c r="B11" s="1562"/>
      <c r="C11" s="775" t="s">
        <v>424</v>
      </c>
      <c r="D11" s="776">
        <v>1.1931901652035435</v>
      </c>
      <c r="E11" s="777">
        <v>1.8921689777536406</v>
      </c>
      <c r="F11" s="777">
        <v>3.7868438547916794</v>
      </c>
      <c r="G11" s="777">
        <v>0.33490347326128433</v>
      </c>
      <c r="H11" s="778">
        <v>0.88940259239488995</v>
      </c>
      <c r="I11" s="776">
        <v>0.42392649131988985</v>
      </c>
      <c r="J11" s="777">
        <v>0.51866747148598735</v>
      </c>
      <c r="K11" s="777">
        <v>0.51797239650724869</v>
      </c>
      <c r="L11" s="777">
        <v>0.62009571125443097</v>
      </c>
      <c r="M11" s="778">
        <v>0.73085054105570035</v>
      </c>
      <c r="N11" s="647"/>
      <c r="O11" s="152">
        <f t="shared" ref="O11:O35" si="0">SUM(D11:G11)</f>
        <v>7.2071064710101478</v>
      </c>
      <c r="P11" s="153">
        <f t="shared" ref="P11:P35" si="1">H11</f>
        <v>0.88940259239488995</v>
      </c>
      <c r="Q11" s="154">
        <f>SUM(D11:H11)</f>
        <v>8.096509063405037</v>
      </c>
      <c r="R11" s="748"/>
      <c r="S11" s="152">
        <f>SUM(I11:M11)</f>
        <v>2.8115126116232574</v>
      </c>
      <c r="T11" s="156">
        <f>IF(Q11&lt;&gt;0,(S11-Q11)/Q11,"0")</f>
        <v>-0.65275001984116121</v>
      </c>
    </row>
    <row r="12" spans="1:20" s="762" customFormat="1" ht="15" customHeight="1">
      <c r="A12" s="761"/>
      <c r="B12" s="1562" t="s">
        <v>425</v>
      </c>
      <c r="C12" s="775" t="s">
        <v>423</v>
      </c>
      <c r="D12" s="776">
        <v>0</v>
      </c>
      <c r="E12" s="777">
        <v>0</v>
      </c>
      <c r="F12" s="777">
        <v>0</v>
      </c>
      <c r="G12" s="777">
        <v>0</v>
      </c>
      <c r="H12" s="778">
        <v>0</v>
      </c>
      <c r="I12" s="776">
        <v>0</v>
      </c>
      <c r="J12" s="777">
        <v>0</v>
      </c>
      <c r="K12" s="777">
        <v>0</v>
      </c>
      <c r="L12" s="777">
        <v>0</v>
      </c>
      <c r="M12" s="778">
        <v>0</v>
      </c>
      <c r="N12" s="647"/>
      <c r="O12" s="152">
        <f t="shared" si="0"/>
        <v>0</v>
      </c>
      <c r="P12" s="153">
        <f t="shared" si="1"/>
        <v>0</v>
      </c>
      <c r="Q12" s="154">
        <f t="shared" ref="Q12:Q35" si="2">SUM(D12:H12)</f>
        <v>0</v>
      </c>
      <c r="R12" s="748"/>
      <c r="S12" s="152">
        <f t="shared" ref="S12:S35" si="3">SUM(I12:M12)</f>
        <v>0</v>
      </c>
      <c r="T12" s="156" t="str">
        <f t="shared" ref="T12:T35" si="4">IF(Q12&lt;&gt;0,(S12-Q12)/Q12,"0")</f>
        <v>0</v>
      </c>
    </row>
    <row r="13" spans="1:20" s="762" customFormat="1" ht="15" customHeight="1">
      <c r="A13" s="761"/>
      <c r="B13" s="1562"/>
      <c r="C13" s="775" t="s">
        <v>424</v>
      </c>
      <c r="D13" s="776">
        <v>0</v>
      </c>
      <c r="E13" s="777">
        <v>0</v>
      </c>
      <c r="F13" s="777">
        <v>0</v>
      </c>
      <c r="G13" s="777">
        <v>0</v>
      </c>
      <c r="H13" s="778">
        <v>0</v>
      </c>
      <c r="I13" s="776">
        <v>0</v>
      </c>
      <c r="J13" s="777">
        <v>0</v>
      </c>
      <c r="K13" s="777">
        <v>0</v>
      </c>
      <c r="L13" s="777">
        <v>0</v>
      </c>
      <c r="M13" s="778">
        <v>0</v>
      </c>
      <c r="N13" s="647"/>
      <c r="O13" s="152">
        <f t="shared" si="0"/>
        <v>0</v>
      </c>
      <c r="P13" s="153">
        <f t="shared" si="1"/>
        <v>0</v>
      </c>
      <c r="Q13" s="154">
        <f t="shared" si="2"/>
        <v>0</v>
      </c>
      <c r="R13" s="748"/>
      <c r="S13" s="152">
        <f t="shared" si="3"/>
        <v>0</v>
      </c>
      <c r="T13" s="156" t="str">
        <f t="shared" si="4"/>
        <v>0</v>
      </c>
    </row>
    <row r="14" spans="1:20" s="762" customFormat="1" ht="15" customHeight="1">
      <c r="A14" s="761"/>
      <c r="B14" s="1554" t="s">
        <v>345</v>
      </c>
      <c r="C14" s="775" t="s">
        <v>426</v>
      </c>
      <c r="D14" s="776">
        <v>0</v>
      </c>
      <c r="E14" s="777">
        <v>0.59752704560641279</v>
      </c>
      <c r="F14" s="777">
        <v>0.59792271391447571</v>
      </c>
      <c r="G14" s="777">
        <v>1.5628828752193269</v>
      </c>
      <c r="H14" s="778">
        <v>1.7788051847897797</v>
      </c>
      <c r="I14" s="776">
        <v>2.8615038164092561</v>
      </c>
      <c r="J14" s="777">
        <v>3.0082713346187262</v>
      </c>
      <c r="K14" s="777">
        <v>3.3150233376463918</v>
      </c>
      <c r="L14" s="777">
        <v>3.5138756971084417</v>
      </c>
      <c r="M14" s="778">
        <v>3.7586599254293169</v>
      </c>
      <c r="N14" s="647"/>
      <c r="O14" s="152">
        <f t="shared" si="0"/>
        <v>2.7583326347402153</v>
      </c>
      <c r="P14" s="153">
        <f t="shared" si="1"/>
        <v>1.7788051847897797</v>
      </c>
      <c r="Q14" s="154">
        <f t="shared" si="2"/>
        <v>4.5371378195299954</v>
      </c>
      <c r="R14" s="748"/>
      <c r="S14" s="152">
        <f t="shared" si="3"/>
        <v>16.457334111212134</v>
      </c>
      <c r="T14" s="156">
        <f t="shared" si="4"/>
        <v>2.6272502105560811</v>
      </c>
    </row>
    <row r="15" spans="1:20" s="762" customFormat="1" ht="15" customHeight="1">
      <c r="A15" s="761"/>
      <c r="B15" s="1554"/>
      <c r="C15" s="775" t="s">
        <v>427</v>
      </c>
      <c r="D15" s="776">
        <v>1.5909202202713912</v>
      </c>
      <c r="E15" s="777">
        <v>1.9917568186880426</v>
      </c>
      <c r="F15" s="777">
        <v>5.4809582108826937</v>
      </c>
      <c r="G15" s="777">
        <v>4.6886486256579802</v>
      </c>
      <c r="H15" s="778">
        <v>5.7811168505667831</v>
      </c>
      <c r="I15" s="776">
        <v>4.9811362730087048</v>
      </c>
      <c r="J15" s="777">
        <v>6.1202761635346494</v>
      </c>
      <c r="K15" s="777">
        <v>7.4588025097043795</v>
      </c>
      <c r="L15" s="777">
        <v>8.6813399575620327</v>
      </c>
      <c r="M15" s="778">
        <v>10.231907574779804</v>
      </c>
      <c r="N15" s="647"/>
      <c r="O15" s="152">
        <f t="shared" si="0"/>
        <v>13.752283875500108</v>
      </c>
      <c r="P15" s="153">
        <f t="shared" si="1"/>
        <v>5.7811168505667831</v>
      </c>
      <c r="Q15" s="154">
        <f t="shared" si="2"/>
        <v>19.53340072606689</v>
      </c>
      <c r="R15" s="748"/>
      <c r="S15" s="152">
        <f t="shared" si="3"/>
        <v>37.473462478589568</v>
      </c>
      <c r="T15" s="156">
        <f t="shared" si="4"/>
        <v>0.91843002680951824</v>
      </c>
    </row>
    <row r="16" spans="1:20" s="762" customFormat="1" ht="15" customHeight="1">
      <c r="A16" s="761"/>
      <c r="B16" s="1554"/>
      <c r="C16" s="779" t="s">
        <v>428</v>
      </c>
      <c r="D16" s="776">
        <v>2.1875153028731629</v>
      </c>
      <c r="E16" s="777">
        <v>2.6888717052288578</v>
      </c>
      <c r="F16" s="777">
        <v>2.4913446413103153</v>
      </c>
      <c r="G16" s="777">
        <v>1.4512483841322323</v>
      </c>
      <c r="H16" s="778">
        <v>1.889980508839141</v>
      </c>
      <c r="I16" s="776">
        <v>2.1196324565994491</v>
      </c>
      <c r="J16" s="777">
        <v>2.1784033802411464</v>
      </c>
      <c r="K16" s="777">
        <v>2.1754840653304446</v>
      </c>
      <c r="L16" s="777">
        <v>2.2736842745995802</v>
      </c>
      <c r="M16" s="778">
        <v>2.4013660634687297</v>
      </c>
      <c r="N16" s="647"/>
      <c r="O16" s="152">
        <f t="shared" si="0"/>
        <v>8.8189800335445696</v>
      </c>
      <c r="P16" s="153">
        <f t="shared" si="1"/>
        <v>1.889980508839141</v>
      </c>
      <c r="Q16" s="154">
        <f t="shared" si="2"/>
        <v>10.708960542383711</v>
      </c>
      <c r="R16" s="748"/>
      <c r="S16" s="152">
        <f t="shared" si="3"/>
        <v>11.14857024023935</v>
      </c>
      <c r="T16" s="156">
        <f t="shared" si="4"/>
        <v>4.1050641293873522E-2</v>
      </c>
    </row>
    <row r="17" spans="1:20" s="762" customFormat="1" ht="15" customHeight="1">
      <c r="A17" s="761"/>
      <c r="B17" s="1554" t="s">
        <v>223</v>
      </c>
      <c r="C17" s="775" t="s">
        <v>429</v>
      </c>
      <c r="D17" s="776">
        <v>5.8665183122507543</v>
      </c>
      <c r="E17" s="777">
        <v>9.1620813659649958</v>
      </c>
      <c r="F17" s="777">
        <v>10.363993707850911</v>
      </c>
      <c r="G17" s="777">
        <v>12.503063001754613</v>
      </c>
      <c r="H17" s="778">
        <v>10.116954488491873</v>
      </c>
      <c r="I17" s="776">
        <v>9.9622725460174095</v>
      </c>
      <c r="J17" s="777">
        <v>9.0248140038561768</v>
      </c>
      <c r="K17" s="777">
        <v>8.3911528234174284</v>
      </c>
      <c r="L17" s="777">
        <v>7.8545456758894581</v>
      </c>
      <c r="M17" s="778">
        <v>7.4129126307078188</v>
      </c>
      <c r="N17" s="647"/>
      <c r="O17" s="152">
        <f t="shared" si="0"/>
        <v>37.895656387821276</v>
      </c>
      <c r="P17" s="153">
        <f t="shared" si="1"/>
        <v>10.116954488491873</v>
      </c>
      <c r="Q17" s="154">
        <f t="shared" si="2"/>
        <v>48.012610876313147</v>
      </c>
      <c r="R17" s="748"/>
      <c r="S17" s="152">
        <f t="shared" si="3"/>
        <v>42.645697679888301</v>
      </c>
      <c r="T17" s="156">
        <f t="shared" si="4"/>
        <v>-0.11178132366620776</v>
      </c>
    </row>
    <row r="18" spans="1:20" s="762" customFormat="1" ht="15" customHeight="1">
      <c r="A18" s="761"/>
      <c r="B18" s="1554"/>
      <c r="C18" s="775" t="s">
        <v>95</v>
      </c>
      <c r="D18" s="776">
        <v>1.1931901652035433</v>
      </c>
      <c r="E18" s="777">
        <v>1.4938176140160322</v>
      </c>
      <c r="F18" s="777">
        <v>4.6837279256633932</v>
      </c>
      <c r="G18" s="777">
        <v>1.1163449108709478</v>
      </c>
      <c r="H18" s="778">
        <v>1.4452792126416962</v>
      </c>
      <c r="I18" s="776">
        <v>0.8478529826397796</v>
      </c>
      <c r="J18" s="777">
        <v>1.0373349429719745</v>
      </c>
      <c r="K18" s="777">
        <v>1.4503227102202962</v>
      </c>
      <c r="L18" s="777">
        <v>1.5502392781360774</v>
      </c>
      <c r="M18" s="778">
        <v>1.6705155224130297</v>
      </c>
      <c r="N18" s="647"/>
      <c r="O18" s="152">
        <f t="shared" si="0"/>
        <v>8.487080615753916</v>
      </c>
      <c r="P18" s="153">
        <f t="shared" si="1"/>
        <v>1.4452792126416962</v>
      </c>
      <c r="Q18" s="154">
        <f t="shared" si="2"/>
        <v>9.9323598283956116</v>
      </c>
      <c r="R18" s="748"/>
      <c r="S18" s="152">
        <f t="shared" si="3"/>
        <v>6.5562654363811568</v>
      </c>
      <c r="T18" s="156">
        <f t="shared" si="4"/>
        <v>-0.33990858671496604</v>
      </c>
    </row>
    <row r="19" spans="1:20" s="762" customFormat="1" ht="15" customHeight="1">
      <c r="A19" s="761"/>
      <c r="B19" s="1554"/>
      <c r="C19" s="779" t="s">
        <v>430</v>
      </c>
      <c r="D19" s="776">
        <v>0</v>
      </c>
      <c r="E19" s="777">
        <v>0</v>
      </c>
      <c r="F19" s="777">
        <v>0</v>
      </c>
      <c r="G19" s="777">
        <v>0</v>
      </c>
      <c r="H19" s="778">
        <v>0</v>
      </c>
      <c r="I19" s="776">
        <v>0</v>
      </c>
      <c r="J19" s="777">
        <v>0</v>
      </c>
      <c r="K19" s="777">
        <v>0</v>
      </c>
      <c r="L19" s="777">
        <v>0</v>
      </c>
      <c r="M19" s="778">
        <v>0</v>
      </c>
      <c r="N19" s="647"/>
      <c r="O19" s="152">
        <f t="shared" si="0"/>
        <v>0</v>
      </c>
      <c r="P19" s="153">
        <f t="shared" si="1"/>
        <v>0</v>
      </c>
      <c r="Q19" s="154">
        <f t="shared" si="2"/>
        <v>0</v>
      </c>
      <c r="R19" s="748"/>
      <c r="S19" s="152">
        <f t="shared" si="3"/>
        <v>0</v>
      </c>
      <c r="T19" s="156" t="str">
        <f t="shared" si="4"/>
        <v>0</v>
      </c>
    </row>
    <row r="20" spans="1:20" s="762" customFormat="1" ht="15" customHeight="1">
      <c r="A20" s="761"/>
      <c r="B20" s="1554"/>
      <c r="C20" s="779" t="s">
        <v>428</v>
      </c>
      <c r="D20" s="776">
        <v>3.5795704956106302</v>
      </c>
      <c r="E20" s="777">
        <v>4.879804205785705</v>
      </c>
      <c r="F20" s="777">
        <v>4.1854589974013301</v>
      </c>
      <c r="G20" s="777">
        <v>4.8002831167450752</v>
      </c>
      <c r="H20" s="778">
        <v>4.7805389341225322</v>
      </c>
      <c r="I20" s="776">
        <v>5.7230076328185113</v>
      </c>
      <c r="J20" s="777">
        <v>7.1576111065066241</v>
      </c>
      <c r="K20" s="777">
        <v>7.8731804269101806</v>
      </c>
      <c r="L20" s="777">
        <v>6.511004968171525</v>
      </c>
      <c r="M20" s="778">
        <v>8.5613920523667755</v>
      </c>
      <c r="N20" s="647"/>
      <c r="O20" s="152">
        <f t="shared" si="0"/>
        <v>17.44511681554274</v>
      </c>
      <c r="P20" s="153">
        <f t="shared" si="1"/>
        <v>4.7805389341225322</v>
      </c>
      <c r="Q20" s="154">
        <f t="shared" si="2"/>
        <v>22.225655749665272</v>
      </c>
      <c r="R20" s="748"/>
      <c r="S20" s="152">
        <f t="shared" si="3"/>
        <v>35.826196186773622</v>
      </c>
      <c r="T20" s="156">
        <f t="shared" si="4"/>
        <v>0.61192977117506109</v>
      </c>
    </row>
    <row r="21" spans="1:20" s="762" customFormat="1" ht="15" customHeight="1">
      <c r="A21" s="761"/>
      <c r="B21" s="1554"/>
      <c r="C21" s="775" t="s">
        <v>431</v>
      </c>
      <c r="D21" s="776">
        <v>0.1988650275339239</v>
      </c>
      <c r="E21" s="777">
        <v>0.89629056840961918</v>
      </c>
      <c r="F21" s="777">
        <v>0.69757649956688828</v>
      </c>
      <c r="G21" s="777">
        <v>0.89307592869675811</v>
      </c>
      <c r="H21" s="778">
        <v>1.2229285645429737</v>
      </c>
      <c r="I21" s="776">
        <v>1.9076692109395044</v>
      </c>
      <c r="J21" s="777">
        <v>1.9709363916467515</v>
      </c>
      <c r="K21" s="777">
        <v>2.2790785446318944</v>
      </c>
      <c r="L21" s="777">
        <v>2.4803828450177234</v>
      </c>
      <c r="M21" s="778">
        <v>2.8189949440719873</v>
      </c>
      <c r="N21" s="647"/>
      <c r="O21" s="152">
        <f t="shared" si="0"/>
        <v>2.6858080242071893</v>
      </c>
      <c r="P21" s="153">
        <f t="shared" si="1"/>
        <v>1.2229285645429737</v>
      </c>
      <c r="Q21" s="154">
        <f t="shared" si="2"/>
        <v>3.9087365887501631</v>
      </c>
      <c r="R21" s="748"/>
      <c r="S21" s="152">
        <f t="shared" si="3"/>
        <v>11.457061936307861</v>
      </c>
      <c r="T21" s="156">
        <f t="shared" si="4"/>
        <v>1.9311419882533734</v>
      </c>
    </row>
    <row r="22" spans="1:20" s="762" customFormat="1" ht="15" customHeight="1">
      <c r="A22" s="761"/>
      <c r="B22" s="1554"/>
      <c r="C22" s="775" t="s">
        <v>432</v>
      </c>
      <c r="D22" s="776">
        <v>2.1875153028731629</v>
      </c>
      <c r="E22" s="777">
        <v>0.89629056840961918</v>
      </c>
      <c r="F22" s="777">
        <v>1.8934219273958397</v>
      </c>
      <c r="G22" s="777">
        <v>2.1210553306548006</v>
      </c>
      <c r="H22" s="778">
        <v>3.0017337493327538</v>
      </c>
      <c r="I22" s="776">
        <v>3.0734670620692013</v>
      </c>
      <c r="J22" s="777">
        <v>3.0082713346187262</v>
      </c>
      <c r="K22" s="777">
        <v>3.0042398997420423</v>
      </c>
      <c r="L22" s="777">
        <v>2.9971292710630824</v>
      </c>
      <c r="M22" s="778">
        <v>3.0278093843736156</v>
      </c>
      <c r="N22" s="647"/>
      <c r="O22" s="152">
        <f t="shared" si="0"/>
        <v>7.0982831293334216</v>
      </c>
      <c r="P22" s="153">
        <f t="shared" si="1"/>
        <v>3.0017337493327538</v>
      </c>
      <c r="Q22" s="154">
        <f t="shared" si="2"/>
        <v>10.100016878666175</v>
      </c>
      <c r="R22" s="748"/>
      <c r="S22" s="152">
        <f t="shared" si="3"/>
        <v>15.110916951866667</v>
      </c>
      <c r="T22" s="156">
        <f t="shared" si="4"/>
        <v>0.49612789101222177</v>
      </c>
    </row>
    <row r="23" spans="1:20" s="762" customFormat="1" ht="15" customHeight="1">
      <c r="A23" s="761"/>
      <c r="B23" s="1554" t="s">
        <v>402</v>
      </c>
      <c r="C23" s="775" t="s">
        <v>429</v>
      </c>
      <c r="D23" s="776">
        <v>0.39773005506784781</v>
      </c>
      <c r="E23" s="777">
        <v>9.9587840934402136E-2</v>
      </c>
      <c r="F23" s="777">
        <v>0</v>
      </c>
      <c r="G23" s="777">
        <v>2.4559588039160856</v>
      </c>
      <c r="H23" s="778">
        <v>0.44470129619744503</v>
      </c>
      <c r="I23" s="776">
        <v>0.42392649131988985</v>
      </c>
      <c r="J23" s="777">
        <v>4.0456062775907</v>
      </c>
      <c r="K23" s="777">
        <v>3.8329957341536405</v>
      </c>
      <c r="L23" s="777">
        <v>6.5110049681715232</v>
      </c>
      <c r="M23" s="778">
        <v>2.5057732836195439</v>
      </c>
      <c r="N23" s="647"/>
      <c r="O23" s="152">
        <f t="shared" si="0"/>
        <v>2.9532766999183355</v>
      </c>
      <c r="P23" s="153">
        <f t="shared" si="1"/>
        <v>0.44470129619744503</v>
      </c>
      <c r="Q23" s="154">
        <f t="shared" si="2"/>
        <v>3.3979779961157806</v>
      </c>
      <c r="R23" s="748"/>
      <c r="S23" s="152">
        <f t="shared" si="3"/>
        <v>17.319306754855297</v>
      </c>
      <c r="T23" s="156">
        <f t="shared" si="4"/>
        <v>4.096944940388946</v>
      </c>
    </row>
    <row r="24" spans="1:20" s="762" customFormat="1" ht="15" customHeight="1">
      <c r="A24" s="761"/>
      <c r="B24" s="1554"/>
      <c r="C24" s="775" t="s">
        <v>95</v>
      </c>
      <c r="D24" s="776">
        <v>0.79546011013569551</v>
      </c>
      <c r="E24" s="777">
        <v>1.0954662502784234</v>
      </c>
      <c r="F24" s="777">
        <v>1.1958454278289514</v>
      </c>
      <c r="G24" s="777">
        <v>0.11163449108709478</v>
      </c>
      <c r="H24" s="778">
        <v>0.11117532404936126</v>
      </c>
      <c r="I24" s="776">
        <v>3.0734670620692008</v>
      </c>
      <c r="J24" s="777">
        <v>1.5560024144579616</v>
      </c>
      <c r="K24" s="777">
        <v>0</v>
      </c>
      <c r="L24" s="777">
        <v>1.3435407077179335</v>
      </c>
      <c r="M24" s="778">
        <v>0.41762888060325742</v>
      </c>
      <c r="N24" s="647"/>
      <c r="O24" s="152">
        <f t="shared" si="0"/>
        <v>3.1984062793301655</v>
      </c>
      <c r="P24" s="153">
        <f t="shared" si="1"/>
        <v>0.11117532404936126</v>
      </c>
      <c r="Q24" s="154">
        <f t="shared" si="2"/>
        <v>3.3095816033795269</v>
      </c>
      <c r="R24" s="748"/>
      <c r="S24" s="152">
        <f t="shared" si="3"/>
        <v>6.3906390648483535</v>
      </c>
      <c r="T24" s="156">
        <f t="shared" si="4"/>
        <v>0.93095074565396829</v>
      </c>
    </row>
    <row r="25" spans="1:20" s="762" customFormat="1" ht="15" customHeight="1">
      <c r="A25" s="761"/>
      <c r="B25" s="1554"/>
      <c r="C25" s="775" t="s">
        <v>430</v>
      </c>
      <c r="D25" s="776">
        <v>0</v>
      </c>
      <c r="E25" s="777">
        <v>0</v>
      </c>
      <c r="F25" s="777">
        <v>0</v>
      </c>
      <c r="G25" s="777">
        <v>0</v>
      </c>
      <c r="H25" s="778">
        <v>0</v>
      </c>
      <c r="I25" s="776">
        <v>0</v>
      </c>
      <c r="J25" s="777">
        <v>0</v>
      </c>
      <c r="K25" s="777">
        <v>0</v>
      </c>
      <c r="L25" s="777">
        <v>0</v>
      </c>
      <c r="M25" s="778">
        <v>0</v>
      </c>
      <c r="N25" s="647"/>
      <c r="O25" s="152">
        <f t="shared" si="0"/>
        <v>0</v>
      </c>
      <c r="P25" s="153">
        <f t="shared" si="1"/>
        <v>0</v>
      </c>
      <c r="Q25" s="154">
        <f t="shared" si="2"/>
        <v>0</v>
      </c>
      <c r="R25" s="748"/>
      <c r="S25" s="152">
        <f t="shared" si="3"/>
        <v>0</v>
      </c>
      <c r="T25" s="156" t="str">
        <f t="shared" si="4"/>
        <v>0</v>
      </c>
    </row>
    <row r="26" spans="1:20" s="762" customFormat="1" ht="15" customHeight="1">
      <c r="A26" s="761"/>
      <c r="B26" s="1554"/>
      <c r="C26" s="775" t="s">
        <v>428</v>
      </c>
      <c r="D26" s="776">
        <v>0</v>
      </c>
      <c r="E26" s="777">
        <v>0.29876352280320639</v>
      </c>
      <c r="F26" s="777">
        <v>0</v>
      </c>
      <c r="G26" s="777">
        <v>2.6792277860902742</v>
      </c>
      <c r="H26" s="778">
        <v>0.88940259239489006</v>
      </c>
      <c r="I26" s="776">
        <v>1.483742719619614</v>
      </c>
      <c r="J26" s="777">
        <v>4.2530732661850958</v>
      </c>
      <c r="K26" s="777">
        <v>0.6215668758086984</v>
      </c>
      <c r="L26" s="777">
        <v>2.1703349893905082</v>
      </c>
      <c r="M26" s="778">
        <v>5.1159537873899028</v>
      </c>
      <c r="N26" s="647"/>
      <c r="O26" s="152">
        <f t="shared" si="0"/>
        <v>2.9779913088934808</v>
      </c>
      <c r="P26" s="153">
        <f t="shared" si="1"/>
        <v>0.88940259239489006</v>
      </c>
      <c r="Q26" s="154">
        <f t="shared" si="2"/>
        <v>3.8673939012883709</v>
      </c>
      <c r="R26" s="748"/>
      <c r="S26" s="152">
        <f t="shared" si="3"/>
        <v>13.64467163839382</v>
      </c>
      <c r="T26" s="156">
        <f t="shared" si="4"/>
        <v>2.5281308257346842</v>
      </c>
    </row>
    <row r="27" spans="1:20" s="762" customFormat="1" ht="15" customHeight="1">
      <c r="A27" s="761"/>
      <c r="B27" s="1554"/>
      <c r="C27" s="775" t="s">
        <v>431</v>
      </c>
      <c r="D27" s="776">
        <v>0.79546011013569562</v>
      </c>
      <c r="E27" s="777">
        <v>2.8880473870976617</v>
      </c>
      <c r="F27" s="777">
        <v>2.1923832843530775</v>
      </c>
      <c r="G27" s="777">
        <v>1.5628828752193269</v>
      </c>
      <c r="H27" s="778">
        <v>0.55587662024680617</v>
      </c>
      <c r="I27" s="776">
        <v>0.21196324565994493</v>
      </c>
      <c r="J27" s="777">
        <v>1.7634694030523566</v>
      </c>
      <c r="K27" s="777">
        <v>1.0359447930144974</v>
      </c>
      <c r="L27" s="777">
        <v>0.41339714083628726</v>
      </c>
      <c r="M27" s="778">
        <v>0.62644332090488597</v>
      </c>
      <c r="N27" s="647"/>
      <c r="O27" s="152">
        <f t="shared" si="0"/>
        <v>7.4387736568057612</v>
      </c>
      <c r="P27" s="153">
        <f t="shared" si="1"/>
        <v>0.55587662024680617</v>
      </c>
      <c r="Q27" s="154">
        <f t="shared" si="2"/>
        <v>7.9946502770525676</v>
      </c>
      <c r="R27" s="748"/>
      <c r="S27" s="152">
        <f t="shared" si="3"/>
        <v>4.0512179034679718</v>
      </c>
      <c r="T27" s="156">
        <f t="shared" si="4"/>
        <v>-0.49325889650278021</v>
      </c>
    </row>
    <row r="28" spans="1:20" s="762" customFormat="1" ht="15" customHeight="1">
      <c r="A28" s="761"/>
      <c r="B28" s="1554"/>
      <c r="C28" s="779" t="s">
        <v>432</v>
      </c>
      <c r="D28" s="776">
        <v>1.8892177615722769</v>
      </c>
      <c r="E28" s="777">
        <v>0.79670272747521709</v>
      </c>
      <c r="F28" s="777">
        <v>1.2954992134813641</v>
      </c>
      <c r="G28" s="777">
        <v>2.3443243128289906</v>
      </c>
      <c r="H28" s="778">
        <v>2.0011558328885024</v>
      </c>
      <c r="I28" s="776">
        <v>1.1657978511296969</v>
      </c>
      <c r="J28" s="777">
        <v>0.72613446008038218</v>
      </c>
      <c r="K28" s="777">
        <v>0.51797239650724869</v>
      </c>
      <c r="L28" s="777">
        <v>0.72344499646350269</v>
      </c>
      <c r="M28" s="778">
        <v>2.6101805037703589</v>
      </c>
      <c r="N28" s="647"/>
      <c r="O28" s="152">
        <f t="shared" si="0"/>
        <v>6.3257440153578486</v>
      </c>
      <c r="P28" s="153">
        <f t="shared" si="1"/>
        <v>2.0011558328885024</v>
      </c>
      <c r="Q28" s="154">
        <f t="shared" si="2"/>
        <v>8.3268998482463505</v>
      </c>
      <c r="R28" s="748"/>
      <c r="S28" s="152">
        <f t="shared" si="3"/>
        <v>5.7435302079511894</v>
      </c>
      <c r="T28" s="156">
        <f t="shared" si="4"/>
        <v>-0.31024387075331766</v>
      </c>
    </row>
    <row r="29" spans="1:20" s="762" customFormat="1" ht="15" customHeight="1">
      <c r="A29" s="761"/>
      <c r="B29" s="1554" t="s">
        <v>401</v>
      </c>
      <c r="C29" s="775" t="s">
        <v>429</v>
      </c>
      <c r="D29" s="776">
        <v>9.9432513766961952E-2</v>
      </c>
      <c r="E29" s="777">
        <v>4.5810406829824979</v>
      </c>
      <c r="F29" s="777">
        <v>6.9757649956688832</v>
      </c>
      <c r="G29" s="777">
        <v>12.503063001754615</v>
      </c>
      <c r="H29" s="778">
        <v>6.2258181467642295</v>
      </c>
      <c r="I29" s="776">
        <v>4.4512281588588438</v>
      </c>
      <c r="J29" s="777">
        <v>3.8381392889963055</v>
      </c>
      <c r="K29" s="777">
        <v>4.868940527168137</v>
      </c>
      <c r="L29" s="777">
        <v>4.2373206935719443</v>
      </c>
      <c r="M29" s="778">
        <v>2.0881444030162868</v>
      </c>
      <c r="N29" s="647"/>
      <c r="O29" s="152">
        <f t="shared" si="0"/>
        <v>24.159301194172958</v>
      </c>
      <c r="P29" s="153">
        <f t="shared" si="1"/>
        <v>6.2258181467642295</v>
      </c>
      <c r="Q29" s="154">
        <f t="shared" si="2"/>
        <v>30.385119340937187</v>
      </c>
      <c r="R29" s="748"/>
      <c r="S29" s="152">
        <f t="shared" si="3"/>
        <v>19.483773071611516</v>
      </c>
      <c r="T29" s="156">
        <f t="shared" si="4"/>
        <v>-0.35877253424634514</v>
      </c>
    </row>
    <row r="30" spans="1:20" s="762" customFormat="1" ht="15" customHeight="1">
      <c r="A30" s="761"/>
      <c r="B30" s="1554"/>
      <c r="C30" s="775" t="s">
        <v>95</v>
      </c>
      <c r="D30" s="776">
        <v>6.363680881085565</v>
      </c>
      <c r="E30" s="777">
        <v>9.8591962525058108</v>
      </c>
      <c r="F30" s="777">
        <v>3.9861514260965047</v>
      </c>
      <c r="G30" s="777">
        <v>0.11163449108709478</v>
      </c>
      <c r="H30" s="778">
        <v>1.4452792126416962</v>
      </c>
      <c r="I30" s="776">
        <v>6.6768422382882644</v>
      </c>
      <c r="J30" s="777">
        <v>0</v>
      </c>
      <c r="K30" s="777">
        <v>4.1437791720579895</v>
      </c>
      <c r="L30" s="777">
        <v>8.8880385279801768</v>
      </c>
      <c r="M30" s="778">
        <v>13.781753059907492</v>
      </c>
      <c r="N30" s="647"/>
      <c r="O30" s="152">
        <f t="shared" si="0"/>
        <v>20.320663050774975</v>
      </c>
      <c r="P30" s="153">
        <f t="shared" si="1"/>
        <v>1.4452792126416962</v>
      </c>
      <c r="Q30" s="154">
        <f t="shared" si="2"/>
        <v>21.765942263416672</v>
      </c>
      <c r="R30" s="748"/>
      <c r="S30" s="152">
        <f t="shared" si="3"/>
        <v>33.490412998233921</v>
      </c>
      <c r="T30" s="156">
        <f t="shared" si="4"/>
        <v>0.53866129905725568</v>
      </c>
    </row>
    <row r="31" spans="1:20" s="762" customFormat="1" ht="15" customHeight="1">
      <c r="A31" s="761"/>
      <c r="B31" s="1554"/>
      <c r="C31" s="779" t="s">
        <v>433</v>
      </c>
      <c r="D31" s="776">
        <v>0</v>
      </c>
      <c r="E31" s="777">
        <v>0</v>
      </c>
      <c r="F31" s="777">
        <v>0</v>
      </c>
      <c r="G31" s="777">
        <v>0</v>
      </c>
      <c r="H31" s="778">
        <v>0</v>
      </c>
      <c r="I31" s="776">
        <v>0</v>
      </c>
      <c r="J31" s="777">
        <v>0</v>
      </c>
      <c r="K31" s="777">
        <v>0</v>
      </c>
      <c r="L31" s="777">
        <v>0</v>
      </c>
      <c r="M31" s="778">
        <v>0</v>
      </c>
      <c r="N31" s="647"/>
      <c r="O31" s="152">
        <f t="shared" si="0"/>
        <v>0</v>
      </c>
      <c r="P31" s="153">
        <f t="shared" si="1"/>
        <v>0</v>
      </c>
      <c r="Q31" s="154">
        <f t="shared" si="2"/>
        <v>0</v>
      </c>
      <c r="R31" s="748"/>
      <c r="S31" s="152">
        <f t="shared" si="3"/>
        <v>0</v>
      </c>
      <c r="T31" s="156" t="str">
        <f t="shared" si="4"/>
        <v>0</v>
      </c>
    </row>
    <row r="32" spans="1:20" s="762" customFormat="1" ht="15" customHeight="1">
      <c r="A32" s="761"/>
      <c r="B32" s="1554"/>
      <c r="C32" s="779" t="s">
        <v>428</v>
      </c>
      <c r="D32" s="776">
        <v>9.7443863491622711</v>
      </c>
      <c r="E32" s="777">
        <v>3.0872230689664661</v>
      </c>
      <c r="F32" s="777">
        <v>11.858800492637101</v>
      </c>
      <c r="G32" s="777">
        <v>8.372586831532109</v>
      </c>
      <c r="H32" s="778">
        <v>0.33352597214808372</v>
      </c>
      <c r="I32" s="776">
        <v>8.1605849579078793</v>
      </c>
      <c r="J32" s="777">
        <v>7.157611106506625</v>
      </c>
      <c r="K32" s="777">
        <v>12.949309912681217</v>
      </c>
      <c r="L32" s="777">
        <v>10.644976376534398</v>
      </c>
      <c r="M32" s="778">
        <v>8.2481703919143321</v>
      </c>
      <c r="N32" s="647"/>
      <c r="O32" s="152">
        <f t="shared" si="0"/>
        <v>33.062996742297948</v>
      </c>
      <c r="P32" s="153">
        <f t="shared" si="1"/>
        <v>0.33352597214808372</v>
      </c>
      <c r="Q32" s="154">
        <f t="shared" si="2"/>
        <v>33.396522714446029</v>
      </c>
      <c r="R32" s="748"/>
      <c r="S32" s="152">
        <f t="shared" si="3"/>
        <v>47.160652745544454</v>
      </c>
      <c r="T32" s="156">
        <f t="shared" si="4"/>
        <v>0.41214260983957474</v>
      </c>
    </row>
    <row r="33" spans="1:20" s="762" customFormat="1" ht="15" customHeight="1">
      <c r="A33" s="761"/>
      <c r="B33" s="1554"/>
      <c r="C33" s="779" t="s">
        <v>431</v>
      </c>
      <c r="D33" s="776">
        <v>1.590920220271391</v>
      </c>
      <c r="E33" s="777">
        <v>8.6641421612929861</v>
      </c>
      <c r="F33" s="777">
        <v>2.8899597839199656</v>
      </c>
      <c r="G33" s="777">
        <v>1.3396138930451373</v>
      </c>
      <c r="H33" s="778">
        <v>0.55587662024680617</v>
      </c>
      <c r="I33" s="776">
        <v>2.6495405707493114</v>
      </c>
      <c r="J33" s="777">
        <v>8.0912125551814018</v>
      </c>
      <c r="K33" s="777">
        <v>10.359447930144972</v>
      </c>
      <c r="L33" s="777">
        <v>4.5473685491991596</v>
      </c>
      <c r="M33" s="778">
        <v>2.6101805037703585</v>
      </c>
      <c r="N33" s="647"/>
      <c r="O33" s="152">
        <f t="shared" si="0"/>
        <v>14.484636058529478</v>
      </c>
      <c r="P33" s="153">
        <f t="shared" si="1"/>
        <v>0.55587662024680617</v>
      </c>
      <c r="Q33" s="154">
        <f t="shared" si="2"/>
        <v>15.040512678776285</v>
      </c>
      <c r="R33" s="748"/>
      <c r="S33" s="152">
        <f t="shared" si="3"/>
        <v>28.257750109045201</v>
      </c>
      <c r="T33" s="156">
        <f t="shared" si="4"/>
        <v>0.87877572477431587</v>
      </c>
    </row>
    <row r="34" spans="1:20" s="762" customFormat="1" ht="15" customHeight="1">
      <c r="A34" s="761"/>
      <c r="B34" s="1554"/>
      <c r="C34" s="779" t="s">
        <v>432</v>
      </c>
      <c r="D34" s="776">
        <v>0.29829754130088582</v>
      </c>
      <c r="E34" s="777">
        <v>1.6929932958848362</v>
      </c>
      <c r="F34" s="777">
        <v>0</v>
      </c>
      <c r="G34" s="777">
        <v>0</v>
      </c>
      <c r="H34" s="778">
        <v>0</v>
      </c>
      <c r="I34" s="776">
        <v>1.1697794739596694</v>
      </c>
      <c r="J34" s="777">
        <v>0.67713446008038214</v>
      </c>
      <c r="K34" s="777">
        <v>0.48297239650724866</v>
      </c>
      <c r="L34" s="777">
        <v>0.77079428167257447</v>
      </c>
      <c r="M34" s="778">
        <v>0.48203610075407166</v>
      </c>
      <c r="N34" s="647"/>
      <c r="O34" s="152">
        <f t="shared" si="0"/>
        <v>1.9912908371857219</v>
      </c>
      <c r="P34" s="153">
        <f t="shared" si="1"/>
        <v>0</v>
      </c>
      <c r="Q34" s="154">
        <f t="shared" si="2"/>
        <v>1.9912908371857219</v>
      </c>
      <c r="R34" s="748"/>
      <c r="S34" s="152">
        <f t="shared" si="3"/>
        <v>3.5827167129739466</v>
      </c>
      <c r="T34" s="156">
        <f t="shared" si="4"/>
        <v>0.79919308926132371</v>
      </c>
    </row>
    <row r="35" spans="1:20" s="762" customFormat="1" ht="15" customHeight="1" thickBot="1">
      <c r="A35" s="761"/>
      <c r="B35" s="1563" t="s">
        <v>434</v>
      </c>
      <c r="C35" s="1564"/>
      <c r="D35" s="780">
        <v>40.270168075619587</v>
      </c>
      <c r="E35" s="781">
        <v>57.561772060084429</v>
      </c>
      <c r="F35" s="781">
        <v>64.774960674068197</v>
      </c>
      <c r="G35" s="781">
        <v>61.845508062250516</v>
      </c>
      <c r="H35" s="782">
        <v>44.581304943793853</v>
      </c>
      <c r="I35" s="780">
        <v>63.69893694364341</v>
      </c>
      <c r="J35" s="781">
        <v>68.51883973044751</v>
      </c>
      <c r="K35" s="781">
        <v>77.868048434690195</v>
      </c>
      <c r="L35" s="781">
        <v>79.419600325776244</v>
      </c>
      <c r="M35" s="782">
        <v>82.024075038540076</v>
      </c>
      <c r="N35" s="647"/>
      <c r="O35" s="172">
        <f t="shared" si="0"/>
        <v>224.45240887202272</v>
      </c>
      <c r="P35" s="173">
        <f t="shared" si="1"/>
        <v>44.581304943793853</v>
      </c>
      <c r="Q35" s="174">
        <f t="shared" si="2"/>
        <v>269.03371381581655</v>
      </c>
      <c r="R35" s="748"/>
      <c r="S35" s="172">
        <f t="shared" si="3"/>
        <v>371.52950047309741</v>
      </c>
      <c r="T35" s="175">
        <f t="shared" si="4"/>
        <v>0.3809774812366104</v>
      </c>
    </row>
    <row r="36" spans="1:20" s="762" customFormat="1" ht="12.75">
      <c r="A36" s="761"/>
      <c r="B36" s="783"/>
      <c r="C36" s="783"/>
      <c r="D36" s="784"/>
      <c r="E36" s="784"/>
      <c r="F36" s="784"/>
      <c r="G36" s="784"/>
      <c r="H36" s="784"/>
      <c r="I36" s="784"/>
      <c r="J36" s="784"/>
      <c r="K36" s="784"/>
      <c r="L36" s="784"/>
      <c r="M36" s="784"/>
      <c r="N36" s="647"/>
      <c r="O36" s="647"/>
      <c r="P36" s="647"/>
      <c r="Q36" s="647"/>
    </row>
    <row r="37" spans="1:20" s="762" customFormat="1" ht="12.75">
      <c r="A37" s="761"/>
      <c r="B37" s="647"/>
      <c r="C37" s="647"/>
      <c r="D37" s="647"/>
      <c r="E37" s="647"/>
      <c r="F37" s="647"/>
      <c r="G37" s="647"/>
      <c r="H37" s="647"/>
      <c r="I37" s="647"/>
      <c r="J37" s="647"/>
      <c r="K37" s="647"/>
      <c r="L37" s="647"/>
      <c r="M37" s="647"/>
      <c r="N37" s="647"/>
      <c r="O37" s="647"/>
      <c r="P37" s="647"/>
      <c r="Q37" s="647"/>
    </row>
    <row r="38" spans="1:20" s="762" customFormat="1" ht="12.75">
      <c r="A38" s="761"/>
      <c r="B38" s="760" t="s">
        <v>435</v>
      </c>
      <c r="C38" s="647"/>
      <c r="D38" s="647"/>
      <c r="E38" s="647"/>
      <c r="F38" s="647"/>
      <c r="G38" s="647"/>
      <c r="H38" s="647"/>
      <c r="I38" s="647"/>
      <c r="J38" s="647"/>
      <c r="K38" s="647"/>
      <c r="L38" s="647"/>
      <c r="M38" s="647"/>
      <c r="O38" s="647"/>
      <c r="P38" s="647"/>
      <c r="Q38" s="647"/>
    </row>
    <row r="39" spans="1:20" s="762" customFormat="1" ht="13.5" thickBot="1">
      <c r="A39" s="761"/>
      <c r="B39" s="647"/>
      <c r="C39" s="647"/>
      <c r="D39" s="647"/>
      <c r="E39" s="647"/>
      <c r="F39" s="647"/>
      <c r="G39" s="647"/>
      <c r="H39" s="647"/>
      <c r="I39" s="647"/>
      <c r="J39" s="647"/>
      <c r="K39" s="647"/>
      <c r="L39" s="647"/>
      <c r="M39" s="647"/>
      <c r="N39" s="748"/>
      <c r="O39" s="647"/>
      <c r="P39" s="647"/>
      <c r="Q39" s="647"/>
    </row>
    <row r="40" spans="1:20" s="762" customFormat="1" ht="12.75">
      <c r="A40" s="761"/>
      <c r="B40" s="1555" t="s">
        <v>419</v>
      </c>
      <c r="C40" s="1556"/>
      <c r="D40" s="764" t="s">
        <v>420</v>
      </c>
      <c r="E40" s="764"/>
      <c r="F40" s="764"/>
      <c r="G40" s="764"/>
      <c r="H40" s="765"/>
      <c r="I40" s="763" t="s">
        <v>421</v>
      </c>
      <c r="J40" s="764"/>
      <c r="K40" s="764"/>
      <c r="L40" s="764"/>
      <c r="M40" s="765"/>
      <c r="N40" s="748"/>
      <c r="O40" s="577" t="s">
        <v>191</v>
      </c>
      <c r="P40" s="578"/>
      <c r="Q40" s="579"/>
      <c r="R40" s="748"/>
      <c r="S40" s="577" t="s">
        <v>192</v>
      </c>
      <c r="T40" s="579"/>
    </row>
    <row r="41" spans="1:20" s="762" customFormat="1" ht="12.75">
      <c r="A41" s="761"/>
      <c r="B41" s="1557"/>
      <c r="C41" s="1558"/>
      <c r="D41" s="768" t="s">
        <v>79</v>
      </c>
      <c r="E41" s="631" t="s">
        <v>80</v>
      </c>
      <c r="F41" s="631" t="s">
        <v>81</v>
      </c>
      <c r="G41" s="631" t="s">
        <v>82</v>
      </c>
      <c r="H41" s="767" t="s">
        <v>44</v>
      </c>
      <c r="I41" s="766" t="s">
        <v>193</v>
      </c>
      <c r="J41" s="631" t="s">
        <v>194</v>
      </c>
      <c r="K41" s="631" t="s">
        <v>195</v>
      </c>
      <c r="L41" s="631" t="s">
        <v>196</v>
      </c>
      <c r="M41" s="767" t="s">
        <v>197</v>
      </c>
      <c r="N41" s="748"/>
      <c r="O41" s="582" t="s">
        <v>198</v>
      </c>
      <c r="P41" s="583" t="s">
        <v>199</v>
      </c>
      <c r="Q41" s="584" t="s">
        <v>200</v>
      </c>
      <c r="R41" s="748"/>
      <c r="S41" s="582" t="s">
        <v>199</v>
      </c>
      <c r="T41" s="584" t="s">
        <v>201</v>
      </c>
    </row>
    <row r="42" spans="1:20" s="762" customFormat="1" ht="12.75">
      <c r="A42" s="761"/>
      <c r="B42" s="1559"/>
      <c r="C42" s="1560"/>
      <c r="D42" s="768" t="s">
        <v>203</v>
      </c>
      <c r="E42" s="631" t="s">
        <v>203</v>
      </c>
      <c r="F42" s="631" t="s">
        <v>203</v>
      </c>
      <c r="G42" s="631" t="s">
        <v>203</v>
      </c>
      <c r="H42" s="767" t="s">
        <v>203</v>
      </c>
      <c r="I42" s="768" t="s">
        <v>203</v>
      </c>
      <c r="J42" s="631" t="s">
        <v>203</v>
      </c>
      <c r="K42" s="631" t="s">
        <v>203</v>
      </c>
      <c r="L42" s="631" t="s">
        <v>203</v>
      </c>
      <c r="M42" s="767" t="s">
        <v>203</v>
      </c>
      <c r="N42" s="647"/>
      <c r="O42" s="290"/>
      <c r="P42" s="291"/>
      <c r="Q42" s="292"/>
      <c r="R42" s="748"/>
      <c r="S42" s="769"/>
      <c r="T42" s="770"/>
    </row>
    <row r="43" spans="1:20" s="762" customFormat="1" ht="15" customHeight="1">
      <c r="A43" s="761"/>
      <c r="B43" s="1561" t="s">
        <v>422</v>
      </c>
      <c r="C43" s="771" t="s">
        <v>423</v>
      </c>
      <c r="D43" s="785">
        <v>0.29829754130088582</v>
      </c>
      <c r="E43" s="785">
        <v>0</v>
      </c>
      <c r="F43" s="785">
        <v>0.19930757130482524</v>
      </c>
      <c r="G43" s="785">
        <v>0.89307592869675823</v>
      </c>
      <c r="H43" s="786">
        <v>1.1117532404936123</v>
      </c>
      <c r="I43" s="787">
        <v>2.3315957022593938</v>
      </c>
      <c r="J43" s="788">
        <v>2.3858703688355409</v>
      </c>
      <c r="K43" s="788">
        <v>2.5898619825362434</v>
      </c>
      <c r="L43" s="788">
        <v>2.6870814154358671</v>
      </c>
      <c r="M43" s="789">
        <v>2.9234021642228014</v>
      </c>
      <c r="N43" s="647"/>
      <c r="O43" s="152">
        <f t="shared" ref="O43:O68" si="5">SUM(D43:G43)</f>
        <v>1.3906810413024693</v>
      </c>
      <c r="P43" s="153">
        <f t="shared" ref="P43:P68" si="6">H43</f>
        <v>1.1117532404936123</v>
      </c>
      <c r="Q43" s="154">
        <f t="shared" ref="Q43:Q68" si="7">SUM(D43:H43)</f>
        <v>2.5024342817960816</v>
      </c>
      <c r="R43" s="748"/>
      <c r="S43" s="152">
        <f t="shared" ref="S43:S68" si="8">SUM(I43:M43)</f>
        <v>12.917811633289846</v>
      </c>
      <c r="T43" s="156">
        <f t="shared" ref="T43:T68" si="9">IF(Q43&lt;&gt;0,(S43-Q43)/Q43,"0")</f>
        <v>4.162098252593589</v>
      </c>
    </row>
    <row r="44" spans="1:20" s="762" customFormat="1" ht="15" customHeight="1">
      <c r="A44" s="761"/>
      <c r="B44" s="1562"/>
      <c r="C44" s="775" t="s">
        <v>424</v>
      </c>
      <c r="D44" s="790">
        <v>1.0937576514365814</v>
      </c>
      <c r="E44" s="790">
        <v>1.7925811368192384</v>
      </c>
      <c r="F44" s="790">
        <v>3.587536283486854</v>
      </c>
      <c r="G44" s="790">
        <v>0.22326898217418956</v>
      </c>
      <c r="H44" s="791">
        <v>0.77822726834552869</v>
      </c>
      <c r="I44" s="792">
        <v>0.31794486848991738</v>
      </c>
      <c r="J44" s="793">
        <v>0.41493397718878988</v>
      </c>
      <c r="K44" s="793">
        <v>0.41437791720579897</v>
      </c>
      <c r="L44" s="793">
        <v>0.51674642604535914</v>
      </c>
      <c r="M44" s="794">
        <v>0.62644332090488597</v>
      </c>
      <c r="N44" s="647"/>
      <c r="O44" s="152">
        <f t="shared" si="5"/>
        <v>6.6971440539168636</v>
      </c>
      <c r="P44" s="153">
        <f t="shared" si="6"/>
        <v>0.77822726834552869</v>
      </c>
      <c r="Q44" s="154">
        <f t="shared" si="7"/>
        <v>7.4753713222623919</v>
      </c>
      <c r="R44" s="748"/>
      <c r="S44" s="152">
        <f t="shared" si="8"/>
        <v>2.2904465098347515</v>
      </c>
      <c r="T44" s="156">
        <f t="shared" si="9"/>
        <v>-0.69360097163152601</v>
      </c>
    </row>
    <row r="45" spans="1:20" s="762" customFormat="1" ht="15" customHeight="1">
      <c r="A45" s="761"/>
      <c r="B45" s="1562" t="s">
        <v>425</v>
      </c>
      <c r="C45" s="775" t="s">
        <v>423</v>
      </c>
      <c r="D45" s="790">
        <v>0</v>
      </c>
      <c r="E45" s="790">
        <v>0</v>
      </c>
      <c r="F45" s="790">
        <v>0</v>
      </c>
      <c r="G45" s="790">
        <v>0</v>
      </c>
      <c r="H45" s="791">
        <v>0</v>
      </c>
      <c r="I45" s="792">
        <v>0</v>
      </c>
      <c r="J45" s="793">
        <v>0</v>
      </c>
      <c r="K45" s="793">
        <v>0</v>
      </c>
      <c r="L45" s="793">
        <v>0</v>
      </c>
      <c r="M45" s="794">
        <v>0</v>
      </c>
      <c r="N45" s="647"/>
      <c r="O45" s="152">
        <f t="shared" si="5"/>
        <v>0</v>
      </c>
      <c r="P45" s="153">
        <f t="shared" si="6"/>
        <v>0</v>
      </c>
      <c r="Q45" s="154">
        <f t="shared" si="7"/>
        <v>0</v>
      </c>
      <c r="R45" s="748"/>
      <c r="S45" s="152">
        <f t="shared" si="8"/>
        <v>0</v>
      </c>
      <c r="T45" s="156" t="str">
        <f t="shared" si="9"/>
        <v>0</v>
      </c>
    </row>
    <row r="46" spans="1:20" s="762" customFormat="1" ht="15" customHeight="1">
      <c r="A46" s="761"/>
      <c r="B46" s="1562"/>
      <c r="C46" s="775" t="s">
        <v>424</v>
      </c>
      <c r="D46" s="790">
        <v>0</v>
      </c>
      <c r="E46" s="793">
        <v>0</v>
      </c>
      <c r="F46" s="793">
        <v>0</v>
      </c>
      <c r="G46" s="793">
        <v>0</v>
      </c>
      <c r="H46" s="794">
        <v>0</v>
      </c>
      <c r="I46" s="792">
        <v>0</v>
      </c>
      <c r="J46" s="793">
        <v>0</v>
      </c>
      <c r="K46" s="793">
        <v>0</v>
      </c>
      <c r="L46" s="793">
        <v>0</v>
      </c>
      <c r="M46" s="794">
        <v>0</v>
      </c>
      <c r="N46" s="647"/>
      <c r="O46" s="152">
        <f t="shared" si="5"/>
        <v>0</v>
      </c>
      <c r="P46" s="153">
        <f t="shared" si="6"/>
        <v>0</v>
      </c>
      <c r="Q46" s="154">
        <f t="shared" si="7"/>
        <v>0</v>
      </c>
      <c r="R46" s="748"/>
      <c r="S46" s="152">
        <f t="shared" si="8"/>
        <v>0</v>
      </c>
      <c r="T46" s="156" t="str">
        <f t="shared" si="9"/>
        <v>0</v>
      </c>
    </row>
    <row r="47" spans="1:20" s="762" customFormat="1" ht="15" customHeight="1">
      <c r="A47" s="761"/>
      <c r="B47" s="1554" t="s">
        <v>345</v>
      </c>
      <c r="C47" s="775" t="s">
        <v>426</v>
      </c>
      <c r="D47" s="795">
        <v>0</v>
      </c>
      <c r="E47" s="796">
        <v>0.59752704560641279</v>
      </c>
      <c r="F47" s="796">
        <v>0.59792271391447571</v>
      </c>
      <c r="G47" s="796">
        <v>1.5628828752193269</v>
      </c>
      <c r="H47" s="797">
        <v>1.7788051847897797</v>
      </c>
      <c r="I47" s="798">
        <v>2.8615038164092561</v>
      </c>
      <c r="J47" s="796">
        <v>3.0082713346187262</v>
      </c>
      <c r="K47" s="796">
        <v>3.3150233376463918</v>
      </c>
      <c r="L47" s="796">
        <v>3.5138756971084417</v>
      </c>
      <c r="M47" s="797">
        <v>3.7586599254293169</v>
      </c>
      <c r="N47" s="647"/>
      <c r="O47" s="152">
        <f t="shared" si="5"/>
        <v>2.7583326347402153</v>
      </c>
      <c r="P47" s="153">
        <f t="shared" si="6"/>
        <v>1.7788051847897797</v>
      </c>
      <c r="Q47" s="154">
        <f t="shared" si="7"/>
        <v>4.5371378195299954</v>
      </c>
      <c r="R47" s="748"/>
      <c r="S47" s="152">
        <f t="shared" si="8"/>
        <v>16.457334111212134</v>
      </c>
      <c r="T47" s="156">
        <f t="shared" si="9"/>
        <v>2.6272502105560811</v>
      </c>
    </row>
    <row r="48" spans="1:20" s="762" customFormat="1" ht="15" customHeight="1">
      <c r="A48" s="761"/>
      <c r="B48" s="1554"/>
      <c r="C48" s="775" t="s">
        <v>427</v>
      </c>
      <c r="D48" s="790">
        <v>1.5909202202713912</v>
      </c>
      <c r="E48" s="793">
        <v>1.9917568186880426</v>
      </c>
      <c r="F48" s="793">
        <v>5.3813044252302813</v>
      </c>
      <c r="G48" s="793">
        <v>4.5770141345708852</v>
      </c>
      <c r="H48" s="794">
        <v>5.6699415265174222</v>
      </c>
      <c r="I48" s="792">
        <v>4.8751546501787324</v>
      </c>
      <c r="J48" s="793">
        <v>6.0165426692374524</v>
      </c>
      <c r="K48" s="793">
        <v>7.3552080304029301</v>
      </c>
      <c r="L48" s="793">
        <v>8.5779906723529606</v>
      </c>
      <c r="M48" s="794">
        <v>10.127500354628989</v>
      </c>
      <c r="N48" s="799"/>
      <c r="O48" s="152">
        <f t="shared" si="5"/>
        <v>13.540995598760599</v>
      </c>
      <c r="P48" s="153">
        <f t="shared" si="6"/>
        <v>5.6699415265174222</v>
      </c>
      <c r="Q48" s="154">
        <f t="shared" si="7"/>
        <v>19.210937125278022</v>
      </c>
      <c r="R48" s="748"/>
      <c r="S48" s="152">
        <f t="shared" si="8"/>
        <v>36.952396376801062</v>
      </c>
      <c r="T48" s="156">
        <f t="shared" si="9"/>
        <v>0.92350826697457555</v>
      </c>
    </row>
    <row r="49" spans="1:20" s="762" customFormat="1" ht="15" customHeight="1">
      <c r="A49" s="761"/>
      <c r="B49" s="1554"/>
      <c r="C49" s="779" t="s">
        <v>428</v>
      </c>
      <c r="D49" s="790">
        <v>1.988650275339239</v>
      </c>
      <c r="E49" s="793">
        <v>2.4896960233600534</v>
      </c>
      <c r="F49" s="793">
        <v>2.29203707000549</v>
      </c>
      <c r="G49" s="793">
        <v>1.2279794019580428</v>
      </c>
      <c r="H49" s="794">
        <v>1.6676298607404185</v>
      </c>
      <c r="I49" s="792">
        <v>1.9076692109395041</v>
      </c>
      <c r="J49" s="793">
        <v>1.9709363916467517</v>
      </c>
      <c r="K49" s="793">
        <v>1.9682951067275449</v>
      </c>
      <c r="L49" s="793">
        <v>2.0669857041814366</v>
      </c>
      <c r="M49" s="794">
        <v>2.1925516231671009</v>
      </c>
      <c r="N49" s="799"/>
      <c r="O49" s="152">
        <f t="shared" si="5"/>
        <v>7.9983627706628244</v>
      </c>
      <c r="P49" s="153">
        <f t="shared" si="6"/>
        <v>1.6676298607404185</v>
      </c>
      <c r="Q49" s="154">
        <f t="shared" si="7"/>
        <v>9.6659926314032436</v>
      </c>
      <c r="R49" s="748"/>
      <c r="S49" s="152">
        <f t="shared" si="8"/>
        <v>10.106438036662338</v>
      </c>
      <c r="T49" s="156">
        <f t="shared" si="9"/>
        <v>4.5566495036232335E-2</v>
      </c>
    </row>
    <row r="50" spans="1:20" s="762" customFormat="1" ht="15" customHeight="1">
      <c r="A50" s="761"/>
      <c r="B50" s="1554" t="s">
        <v>223</v>
      </c>
      <c r="C50" s="775" t="s">
        <v>429</v>
      </c>
      <c r="D50" s="795">
        <v>5.7670857984837927</v>
      </c>
      <c r="E50" s="796">
        <v>9.0624935250305931</v>
      </c>
      <c r="F50" s="796">
        <v>10.264339922198499</v>
      </c>
      <c r="G50" s="796">
        <v>12.391428510667518</v>
      </c>
      <c r="H50" s="797">
        <v>10.005779164442512</v>
      </c>
      <c r="I50" s="798">
        <v>9.8562909231874372</v>
      </c>
      <c r="J50" s="796">
        <v>8.9210805095589798</v>
      </c>
      <c r="K50" s="796">
        <v>8.287558344115979</v>
      </c>
      <c r="L50" s="796">
        <v>7.751196390680386</v>
      </c>
      <c r="M50" s="797">
        <v>7.3085054105570046</v>
      </c>
      <c r="N50" s="647"/>
      <c r="O50" s="152">
        <f t="shared" si="5"/>
        <v>37.485347756380399</v>
      </c>
      <c r="P50" s="153">
        <f t="shared" si="6"/>
        <v>10.005779164442512</v>
      </c>
      <c r="Q50" s="154">
        <f t="shared" si="7"/>
        <v>47.491126920822907</v>
      </c>
      <c r="R50" s="748"/>
      <c r="S50" s="152">
        <f t="shared" si="8"/>
        <v>42.124631578099788</v>
      </c>
      <c r="T50" s="156">
        <f t="shared" si="9"/>
        <v>-0.1129999579009807</v>
      </c>
    </row>
    <row r="51" spans="1:20" s="762" customFormat="1" ht="15" customHeight="1">
      <c r="A51" s="761"/>
      <c r="B51" s="1554"/>
      <c r="C51" s="775" t="s">
        <v>95</v>
      </c>
      <c r="D51" s="790">
        <v>0.89489262390265756</v>
      </c>
      <c r="E51" s="793">
        <v>1.0954662502784236</v>
      </c>
      <c r="F51" s="793">
        <v>3.4878824978344416</v>
      </c>
      <c r="G51" s="793">
        <v>0.55817245543547389</v>
      </c>
      <c r="H51" s="794">
        <v>0.88940259239489006</v>
      </c>
      <c r="I51" s="792">
        <v>0.31794486848991738</v>
      </c>
      <c r="J51" s="793">
        <v>0.51866747148598724</v>
      </c>
      <c r="K51" s="793">
        <v>0.93235031371304766</v>
      </c>
      <c r="L51" s="793">
        <v>1.0334928520907183</v>
      </c>
      <c r="M51" s="794">
        <v>1.148479421658958</v>
      </c>
      <c r="N51" s="647"/>
      <c r="O51" s="152">
        <f t="shared" si="5"/>
        <v>6.0364138274509971</v>
      </c>
      <c r="P51" s="153">
        <f t="shared" si="6"/>
        <v>0.88940259239489006</v>
      </c>
      <c r="Q51" s="154">
        <f t="shared" si="7"/>
        <v>6.9258164198458871</v>
      </c>
      <c r="R51" s="748"/>
      <c r="S51" s="152">
        <f t="shared" si="8"/>
        <v>3.9509349274386287</v>
      </c>
      <c r="T51" s="156">
        <f t="shared" si="9"/>
        <v>-0.42953513521997966</v>
      </c>
    </row>
    <row r="52" spans="1:20" s="762" customFormat="1" ht="15" customHeight="1">
      <c r="A52" s="761"/>
      <c r="B52" s="1554"/>
      <c r="C52" s="779" t="s">
        <v>430</v>
      </c>
      <c r="D52" s="790">
        <v>0</v>
      </c>
      <c r="E52" s="793">
        <v>0</v>
      </c>
      <c r="F52" s="793">
        <v>0</v>
      </c>
      <c r="G52" s="793">
        <v>0</v>
      </c>
      <c r="H52" s="794">
        <v>0</v>
      </c>
      <c r="I52" s="792">
        <v>0</v>
      </c>
      <c r="J52" s="793">
        <v>0</v>
      </c>
      <c r="K52" s="793">
        <v>0</v>
      </c>
      <c r="L52" s="793">
        <v>0</v>
      </c>
      <c r="M52" s="794">
        <v>0</v>
      </c>
      <c r="N52" s="647"/>
      <c r="O52" s="152">
        <f t="shared" si="5"/>
        <v>0</v>
      </c>
      <c r="P52" s="153">
        <f t="shared" si="6"/>
        <v>0</v>
      </c>
      <c r="Q52" s="154">
        <f t="shared" si="7"/>
        <v>0</v>
      </c>
      <c r="R52" s="748"/>
      <c r="S52" s="152">
        <f t="shared" si="8"/>
        <v>0</v>
      </c>
      <c r="T52" s="156" t="str">
        <f t="shared" si="9"/>
        <v>0</v>
      </c>
    </row>
    <row r="53" spans="1:20" s="762" customFormat="1" ht="15" customHeight="1">
      <c r="A53" s="761"/>
      <c r="B53" s="1554"/>
      <c r="C53" s="779" t="s">
        <v>428</v>
      </c>
      <c r="D53" s="790">
        <v>3.1818404405427825</v>
      </c>
      <c r="E53" s="793">
        <v>4.2822771601792917</v>
      </c>
      <c r="F53" s="793">
        <v>3.6871900691392669</v>
      </c>
      <c r="G53" s="793">
        <v>4.3537451523966961</v>
      </c>
      <c r="H53" s="794">
        <v>4.3358376379250876</v>
      </c>
      <c r="I53" s="792">
        <v>5.2990811414986219</v>
      </c>
      <c r="J53" s="793">
        <v>6.7426771293178343</v>
      </c>
      <c r="K53" s="793">
        <v>7.4588025097043813</v>
      </c>
      <c r="L53" s="793">
        <v>6.0976078273352377</v>
      </c>
      <c r="M53" s="794">
        <v>8.1437631717635188</v>
      </c>
      <c r="N53" s="647"/>
      <c r="O53" s="152">
        <f t="shared" si="5"/>
        <v>15.505052822258039</v>
      </c>
      <c r="P53" s="153">
        <f t="shared" si="6"/>
        <v>4.3358376379250876</v>
      </c>
      <c r="Q53" s="154">
        <f t="shared" si="7"/>
        <v>19.840890460183125</v>
      </c>
      <c r="R53" s="748"/>
      <c r="S53" s="152">
        <f t="shared" si="8"/>
        <v>33.741931779619591</v>
      </c>
      <c r="T53" s="156">
        <f t="shared" si="9"/>
        <v>0.7006258790316493</v>
      </c>
    </row>
    <row r="54" spans="1:20" s="762" customFormat="1" ht="15" customHeight="1">
      <c r="A54" s="761"/>
      <c r="B54" s="1554"/>
      <c r="C54" s="775" t="s">
        <v>431</v>
      </c>
      <c r="D54" s="790">
        <v>9.9432513766961952E-2</v>
      </c>
      <c r="E54" s="793">
        <v>0.49793920467201064</v>
      </c>
      <c r="F54" s="793">
        <v>0.39861514260965047</v>
      </c>
      <c r="G54" s="793">
        <v>0.66980694652256856</v>
      </c>
      <c r="H54" s="794">
        <v>1.0005779164442512</v>
      </c>
      <c r="I54" s="792">
        <v>1.3777610967896421</v>
      </c>
      <c r="J54" s="793">
        <v>1.4522689201607644</v>
      </c>
      <c r="K54" s="793">
        <v>1.6575116688231959</v>
      </c>
      <c r="L54" s="793">
        <v>1.8602871337632927</v>
      </c>
      <c r="M54" s="794">
        <v>2.0881444030162868</v>
      </c>
      <c r="N54" s="647"/>
      <c r="O54" s="152">
        <f t="shared" si="5"/>
        <v>1.6657938075711916</v>
      </c>
      <c r="P54" s="153">
        <f t="shared" si="6"/>
        <v>1.0005779164442512</v>
      </c>
      <c r="Q54" s="154">
        <f t="shared" si="7"/>
        <v>2.666371724015443</v>
      </c>
      <c r="R54" s="748"/>
      <c r="S54" s="152">
        <f t="shared" si="8"/>
        <v>8.4359732225531801</v>
      </c>
      <c r="T54" s="156">
        <f t="shared" si="9"/>
        <v>2.1638398902044167</v>
      </c>
    </row>
    <row r="55" spans="1:20" s="762" customFormat="1" ht="15" customHeight="1">
      <c r="A55" s="761"/>
      <c r="B55" s="1554"/>
      <c r="C55" s="775" t="s">
        <v>432</v>
      </c>
      <c r="D55" s="790">
        <v>1.3920551927374671</v>
      </c>
      <c r="E55" s="793">
        <v>0.59752704560641279</v>
      </c>
      <c r="F55" s="793">
        <v>1.1958454278289514</v>
      </c>
      <c r="G55" s="793">
        <v>1.5628828752193267</v>
      </c>
      <c r="H55" s="794">
        <v>2.4458571290859474</v>
      </c>
      <c r="I55" s="792">
        <v>2.543558947919339</v>
      </c>
      <c r="J55" s="793">
        <v>2.4896038631327388</v>
      </c>
      <c r="K55" s="793">
        <v>2.4862675032347936</v>
      </c>
      <c r="L55" s="793">
        <v>2.4803828450177234</v>
      </c>
      <c r="M55" s="794">
        <v>2.5057732836195439</v>
      </c>
      <c r="N55" s="647"/>
      <c r="O55" s="152">
        <f t="shared" si="5"/>
        <v>4.7483105413921578</v>
      </c>
      <c r="P55" s="153">
        <f t="shared" si="6"/>
        <v>2.4458571290859474</v>
      </c>
      <c r="Q55" s="154">
        <f t="shared" si="7"/>
        <v>7.1941676704781052</v>
      </c>
      <c r="R55" s="748"/>
      <c r="S55" s="152">
        <f t="shared" si="8"/>
        <v>12.505586442924139</v>
      </c>
      <c r="T55" s="156">
        <f t="shared" si="9"/>
        <v>0.73829510455280389</v>
      </c>
    </row>
    <row r="56" spans="1:20" s="762" customFormat="1" ht="15" customHeight="1">
      <c r="A56" s="761"/>
      <c r="B56" s="1554" t="s">
        <v>402</v>
      </c>
      <c r="C56" s="775" t="s">
        <v>429</v>
      </c>
      <c r="D56" s="795">
        <v>0.39773005506784781</v>
      </c>
      <c r="E56" s="796">
        <v>9.9587840934402136E-2</v>
      </c>
      <c r="F56" s="796">
        <v>0</v>
      </c>
      <c r="G56" s="796">
        <v>2.4559588039160856</v>
      </c>
      <c r="H56" s="797">
        <v>0.44470129619744503</v>
      </c>
      <c r="I56" s="798">
        <v>0.42392649131988985</v>
      </c>
      <c r="J56" s="796">
        <v>4.0456062775907</v>
      </c>
      <c r="K56" s="796">
        <v>3.8329957341536405</v>
      </c>
      <c r="L56" s="796">
        <v>6.5110049681715232</v>
      </c>
      <c r="M56" s="797">
        <v>2.5057732836195439</v>
      </c>
      <c r="N56" s="647"/>
      <c r="O56" s="152">
        <f t="shared" si="5"/>
        <v>2.9532766999183355</v>
      </c>
      <c r="P56" s="153">
        <f t="shared" si="6"/>
        <v>0.44470129619744503</v>
      </c>
      <c r="Q56" s="154">
        <f t="shared" si="7"/>
        <v>3.3979779961157806</v>
      </c>
      <c r="R56" s="748"/>
      <c r="S56" s="152">
        <f t="shared" si="8"/>
        <v>17.319306754855297</v>
      </c>
      <c r="T56" s="156">
        <f t="shared" si="9"/>
        <v>4.096944940388946</v>
      </c>
    </row>
    <row r="57" spans="1:20" s="762" customFormat="1" ht="15" customHeight="1">
      <c r="A57" s="761"/>
      <c r="B57" s="1554"/>
      <c r="C57" s="775" t="s">
        <v>95</v>
      </c>
      <c r="D57" s="790">
        <v>0.69602759636873357</v>
      </c>
      <c r="E57" s="793">
        <v>0.89629056840961918</v>
      </c>
      <c r="F57" s="793">
        <v>0.99653785652412619</v>
      </c>
      <c r="G57" s="793">
        <v>0</v>
      </c>
      <c r="H57" s="794">
        <v>0</v>
      </c>
      <c r="I57" s="792">
        <v>2.8615038164092561</v>
      </c>
      <c r="J57" s="793">
        <v>1.3485354258635667</v>
      </c>
      <c r="K57" s="793">
        <v>-0.20718895860289949</v>
      </c>
      <c r="L57" s="793">
        <v>1.1368421372997899</v>
      </c>
      <c r="M57" s="794">
        <v>0.20881444030162871</v>
      </c>
      <c r="N57" s="647"/>
      <c r="O57" s="152">
        <f t="shared" si="5"/>
        <v>2.5888560213024792</v>
      </c>
      <c r="P57" s="153">
        <f t="shared" si="6"/>
        <v>0</v>
      </c>
      <c r="Q57" s="154">
        <f t="shared" si="7"/>
        <v>2.5888560213024792</v>
      </c>
      <c r="R57" s="748"/>
      <c r="S57" s="152">
        <f t="shared" si="8"/>
        <v>5.3485068612713409</v>
      </c>
      <c r="T57" s="156">
        <f t="shared" si="9"/>
        <v>1.0659730851236964</v>
      </c>
    </row>
    <row r="58" spans="1:20" s="762" customFormat="1" ht="15" customHeight="1">
      <c r="A58" s="761"/>
      <c r="B58" s="1554"/>
      <c r="C58" s="775" t="s">
        <v>430</v>
      </c>
      <c r="D58" s="790">
        <v>0</v>
      </c>
      <c r="E58" s="793">
        <v>0</v>
      </c>
      <c r="F58" s="793">
        <v>0</v>
      </c>
      <c r="G58" s="793">
        <v>0</v>
      </c>
      <c r="H58" s="794">
        <v>0</v>
      </c>
      <c r="I58" s="792">
        <v>0</v>
      </c>
      <c r="J58" s="793">
        <v>0</v>
      </c>
      <c r="K58" s="793">
        <v>0</v>
      </c>
      <c r="L58" s="793">
        <v>0</v>
      </c>
      <c r="M58" s="794">
        <v>0</v>
      </c>
      <c r="N58" s="647"/>
      <c r="O58" s="152">
        <f t="shared" si="5"/>
        <v>0</v>
      </c>
      <c r="P58" s="153">
        <f t="shared" si="6"/>
        <v>0</v>
      </c>
      <c r="Q58" s="154">
        <f t="shared" si="7"/>
        <v>0</v>
      </c>
      <c r="R58" s="748"/>
      <c r="S58" s="152">
        <f t="shared" si="8"/>
        <v>0</v>
      </c>
      <c r="T58" s="156" t="str">
        <f t="shared" si="9"/>
        <v>0</v>
      </c>
    </row>
    <row r="59" spans="1:20" s="762" customFormat="1" ht="15" customHeight="1">
      <c r="A59" s="761"/>
      <c r="B59" s="1554"/>
      <c r="C59" s="775" t="s">
        <v>428</v>
      </c>
      <c r="D59" s="790">
        <v>0</v>
      </c>
      <c r="E59" s="793">
        <v>0.29876352280320639</v>
      </c>
      <c r="F59" s="793">
        <v>0</v>
      </c>
      <c r="G59" s="793">
        <v>2.6792277860902742</v>
      </c>
      <c r="H59" s="794">
        <v>0.88940259239489006</v>
      </c>
      <c r="I59" s="792">
        <v>1.483742719619614</v>
      </c>
      <c r="J59" s="793">
        <v>4.2530732661850958</v>
      </c>
      <c r="K59" s="793">
        <v>0.6215668758086984</v>
      </c>
      <c r="L59" s="793">
        <v>2.1703349893905082</v>
      </c>
      <c r="M59" s="794">
        <v>5.1159537873899028</v>
      </c>
      <c r="N59" s="647"/>
      <c r="O59" s="152">
        <f t="shared" si="5"/>
        <v>2.9779913088934808</v>
      </c>
      <c r="P59" s="153">
        <f t="shared" si="6"/>
        <v>0.88940259239489006</v>
      </c>
      <c r="Q59" s="154">
        <f t="shared" si="7"/>
        <v>3.8673939012883709</v>
      </c>
      <c r="R59" s="748"/>
      <c r="S59" s="152">
        <f t="shared" si="8"/>
        <v>13.64467163839382</v>
      </c>
      <c r="T59" s="156">
        <f t="shared" si="9"/>
        <v>2.5281308257346842</v>
      </c>
    </row>
    <row r="60" spans="1:20" s="762" customFormat="1" ht="15" customHeight="1">
      <c r="A60" s="761"/>
      <c r="B60" s="1554"/>
      <c r="C60" s="775" t="s">
        <v>431</v>
      </c>
      <c r="D60" s="790">
        <v>0</v>
      </c>
      <c r="E60" s="793">
        <v>0</v>
      </c>
      <c r="F60" s="793">
        <v>0</v>
      </c>
      <c r="G60" s="793">
        <v>0.55817245543547389</v>
      </c>
      <c r="H60" s="794">
        <v>0</v>
      </c>
      <c r="I60" s="792">
        <v>0.21196324565994493</v>
      </c>
      <c r="J60" s="793">
        <v>1.7634694030523566</v>
      </c>
      <c r="K60" s="793">
        <v>1.0359447930144974</v>
      </c>
      <c r="L60" s="793">
        <v>0.41339714083628726</v>
      </c>
      <c r="M60" s="794">
        <v>0.62644332090488597</v>
      </c>
      <c r="N60" s="647"/>
      <c r="O60" s="152">
        <f t="shared" si="5"/>
        <v>0.55817245543547389</v>
      </c>
      <c r="P60" s="153">
        <f t="shared" si="6"/>
        <v>0</v>
      </c>
      <c r="Q60" s="154">
        <f t="shared" si="7"/>
        <v>0.55817245543547389</v>
      </c>
      <c r="R60" s="748"/>
      <c r="S60" s="152">
        <f t="shared" si="8"/>
        <v>4.0512179034679718</v>
      </c>
      <c r="T60" s="156">
        <f t="shared" si="9"/>
        <v>6.2580039807003738</v>
      </c>
    </row>
    <row r="61" spans="1:20" s="762" customFormat="1" ht="15" customHeight="1">
      <c r="A61" s="761"/>
      <c r="B61" s="1554"/>
      <c r="C61" s="779" t="s">
        <v>432</v>
      </c>
      <c r="D61" s="790">
        <v>1.8892177615722769</v>
      </c>
      <c r="E61" s="793">
        <v>0.79670272747521709</v>
      </c>
      <c r="F61" s="793">
        <v>1.2954992134813641</v>
      </c>
      <c r="G61" s="793">
        <v>2.3443243128289906</v>
      </c>
      <c r="H61" s="794">
        <v>2.0011558328885024</v>
      </c>
      <c r="I61" s="792">
        <v>1.1657978511296969</v>
      </c>
      <c r="J61" s="793">
        <v>0.72613446008038218</v>
      </c>
      <c r="K61" s="793">
        <v>0.51797239650724869</v>
      </c>
      <c r="L61" s="793">
        <v>0.72344499646350269</v>
      </c>
      <c r="M61" s="794">
        <v>2.6101805037703589</v>
      </c>
      <c r="N61" s="647"/>
      <c r="O61" s="152">
        <f t="shared" si="5"/>
        <v>6.3257440153578486</v>
      </c>
      <c r="P61" s="153">
        <f t="shared" si="6"/>
        <v>2.0011558328885024</v>
      </c>
      <c r="Q61" s="154">
        <f t="shared" si="7"/>
        <v>8.3268998482463505</v>
      </c>
      <c r="R61" s="748"/>
      <c r="S61" s="152">
        <f t="shared" si="8"/>
        <v>5.7435302079511894</v>
      </c>
      <c r="T61" s="156">
        <f t="shared" si="9"/>
        <v>-0.31024387075331766</v>
      </c>
    </row>
    <row r="62" spans="1:20" s="762" customFormat="1" ht="15" customHeight="1">
      <c r="A62" s="761"/>
      <c r="B62" s="1554" t="s">
        <v>401</v>
      </c>
      <c r="C62" s="775" t="s">
        <v>429</v>
      </c>
      <c r="D62" s="795">
        <v>9.9432513766961952E-2</v>
      </c>
      <c r="E62" s="796">
        <v>4.5810406829824979</v>
      </c>
      <c r="F62" s="796">
        <v>6.9757649956688832</v>
      </c>
      <c r="G62" s="796">
        <v>12.503063001754615</v>
      </c>
      <c r="H62" s="797">
        <v>6.2258181467642295</v>
      </c>
      <c r="I62" s="798">
        <v>4.4512281588588438</v>
      </c>
      <c r="J62" s="796">
        <v>3.8381392889963055</v>
      </c>
      <c r="K62" s="796">
        <v>4.868940527168137</v>
      </c>
      <c r="L62" s="796">
        <v>4.2373206935719443</v>
      </c>
      <c r="M62" s="797">
        <v>2.0881444030162868</v>
      </c>
      <c r="N62" s="647"/>
      <c r="O62" s="152">
        <f t="shared" si="5"/>
        <v>24.159301194172958</v>
      </c>
      <c r="P62" s="153">
        <f t="shared" si="6"/>
        <v>6.2258181467642295</v>
      </c>
      <c r="Q62" s="154">
        <f t="shared" si="7"/>
        <v>30.385119340937187</v>
      </c>
      <c r="R62" s="748"/>
      <c r="S62" s="152">
        <f t="shared" si="8"/>
        <v>19.483773071611516</v>
      </c>
      <c r="T62" s="156">
        <f t="shared" si="9"/>
        <v>-0.35877253424634514</v>
      </c>
    </row>
    <row r="63" spans="1:20" s="762" customFormat="1" ht="15" customHeight="1">
      <c r="A63" s="761"/>
      <c r="B63" s="1554"/>
      <c r="C63" s="775" t="s">
        <v>95</v>
      </c>
      <c r="D63" s="790">
        <v>6.363680881085565</v>
      </c>
      <c r="E63" s="793">
        <v>9.8591962525058108</v>
      </c>
      <c r="F63" s="793">
        <v>3.9861514260965047</v>
      </c>
      <c r="G63" s="793">
        <v>0.11163449108709478</v>
      </c>
      <c r="H63" s="794">
        <v>1.4452792126416962</v>
      </c>
      <c r="I63" s="792">
        <v>6.6768422382882644</v>
      </c>
      <c r="J63" s="793">
        <v>0</v>
      </c>
      <c r="K63" s="793">
        <v>4.1437791720579895</v>
      </c>
      <c r="L63" s="793">
        <v>8.8880385279801768</v>
      </c>
      <c r="M63" s="794">
        <v>13.781753059907492</v>
      </c>
      <c r="N63" s="647"/>
      <c r="O63" s="152">
        <f t="shared" si="5"/>
        <v>20.320663050774975</v>
      </c>
      <c r="P63" s="153">
        <f t="shared" si="6"/>
        <v>1.4452792126416962</v>
      </c>
      <c r="Q63" s="154">
        <f t="shared" si="7"/>
        <v>21.765942263416672</v>
      </c>
      <c r="R63" s="748"/>
      <c r="S63" s="152">
        <f t="shared" si="8"/>
        <v>33.490412998233921</v>
      </c>
      <c r="T63" s="156">
        <f t="shared" si="9"/>
        <v>0.53866129905725568</v>
      </c>
    </row>
    <row r="64" spans="1:20" s="762" customFormat="1" ht="15" customHeight="1">
      <c r="A64" s="761"/>
      <c r="B64" s="1554"/>
      <c r="C64" s="779" t="s">
        <v>433</v>
      </c>
      <c r="D64" s="790">
        <v>0</v>
      </c>
      <c r="E64" s="793">
        <v>0</v>
      </c>
      <c r="F64" s="793">
        <v>0</v>
      </c>
      <c r="G64" s="793">
        <v>0</v>
      </c>
      <c r="H64" s="794">
        <v>0</v>
      </c>
      <c r="I64" s="792">
        <v>0</v>
      </c>
      <c r="J64" s="793">
        <v>0</v>
      </c>
      <c r="K64" s="793">
        <v>0</v>
      </c>
      <c r="L64" s="793">
        <v>0</v>
      </c>
      <c r="M64" s="794">
        <v>0</v>
      </c>
      <c r="N64" s="647"/>
      <c r="O64" s="152">
        <f t="shared" si="5"/>
        <v>0</v>
      </c>
      <c r="P64" s="153">
        <f t="shared" si="6"/>
        <v>0</v>
      </c>
      <c r="Q64" s="154">
        <f t="shared" si="7"/>
        <v>0</v>
      </c>
      <c r="R64" s="748"/>
      <c r="S64" s="152">
        <f t="shared" si="8"/>
        <v>0</v>
      </c>
      <c r="T64" s="156" t="str">
        <f t="shared" si="9"/>
        <v>0</v>
      </c>
    </row>
    <row r="65" spans="1:20" s="762" customFormat="1" ht="15" customHeight="1">
      <c r="A65" s="761"/>
      <c r="B65" s="1554"/>
      <c r="C65" s="779" t="s">
        <v>428</v>
      </c>
      <c r="D65" s="790">
        <v>9.7443863491622711</v>
      </c>
      <c r="E65" s="793">
        <v>3.0872230689664661</v>
      </c>
      <c r="F65" s="793">
        <v>11.858800492637101</v>
      </c>
      <c r="G65" s="793">
        <v>8.372586831532109</v>
      </c>
      <c r="H65" s="794">
        <v>0.33352597214808372</v>
      </c>
      <c r="I65" s="792">
        <v>8.1605849579078793</v>
      </c>
      <c r="J65" s="793">
        <v>7.157611106506625</v>
      </c>
      <c r="K65" s="793">
        <v>12.949309912681217</v>
      </c>
      <c r="L65" s="793">
        <v>10.644976376534398</v>
      </c>
      <c r="M65" s="794">
        <v>8.2481703919143321</v>
      </c>
      <c r="N65" s="647"/>
      <c r="O65" s="152">
        <f t="shared" si="5"/>
        <v>33.062996742297948</v>
      </c>
      <c r="P65" s="153">
        <f t="shared" si="6"/>
        <v>0.33352597214808372</v>
      </c>
      <c r="Q65" s="154">
        <f t="shared" si="7"/>
        <v>33.396522714446029</v>
      </c>
      <c r="R65" s="748"/>
      <c r="S65" s="152">
        <f t="shared" si="8"/>
        <v>47.160652745544454</v>
      </c>
      <c r="T65" s="156">
        <f t="shared" si="9"/>
        <v>0.41214260983957474</v>
      </c>
    </row>
    <row r="66" spans="1:20" s="762" customFormat="1" ht="15" customHeight="1">
      <c r="A66" s="761"/>
      <c r="B66" s="1554"/>
      <c r="C66" s="779" t="s">
        <v>431</v>
      </c>
      <c r="D66" s="790">
        <v>1.3920551927374671</v>
      </c>
      <c r="E66" s="793">
        <v>7.4690880700801596</v>
      </c>
      <c r="F66" s="793">
        <v>2.4913446413103153</v>
      </c>
      <c r="G66" s="793">
        <v>0.78144143760966334</v>
      </c>
      <c r="H66" s="794">
        <v>0</v>
      </c>
      <c r="I66" s="792">
        <v>2.0136508337694767</v>
      </c>
      <c r="J66" s="793">
        <v>7.468811589398217</v>
      </c>
      <c r="K66" s="793">
        <v>9.7378810543362739</v>
      </c>
      <c r="L66" s="793">
        <v>3.9272728379447286</v>
      </c>
      <c r="M66" s="794">
        <v>1.9837371828654726</v>
      </c>
      <c r="N66" s="647"/>
      <c r="O66" s="152">
        <f t="shared" si="5"/>
        <v>12.133929341737606</v>
      </c>
      <c r="P66" s="153">
        <f t="shared" si="6"/>
        <v>0</v>
      </c>
      <c r="Q66" s="154">
        <f t="shared" si="7"/>
        <v>12.133929341737606</v>
      </c>
      <c r="R66" s="748"/>
      <c r="S66" s="152">
        <f t="shared" si="8"/>
        <v>25.131353498314166</v>
      </c>
      <c r="T66" s="156">
        <f t="shared" si="9"/>
        <v>1.0711636593983414</v>
      </c>
    </row>
    <row r="67" spans="1:20" s="762" customFormat="1" ht="15" customHeight="1" thickBot="1">
      <c r="A67" s="761"/>
      <c r="B67" s="1565"/>
      <c r="C67" s="800" t="s">
        <v>432</v>
      </c>
      <c r="D67" s="801">
        <v>0.29829754130088582</v>
      </c>
      <c r="E67" s="802">
        <v>1.6929932958848362</v>
      </c>
      <c r="F67" s="802">
        <v>0</v>
      </c>
      <c r="G67" s="802">
        <v>0</v>
      </c>
      <c r="H67" s="803">
        <v>0</v>
      </c>
      <c r="I67" s="804">
        <v>1.1697794739596694</v>
      </c>
      <c r="J67" s="802">
        <v>0.67713446008038214</v>
      </c>
      <c r="K67" s="802">
        <v>0.48297239650724866</v>
      </c>
      <c r="L67" s="802">
        <v>0.77079428167257447</v>
      </c>
      <c r="M67" s="803">
        <v>0.48203610075407166</v>
      </c>
      <c r="N67" s="647"/>
      <c r="O67" s="152">
        <f t="shared" si="5"/>
        <v>1.9912908371857219</v>
      </c>
      <c r="P67" s="153">
        <f t="shared" si="6"/>
        <v>0</v>
      </c>
      <c r="Q67" s="154">
        <f t="shared" si="7"/>
        <v>1.9912908371857219</v>
      </c>
      <c r="R67" s="748"/>
      <c r="S67" s="152">
        <f t="shared" si="8"/>
        <v>3.5827167129739466</v>
      </c>
      <c r="T67" s="156">
        <f t="shared" si="9"/>
        <v>0.79919308926132371</v>
      </c>
    </row>
    <row r="68" spans="1:20" s="762" customFormat="1" ht="15" customHeight="1" thickBot="1">
      <c r="A68" s="761"/>
      <c r="B68" s="1566" t="s">
        <v>436</v>
      </c>
      <c r="C68" s="1567"/>
      <c r="D68" s="805">
        <v>37.187760148843765</v>
      </c>
      <c r="E68" s="806">
        <v>51.188150240282695</v>
      </c>
      <c r="F68" s="806">
        <v>58.696079749271028</v>
      </c>
      <c r="G68" s="806">
        <v>57.826666383115104</v>
      </c>
      <c r="H68" s="807">
        <v>41.023694574214289</v>
      </c>
      <c r="I68" s="808">
        <v>60.307525013084295</v>
      </c>
      <c r="J68" s="806">
        <v>65.199367912937191</v>
      </c>
      <c r="K68" s="806">
        <v>74.449430617742351</v>
      </c>
      <c r="L68" s="806">
        <v>76.009073913876875</v>
      </c>
      <c r="M68" s="807">
        <v>78.474229553412385</v>
      </c>
      <c r="N68" s="647"/>
      <c r="O68" s="172">
        <f t="shared" si="5"/>
        <v>204.89865652151261</v>
      </c>
      <c r="P68" s="173">
        <f t="shared" si="6"/>
        <v>41.023694574214289</v>
      </c>
      <c r="Q68" s="174">
        <f t="shared" si="7"/>
        <v>245.9223510957269</v>
      </c>
      <c r="R68" s="748"/>
      <c r="S68" s="172">
        <f t="shared" si="8"/>
        <v>354.43962701105312</v>
      </c>
      <c r="T68" s="175">
        <f t="shared" si="9"/>
        <v>0.4412664218271285</v>
      </c>
    </row>
    <row r="69" spans="1:20" s="762" customFormat="1" ht="12.75">
      <c r="A69" s="761"/>
      <c r="B69" s="783"/>
      <c r="C69" s="783"/>
      <c r="D69" s="748"/>
      <c r="E69" s="748"/>
      <c r="F69" s="748"/>
      <c r="G69" s="748"/>
      <c r="H69" s="748"/>
      <c r="I69" s="748"/>
      <c r="J69" s="748"/>
      <c r="K69" s="748"/>
      <c r="L69" s="748"/>
      <c r="M69" s="748"/>
      <c r="N69" s="647"/>
      <c r="O69" s="647"/>
      <c r="P69" s="647"/>
      <c r="Q69" s="647"/>
    </row>
    <row r="70" spans="1:20" s="762" customFormat="1" ht="12.75">
      <c r="A70" s="761"/>
      <c r="B70" s="647"/>
      <c r="C70" s="647"/>
      <c r="D70" s="647"/>
      <c r="E70" s="647"/>
      <c r="F70" s="647"/>
      <c r="G70" s="647"/>
      <c r="H70" s="647"/>
      <c r="I70" s="647"/>
      <c r="J70" s="647"/>
      <c r="K70" s="647"/>
      <c r="L70" s="647"/>
      <c r="M70" s="647"/>
      <c r="N70" s="647"/>
      <c r="O70" s="647"/>
      <c r="P70" s="647"/>
      <c r="Q70" s="647"/>
    </row>
    <row r="71" spans="1:20" s="762" customFormat="1" ht="15" customHeight="1">
      <c r="A71" s="761"/>
      <c r="B71" s="760" t="s">
        <v>437</v>
      </c>
      <c r="C71" s="647"/>
      <c r="D71" s="647"/>
      <c r="E71" s="647"/>
      <c r="F71" s="647"/>
      <c r="G71" s="647"/>
      <c r="H71" s="647"/>
      <c r="I71" s="647"/>
      <c r="J71" s="647"/>
      <c r="K71" s="647"/>
      <c r="L71" s="647"/>
      <c r="M71" s="647"/>
      <c r="N71" s="748"/>
      <c r="O71" s="647"/>
      <c r="P71" s="647"/>
      <c r="Q71" s="647"/>
    </row>
    <row r="72" spans="1:20" s="762" customFormat="1" ht="13.5" thickBot="1">
      <c r="A72" s="761"/>
      <c r="B72" s="647"/>
      <c r="C72" s="647"/>
      <c r="D72" s="647"/>
      <c r="E72" s="647"/>
      <c r="F72" s="647"/>
      <c r="G72" s="647"/>
      <c r="H72" s="647"/>
      <c r="I72" s="647"/>
      <c r="J72" s="647"/>
      <c r="K72" s="647"/>
      <c r="L72" s="647"/>
      <c r="M72" s="647"/>
      <c r="N72" s="748"/>
      <c r="O72" s="647"/>
      <c r="P72" s="647"/>
      <c r="Q72" s="647"/>
    </row>
    <row r="73" spans="1:20" s="762" customFormat="1" ht="12.75">
      <c r="A73" s="761"/>
      <c r="B73" s="1555" t="s">
        <v>419</v>
      </c>
      <c r="C73" s="1556"/>
      <c r="D73" s="764" t="s">
        <v>420</v>
      </c>
      <c r="E73" s="764"/>
      <c r="F73" s="764"/>
      <c r="G73" s="764"/>
      <c r="H73" s="765"/>
      <c r="I73" s="763" t="s">
        <v>421</v>
      </c>
      <c r="J73" s="764"/>
      <c r="K73" s="764"/>
      <c r="L73" s="764"/>
      <c r="M73" s="765"/>
      <c r="N73" s="748"/>
      <c r="O73" s="577" t="s">
        <v>191</v>
      </c>
      <c r="P73" s="578"/>
      <c r="Q73" s="579"/>
      <c r="R73" s="748"/>
      <c r="S73" s="577" t="s">
        <v>192</v>
      </c>
      <c r="T73" s="579"/>
    </row>
    <row r="74" spans="1:20" s="762" customFormat="1" ht="12.75">
      <c r="A74" s="761"/>
      <c r="B74" s="1557"/>
      <c r="C74" s="1558"/>
      <c r="D74" s="768" t="s">
        <v>79</v>
      </c>
      <c r="E74" s="631" t="s">
        <v>80</v>
      </c>
      <c r="F74" s="631" t="s">
        <v>81</v>
      </c>
      <c r="G74" s="631" t="s">
        <v>82</v>
      </c>
      <c r="H74" s="767" t="s">
        <v>44</v>
      </c>
      <c r="I74" s="766" t="s">
        <v>193</v>
      </c>
      <c r="J74" s="631" t="s">
        <v>194</v>
      </c>
      <c r="K74" s="631" t="s">
        <v>195</v>
      </c>
      <c r="L74" s="631" t="s">
        <v>196</v>
      </c>
      <c r="M74" s="767" t="s">
        <v>197</v>
      </c>
      <c r="N74" s="748"/>
      <c r="O74" s="582" t="s">
        <v>198</v>
      </c>
      <c r="P74" s="583" t="s">
        <v>199</v>
      </c>
      <c r="Q74" s="584" t="s">
        <v>200</v>
      </c>
      <c r="R74" s="748"/>
      <c r="S74" s="582" t="s">
        <v>199</v>
      </c>
      <c r="T74" s="584" t="s">
        <v>201</v>
      </c>
    </row>
    <row r="75" spans="1:20" s="762" customFormat="1" ht="12.75">
      <c r="A75" s="761"/>
      <c r="B75" s="1559"/>
      <c r="C75" s="1560"/>
      <c r="D75" s="768" t="s">
        <v>203</v>
      </c>
      <c r="E75" s="631" t="s">
        <v>203</v>
      </c>
      <c r="F75" s="631" t="s">
        <v>203</v>
      </c>
      <c r="G75" s="631" t="s">
        <v>203</v>
      </c>
      <c r="H75" s="767" t="s">
        <v>203</v>
      </c>
      <c r="I75" s="766" t="s">
        <v>203</v>
      </c>
      <c r="J75" s="631" t="s">
        <v>203</v>
      </c>
      <c r="K75" s="631" t="s">
        <v>203</v>
      </c>
      <c r="L75" s="631" t="s">
        <v>203</v>
      </c>
      <c r="M75" s="767" t="s">
        <v>203</v>
      </c>
      <c r="N75" s="647"/>
      <c r="O75" s="290"/>
      <c r="P75" s="291"/>
      <c r="Q75" s="292"/>
      <c r="R75" s="748"/>
      <c r="S75" s="769"/>
      <c r="T75" s="770"/>
    </row>
    <row r="76" spans="1:20" s="762" customFormat="1" ht="15" customHeight="1">
      <c r="A76" s="761"/>
      <c r="B76" s="1561" t="s">
        <v>422</v>
      </c>
      <c r="C76" s="771" t="s">
        <v>423</v>
      </c>
      <c r="D76" s="785">
        <v>0</v>
      </c>
      <c r="E76" s="785">
        <v>0</v>
      </c>
      <c r="F76" s="785">
        <v>0</v>
      </c>
      <c r="G76" s="785">
        <v>0</v>
      </c>
      <c r="H76" s="786">
        <v>0</v>
      </c>
      <c r="I76" s="787">
        <v>0</v>
      </c>
      <c r="J76" s="788">
        <v>0</v>
      </c>
      <c r="K76" s="788">
        <v>0</v>
      </c>
      <c r="L76" s="788">
        <v>0</v>
      </c>
      <c r="M76" s="789">
        <v>0</v>
      </c>
      <c r="N76" s="647"/>
      <c r="O76" s="152">
        <f t="shared" ref="O76:O101" si="10">SUM(D76:G76)</f>
        <v>0</v>
      </c>
      <c r="P76" s="153">
        <f t="shared" ref="P76:P101" si="11">H76</f>
        <v>0</v>
      </c>
      <c r="Q76" s="154">
        <f t="shared" ref="Q76:Q101" si="12">SUM(D76:H76)</f>
        <v>0</v>
      </c>
      <c r="R76" s="748"/>
      <c r="S76" s="152">
        <f t="shared" ref="S76:S101" si="13">SUM(I76:M76)</f>
        <v>0</v>
      </c>
      <c r="T76" s="156" t="str">
        <f>IF(Q76&lt;&gt;0,(S76-Q76)/Q76,"0")</f>
        <v>0</v>
      </c>
    </row>
    <row r="77" spans="1:20" s="762" customFormat="1" ht="15" customHeight="1">
      <c r="A77" s="761"/>
      <c r="B77" s="1562"/>
      <c r="C77" s="775" t="s">
        <v>424</v>
      </c>
      <c r="D77" s="790">
        <v>9.9432513766961952E-2</v>
      </c>
      <c r="E77" s="790">
        <v>9.9587840934402136E-2</v>
      </c>
      <c r="F77" s="790">
        <v>0.19930757130482524</v>
      </c>
      <c r="G77" s="790">
        <v>0.11163449108709478</v>
      </c>
      <c r="H77" s="791">
        <v>0.11117532404936126</v>
      </c>
      <c r="I77" s="792">
        <v>0.10598162282997246</v>
      </c>
      <c r="J77" s="793">
        <v>0.10373349429719747</v>
      </c>
      <c r="K77" s="793">
        <v>0.10359447930144974</v>
      </c>
      <c r="L77" s="793">
        <v>0.10334928520907181</v>
      </c>
      <c r="M77" s="794">
        <v>0.10440722015081436</v>
      </c>
      <c r="N77" s="647"/>
      <c r="O77" s="152">
        <f t="shared" si="10"/>
        <v>0.50996241709328416</v>
      </c>
      <c r="P77" s="153">
        <f t="shared" si="11"/>
        <v>0.11117532404936126</v>
      </c>
      <c r="Q77" s="154">
        <f t="shared" si="12"/>
        <v>0.62113774114264542</v>
      </c>
      <c r="R77" s="748"/>
      <c r="S77" s="152">
        <f t="shared" si="13"/>
        <v>0.52106610178850588</v>
      </c>
      <c r="T77" s="156">
        <f t="shared" ref="T77:T101" si="14">IF(Q77&lt;&gt;0,(S77-Q77)/Q77,"0")</f>
        <v>-0.16111022197757247</v>
      </c>
    </row>
    <row r="78" spans="1:20" s="762" customFormat="1" ht="15" customHeight="1">
      <c r="A78" s="761"/>
      <c r="B78" s="1562" t="s">
        <v>425</v>
      </c>
      <c r="C78" s="775" t="s">
        <v>423</v>
      </c>
      <c r="D78" s="790">
        <v>0</v>
      </c>
      <c r="E78" s="790">
        <v>0</v>
      </c>
      <c r="F78" s="790">
        <v>0</v>
      </c>
      <c r="G78" s="790">
        <v>0</v>
      </c>
      <c r="H78" s="791">
        <v>0</v>
      </c>
      <c r="I78" s="792">
        <v>0</v>
      </c>
      <c r="J78" s="793">
        <v>0</v>
      </c>
      <c r="K78" s="793">
        <v>0</v>
      </c>
      <c r="L78" s="793">
        <v>0</v>
      </c>
      <c r="M78" s="794">
        <v>0</v>
      </c>
      <c r="N78" s="647"/>
      <c r="O78" s="152">
        <f t="shared" si="10"/>
        <v>0</v>
      </c>
      <c r="P78" s="153">
        <f t="shared" si="11"/>
        <v>0</v>
      </c>
      <c r="Q78" s="154">
        <f t="shared" si="12"/>
        <v>0</v>
      </c>
      <c r="R78" s="748"/>
      <c r="S78" s="152">
        <f t="shared" si="13"/>
        <v>0</v>
      </c>
      <c r="T78" s="156" t="str">
        <f t="shared" si="14"/>
        <v>0</v>
      </c>
    </row>
    <row r="79" spans="1:20" s="762" customFormat="1" ht="15" customHeight="1">
      <c r="A79" s="761"/>
      <c r="B79" s="1562"/>
      <c r="C79" s="775" t="s">
        <v>424</v>
      </c>
      <c r="D79" s="790">
        <v>0</v>
      </c>
      <c r="E79" s="790">
        <v>0</v>
      </c>
      <c r="F79" s="790">
        <v>0</v>
      </c>
      <c r="G79" s="790">
        <v>0</v>
      </c>
      <c r="H79" s="791">
        <v>0</v>
      </c>
      <c r="I79" s="792">
        <v>0</v>
      </c>
      <c r="J79" s="793">
        <v>0</v>
      </c>
      <c r="K79" s="793">
        <v>0</v>
      </c>
      <c r="L79" s="793">
        <v>0</v>
      </c>
      <c r="M79" s="794">
        <v>0</v>
      </c>
      <c r="N79" s="647"/>
      <c r="O79" s="152">
        <f t="shared" si="10"/>
        <v>0</v>
      </c>
      <c r="P79" s="153">
        <f t="shared" si="11"/>
        <v>0</v>
      </c>
      <c r="Q79" s="154">
        <f t="shared" si="12"/>
        <v>0</v>
      </c>
      <c r="R79" s="748"/>
      <c r="S79" s="152">
        <f t="shared" si="13"/>
        <v>0</v>
      </c>
      <c r="T79" s="156" t="str">
        <f t="shared" si="14"/>
        <v>0</v>
      </c>
    </row>
    <row r="80" spans="1:20" s="762" customFormat="1" ht="15" customHeight="1">
      <c r="A80" s="761"/>
      <c r="B80" s="1554" t="s">
        <v>345</v>
      </c>
      <c r="C80" s="775" t="s">
        <v>426</v>
      </c>
      <c r="D80" s="790">
        <v>0</v>
      </c>
      <c r="E80" s="790">
        <v>0</v>
      </c>
      <c r="F80" s="790">
        <v>0</v>
      </c>
      <c r="G80" s="790">
        <v>0</v>
      </c>
      <c r="H80" s="791">
        <v>0</v>
      </c>
      <c r="I80" s="792">
        <v>0</v>
      </c>
      <c r="J80" s="793">
        <v>0</v>
      </c>
      <c r="K80" s="793">
        <v>0</v>
      </c>
      <c r="L80" s="793">
        <v>0</v>
      </c>
      <c r="M80" s="794">
        <v>0</v>
      </c>
      <c r="N80" s="647"/>
      <c r="O80" s="152">
        <f t="shared" si="10"/>
        <v>0</v>
      </c>
      <c r="P80" s="153">
        <f t="shared" si="11"/>
        <v>0</v>
      </c>
      <c r="Q80" s="154">
        <f t="shared" si="12"/>
        <v>0</v>
      </c>
      <c r="R80" s="748"/>
      <c r="S80" s="152">
        <f t="shared" si="13"/>
        <v>0</v>
      </c>
      <c r="T80" s="156" t="str">
        <f t="shared" si="14"/>
        <v>0</v>
      </c>
    </row>
    <row r="81" spans="1:20" s="762" customFormat="1" ht="15" customHeight="1">
      <c r="A81" s="761"/>
      <c r="B81" s="1554"/>
      <c r="C81" s="775" t="s">
        <v>427</v>
      </c>
      <c r="D81" s="790">
        <v>0</v>
      </c>
      <c r="E81" s="790">
        <v>0</v>
      </c>
      <c r="F81" s="790">
        <v>9.9653785652412619E-2</v>
      </c>
      <c r="G81" s="790">
        <v>0.11163449108709478</v>
      </c>
      <c r="H81" s="791">
        <v>0.11117532404936126</v>
      </c>
      <c r="I81" s="792">
        <v>0.10598162282997246</v>
      </c>
      <c r="J81" s="793">
        <v>0.10373349429719747</v>
      </c>
      <c r="K81" s="793">
        <v>0.10359447930144974</v>
      </c>
      <c r="L81" s="793">
        <v>0.10334928520907181</v>
      </c>
      <c r="M81" s="794">
        <v>0.10440722015081436</v>
      </c>
      <c r="N81" s="647"/>
      <c r="O81" s="152">
        <f t="shared" si="10"/>
        <v>0.2112882767395074</v>
      </c>
      <c r="P81" s="153">
        <f t="shared" si="11"/>
        <v>0.11117532404936126</v>
      </c>
      <c r="Q81" s="154">
        <f t="shared" si="12"/>
        <v>0.32246360078886865</v>
      </c>
      <c r="R81" s="748"/>
      <c r="S81" s="152">
        <f t="shared" si="13"/>
        <v>0.52106610178850588</v>
      </c>
      <c r="T81" s="156">
        <f t="shared" si="14"/>
        <v>0.61589122156354992</v>
      </c>
    </row>
    <row r="82" spans="1:20" s="762" customFormat="1" ht="15" customHeight="1">
      <c r="A82" s="761"/>
      <c r="B82" s="1554"/>
      <c r="C82" s="779" t="s">
        <v>428</v>
      </c>
      <c r="D82" s="790">
        <v>0.1988650275339239</v>
      </c>
      <c r="E82" s="790">
        <v>0.19917568186880427</v>
      </c>
      <c r="F82" s="790">
        <v>0.19930757130482524</v>
      </c>
      <c r="G82" s="790">
        <v>0.22326898217418956</v>
      </c>
      <c r="H82" s="791">
        <v>0.22235064809872251</v>
      </c>
      <c r="I82" s="792">
        <v>0.21196324565994493</v>
      </c>
      <c r="J82" s="793">
        <v>0.20746698859439494</v>
      </c>
      <c r="K82" s="793">
        <v>0.20718895860289949</v>
      </c>
      <c r="L82" s="793">
        <v>0.20669857041814363</v>
      </c>
      <c r="M82" s="794">
        <v>0.20881444030162871</v>
      </c>
      <c r="N82" s="647"/>
      <c r="O82" s="152">
        <f t="shared" si="10"/>
        <v>0.82061726288174297</v>
      </c>
      <c r="P82" s="153">
        <f t="shared" si="11"/>
        <v>0.22235064809872251</v>
      </c>
      <c r="Q82" s="154">
        <f t="shared" si="12"/>
        <v>1.0429679109804655</v>
      </c>
      <c r="R82" s="748"/>
      <c r="S82" s="152">
        <f t="shared" si="13"/>
        <v>1.0421322035770118</v>
      </c>
      <c r="T82" s="156">
        <f t="shared" si="14"/>
        <v>-8.0127815501831513E-4</v>
      </c>
    </row>
    <row r="83" spans="1:20" s="762" customFormat="1" ht="15" customHeight="1">
      <c r="A83" s="761"/>
      <c r="B83" s="1554" t="s">
        <v>223</v>
      </c>
      <c r="C83" s="775" t="s">
        <v>429</v>
      </c>
      <c r="D83" s="790">
        <v>9.9432513766961952E-2</v>
      </c>
      <c r="E83" s="790">
        <v>9.9587840934402136E-2</v>
      </c>
      <c r="F83" s="790">
        <v>9.9653785652412619E-2</v>
      </c>
      <c r="G83" s="790">
        <v>0.11163449108709478</v>
      </c>
      <c r="H83" s="791">
        <v>0.11117532404936126</v>
      </c>
      <c r="I83" s="792">
        <v>0.10598162282997246</v>
      </c>
      <c r="J83" s="793">
        <v>0.10373349429719747</v>
      </c>
      <c r="K83" s="793">
        <v>0.10359447930144974</v>
      </c>
      <c r="L83" s="793">
        <v>0.10334928520907181</v>
      </c>
      <c r="M83" s="794">
        <v>0.10440722015081436</v>
      </c>
      <c r="N83" s="647"/>
      <c r="O83" s="152">
        <f t="shared" si="10"/>
        <v>0.41030863144087149</v>
      </c>
      <c r="P83" s="153">
        <f t="shared" si="11"/>
        <v>0.11117532404936126</v>
      </c>
      <c r="Q83" s="154">
        <f t="shared" si="12"/>
        <v>0.52148395549023274</v>
      </c>
      <c r="R83" s="748"/>
      <c r="S83" s="152">
        <f t="shared" si="13"/>
        <v>0.52106610178850588</v>
      </c>
      <c r="T83" s="156">
        <f t="shared" si="14"/>
        <v>-8.0127815501831513E-4</v>
      </c>
    </row>
    <row r="84" spans="1:20" s="762" customFormat="1" ht="15" customHeight="1">
      <c r="A84" s="761"/>
      <c r="B84" s="1554"/>
      <c r="C84" s="775" t="s">
        <v>95</v>
      </c>
      <c r="D84" s="790">
        <v>0.29829754130088582</v>
      </c>
      <c r="E84" s="790">
        <v>0.39835136373760854</v>
      </c>
      <c r="F84" s="790">
        <v>1.1958454278289514</v>
      </c>
      <c r="G84" s="790">
        <v>0.55817245543547389</v>
      </c>
      <c r="H84" s="791">
        <v>0.55587662024680617</v>
      </c>
      <c r="I84" s="792">
        <v>0.52990811414986216</v>
      </c>
      <c r="J84" s="793">
        <v>0.51866747148598724</v>
      </c>
      <c r="K84" s="793">
        <v>0.51797239650724869</v>
      </c>
      <c r="L84" s="793">
        <v>0.51674642604535914</v>
      </c>
      <c r="M84" s="794">
        <v>0.5220361007540717</v>
      </c>
      <c r="N84" s="647"/>
      <c r="O84" s="152">
        <f t="shared" si="10"/>
        <v>2.4506667883029198</v>
      </c>
      <c r="P84" s="153">
        <f t="shared" si="11"/>
        <v>0.55587662024680617</v>
      </c>
      <c r="Q84" s="154">
        <f t="shared" si="12"/>
        <v>3.0065434085497262</v>
      </c>
      <c r="R84" s="748"/>
      <c r="S84" s="152">
        <f t="shared" si="13"/>
        <v>2.6053305089425289</v>
      </c>
      <c r="T84" s="156">
        <f t="shared" si="14"/>
        <v>-0.13344656806426466</v>
      </c>
    </row>
    <row r="85" spans="1:20" s="762" customFormat="1" ht="15" customHeight="1">
      <c r="A85" s="761"/>
      <c r="B85" s="1554"/>
      <c r="C85" s="779" t="s">
        <v>430</v>
      </c>
      <c r="D85" s="790">
        <v>0</v>
      </c>
      <c r="E85" s="790">
        <v>0</v>
      </c>
      <c r="F85" s="790">
        <v>0</v>
      </c>
      <c r="G85" s="790">
        <v>0</v>
      </c>
      <c r="H85" s="791">
        <v>0</v>
      </c>
      <c r="I85" s="792">
        <v>0</v>
      </c>
      <c r="J85" s="793">
        <v>0</v>
      </c>
      <c r="K85" s="793">
        <v>0</v>
      </c>
      <c r="L85" s="793">
        <v>0</v>
      </c>
      <c r="M85" s="794">
        <v>0</v>
      </c>
      <c r="N85" s="647"/>
      <c r="O85" s="152">
        <f t="shared" si="10"/>
        <v>0</v>
      </c>
      <c r="P85" s="153">
        <f t="shared" si="11"/>
        <v>0</v>
      </c>
      <c r="Q85" s="154">
        <f t="shared" si="12"/>
        <v>0</v>
      </c>
      <c r="R85" s="748"/>
      <c r="S85" s="152">
        <f t="shared" si="13"/>
        <v>0</v>
      </c>
      <c r="T85" s="156" t="str">
        <f t="shared" si="14"/>
        <v>0</v>
      </c>
    </row>
    <row r="86" spans="1:20" s="762" customFormat="1" ht="15" customHeight="1">
      <c r="A86" s="761"/>
      <c r="B86" s="1554"/>
      <c r="C86" s="779" t="s">
        <v>428</v>
      </c>
      <c r="D86" s="790">
        <v>0.39773005506784781</v>
      </c>
      <c r="E86" s="790">
        <v>0.59752704560641279</v>
      </c>
      <c r="F86" s="790">
        <v>0.49826892826206309</v>
      </c>
      <c r="G86" s="790">
        <v>0.44653796434837911</v>
      </c>
      <c r="H86" s="791">
        <v>0.44470129619744503</v>
      </c>
      <c r="I86" s="792">
        <v>0.42392649131988985</v>
      </c>
      <c r="J86" s="793">
        <v>0.41493397718878988</v>
      </c>
      <c r="K86" s="793">
        <v>0.41437791720579897</v>
      </c>
      <c r="L86" s="793">
        <v>0.41339714083628726</v>
      </c>
      <c r="M86" s="794">
        <v>0.41762888060325742</v>
      </c>
      <c r="N86" s="647"/>
      <c r="O86" s="152">
        <f t="shared" si="10"/>
        <v>1.9400639932847028</v>
      </c>
      <c r="P86" s="153">
        <f t="shared" si="11"/>
        <v>0.44470129619744503</v>
      </c>
      <c r="Q86" s="154">
        <f t="shared" si="12"/>
        <v>2.3847652894821478</v>
      </c>
      <c r="R86" s="748"/>
      <c r="S86" s="152">
        <f t="shared" si="13"/>
        <v>2.0842644071540235</v>
      </c>
      <c r="T86" s="156">
        <f t="shared" si="14"/>
        <v>-0.12600857772186802</v>
      </c>
    </row>
    <row r="87" spans="1:20" s="762" customFormat="1" ht="15" customHeight="1">
      <c r="A87" s="761"/>
      <c r="B87" s="1554"/>
      <c r="C87" s="775" t="s">
        <v>431</v>
      </c>
      <c r="D87" s="790">
        <v>9.9432513766961952E-2</v>
      </c>
      <c r="E87" s="790">
        <v>0.39835136373760854</v>
      </c>
      <c r="F87" s="790">
        <v>0.29896135695723786</v>
      </c>
      <c r="G87" s="790">
        <v>0.22326898217418956</v>
      </c>
      <c r="H87" s="791">
        <v>0.22235064809872251</v>
      </c>
      <c r="I87" s="792">
        <v>0.52990811414986216</v>
      </c>
      <c r="J87" s="793">
        <v>0.51866747148598724</v>
      </c>
      <c r="K87" s="793">
        <v>0.6215668758086984</v>
      </c>
      <c r="L87" s="793">
        <v>0.62009571125443086</v>
      </c>
      <c r="M87" s="794">
        <v>0.73085054105570035</v>
      </c>
      <c r="N87" s="647"/>
      <c r="O87" s="152">
        <f t="shared" si="10"/>
        <v>1.0200142166359978</v>
      </c>
      <c r="P87" s="153">
        <f t="shared" si="11"/>
        <v>0.22235064809872251</v>
      </c>
      <c r="Q87" s="154">
        <f t="shared" si="12"/>
        <v>1.2423648647347203</v>
      </c>
      <c r="R87" s="748"/>
      <c r="S87" s="152">
        <f t="shared" si="13"/>
        <v>3.0210887137546791</v>
      </c>
      <c r="T87" s="156">
        <f t="shared" si="14"/>
        <v>1.431724205593794</v>
      </c>
    </row>
    <row r="88" spans="1:20" s="762" customFormat="1" ht="15" customHeight="1">
      <c r="A88" s="761"/>
      <c r="B88" s="1554"/>
      <c r="C88" s="775" t="s">
        <v>432</v>
      </c>
      <c r="D88" s="790">
        <v>0.79546011013569562</v>
      </c>
      <c r="E88" s="790">
        <v>0.29876352280320639</v>
      </c>
      <c r="F88" s="790">
        <v>0.69757649956688828</v>
      </c>
      <c r="G88" s="790">
        <v>0.55817245543547389</v>
      </c>
      <c r="H88" s="791">
        <v>0.55587662024680617</v>
      </c>
      <c r="I88" s="792">
        <v>0.52990811414986216</v>
      </c>
      <c r="J88" s="793">
        <v>0.51866747148598724</v>
      </c>
      <c r="K88" s="793">
        <v>0.51797239650724869</v>
      </c>
      <c r="L88" s="793">
        <v>0.51674642604535914</v>
      </c>
      <c r="M88" s="794">
        <v>0.5220361007540717</v>
      </c>
      <c r="N88" s="647"/>
      <c r="O88" s="152">
        <f t="shared" si="10"/>
        <v>2.3499725879412643</v>
      </c>
      <c r="P88" s="153">
        <f t="shared" si="11"/>
        <v>0.55587662024680617</v>
      </c>
      <c r="Q88" s="154">
        <f t="shared" si="12"/>
        <v>2.9058492081880702</v>
      </c>
      <c r="R88" s="748"/>
      <c r="S88" s="152">
        <f t="shared" si="13"/>
        <v>2.6053305089425289</v>
      </c>
      <c r="T88" s="156">
        <f t="shared" si="14"/>
        <v>-0.10341854573827954</v>
      </c>
    </row>
    <row r="89" spans="1:20" s="762" customFormat="1" ht="15" customHeight="1">
      <c r="A89" s="761"/>
      <c r="B89" s="1554" t="s">
        <v>402</v>
      </c>
      <c r="C89" s="775" t="s">
        <v>429</v>
      </c>
      <c r="D89" s="790">
        <v>0</v>
      </c>
      <c r="E89" s="790">
        <v>0</v>
      </c>
      <c r="F89" s="790">
        <v>0</v>
      </c>
      <c r="G89" s="790">
        <v>0</v>
      </c>
      <c r="H89" s="791">
        <v>0</v>
      </c>
      <c r="I89" s="792">
        <v>0</v>
      </c>
      <c r="J89" s="793">
        <v>0</v>
      </c>
      <c r="K89" s="793">
        <v>0</v>
      </c>
      <c r="L89" s="793">
        <v>0</v>
      </c>
      <c r="M89" s="794">
        <v>0</v>
      </c>
      <c r="N89" s="647"/>
      <c r="O89" s="152">
        <f t="shared" si="10"/>
        <v>0</v>
      </c>
      <c r="P89" s="153">
        <f t="shared" si="11"/>
        <v>0</v>
      </c>
      <c r="Q89" s="154">
        <f t="shared" si="12"/>
        <v>0</v>
      </c>
      <c r="R89" s="748"/>
      <c r="S89" s="152">
        <f t="shared" si="13"/>
        <v>0</v>
      </c>
      <c r="T89" s="156" t="str">
        <f t="shared" si="14"/>
        <v>0</v>
      </c>
    </row>
    <row r="90" spans="1:20" s="762" customFormat="1" ht="15" customHeight="1">
      <c r="A90" s="761"/>
      <c r="B90" s="1554"/>
      <c r="C90" s="775" t="s">
        <v>95</v>
      </c>
      <c r="D90" s="790">
        <v>9.9432513766961952E-2</v>
      </c>
      <c r="E90" s="790">
        <v>0.19917568186880427</v>
      </c>
      <c r="F90" s="790">
        <v>0.19930757130482524</v>
      </c>
      <c r="G90" s="790">
        <v>0.11163449108709478</v>
      </c>
      <c r="H90" s="791">
        <v>0.11117532404936126</v>
      </c>
      <c r="I90" s="792">
        <v>0.21196324565994493</v>
      </c>
      <c r="J90" s="793">
        <v>0.20746698859439494</v>
      </c>
      <c r="K90" s="793">
        <v>0.20718895860289949</v>
      </c>
      <c r="L90" s="793">
        <v>0.20669857041814363</v>
      </c>
      <c r="M90" s="794">
        <v>0.20881444030162871</v>
      </c>
      <c r="N90" s="647"/>
      <c r="O90" s="152">
        <f t="shared" si="10"/>
        <v>0.60955025802768625</v>
      </c>
      <c r="P90" s="153">
        <f t="shared" si="11"/>
        <v>0.11117532404936126</v>
      </c>
      <c r="Q90" s="154">
        <f t="shared" si="12"/>
        <v>0.72072558207704751</v>
      </c>
      <c r="R90" s="748"/>
      <c r="S90" s="152">
        <f t="shared" si="13"/>
        <v>1.0421322035770118</v>
      </c>
      <c r="T90" s="156">
        <f t="shared" si="14"/>
        <v>0.44594867934853605</v>
      </c>
    </row>
    <row r="91" spans="1:20" s="762" customFormat="1" ht="15" customHeight="1">
      <c r="A91" s="761"/>
      <c r="B91" s="1554"/>
      <c r="C91" s="775" t="s">
        <v>430</v>
      </c>
      <c r="D91" s="790">
        <v>0</v>
      </c>
      <c r="E91" s="790">
        <v>0</v>
      </c>
      <c r="F91" s="790">
        <v>0</v>
      </c>
      <c r="G91" s="790">
        <v>0</v>
      </c>
      <c r="H91" s="791">
        <v>0</v>
      </c>
      <c r="I91" s="792">
        <v>0</v>
      </c>
      <c r="J91" s="793">
        <v>0</v>
      </c>
      <c r="K91" s="793">
        <v>0</v>
      </c>
      <c r="L91" s="793">
        <v>0</v>
      </c>
      <c r="M91" s="794">
        <v>0</v>
      </c>
      <c r="N91" s="647"/>
      <c r="O91" s="152">
        <f t="shared" si="10"/>
        <v>0</v>
      </c>
      <c r="P91" s="153">
        <f t="shared" si="11"/>
        <v>0</v>
      </c>
      <c r="Q91" s="154">
        <f t="shared" si="12"/>
        <v>0</v>
      </c>
      <c r="R91" s="748"/>
      <c r="S91" s="152">
        <f t="shared" si="13"/>
        <v>0</v>
      </c>
      <c r="T91" s="156" t="str">
        <f t="shared" si="14"/>
        <v>0</v>
      </c>
    </row>
    <row r="92" spans="1:20" s="762" customFormat="1" ht="15" customHeight="1">
      <c r="A92" s="761"/>
      <c r="B92" s="1554"/>
      <c r="C92" s="775" t="s">
        <v>428</v>
      </c>
      <c r="D92" s="790">
        <v>0</v>
      </c>
      <c r="E92" s="790">
        <v>0</v>
      </c>
      <c r="F92" s="790">
        <v>0</v>
      </c>
      <c r="G92" s="790">
        <v>0</v>
      </c>
      <c r="H92" s="791">
        <v>0</v>
      </c>
      <c r="I92" s="792">
        <v>0</v>
      </c>
      <c r="J92" s="793">
        <v>0</v>
      </c>
      <c r="K92" s="793">
        <v>0</v>
      </c>
      <c r="L92" s="793">
        <v>0</v>
      </c>
      <c r="M92" s="794">
        <v>0</v>
      </c>
      <c r="N92" s="647"/>
      <c r="O92" s="152">
        <f t="shared" si="10"/>
        <v>0</v>
      </c>
      <c r="P92" s="153">
        <f t="shared" si="11"/>
        <v>0</v>
      </c>
      <c r="Q92" s="154">
        <f t="shared" si="12"/>
        <v>0</v>
      </c>
      <c r="R92" s="748"/>
      <c r="S92" s="152">
        <f t="shared" si="13"/>
        <v>0</v>
      </c>
      <c r="T92" s="156" t="str">
        <f t="shared" si="14"/>
        <v>0</v>
      </c>
    </row>
    <row r="93" spans="1:20" s="762" customFormat="1" ht="15" customHeight="1">
      <c r="A93" s="761"/>
      <c r="B93" s="1554"/>
      <c r="C93" s="775" t="s">
        <v>431</v>
      </c>
      <c r="D93" s="790">
        <v>0.79546011013569562</v>
      </c>
      <c r="E93" s="790">
        <v>2.8880473870976617</v>
      </c>
      <c r="F93" s="790">
        <v>2.1923832843530775</v>
      </c>
      <c r="G93" s="790">
        <v>1.004710419783853</v>
      </c>
      <c r="H93" s="791">
        <v>0.55587662024680617</v>
      </c>
      <c r="I93" s="792">
        <v>0</v>
      </c>
      <c r="J93" s="793">
        <v>0</v>
      </c>
      <c r="K93" s="793">
        <v>0</v>
      </c>
      <c r="L93" s="793">
        <v>0</v>
      </c>
      <c r="M93" s="794">
        <v>0</v>
      </c>
      <c r="N93" s="647"/>
      <c r="O93" s="152">
        <f t="shared" si="10"/>
        <v>6.880601201370288</v>
      </c>
      <c r="P93" s="153">
        <f t="shared" si="11"/>
        <v>0.55587662024680617</v>
      </c>
      <c r="Q93" s="154">
        <f t="shared" si="12"/>
        <v>7.4364778216170944</v>
      </c>
      <c r="R93" s="748"/>
      <c r="S93" s="152">
        <f t="shared" si="13"/>
        <v>0</v>
      </c>
      <c r="T93" s="156">
        <f t="shared" si="14"/>
        <v>-1</v>
      </c>
    </row>
    <row r="94" spans="1:20" s="762" customFormat="1" ht="15" customHeight="1">
      <c r="A94" s="761"/>
      <c r="B94" s="1554"/>
      <c r="C94" s="779" t="s">
        <v>432</v>
      </c>
      <c r="D94" s="790">
        <v>0</v>
      </c>
      <c r="E94" s="790">
        <v>0</v>
      </c>
      <c r="F94" s="790">
        <v>0</v>
      </c>
      <c r="G94" s="790">
        <v>0</v>
      </c>
      <c r="H94" s="791">
        <v>0</v>
      </c>
      <c r="I94" s="792">
        <v>0</v>
      </c>
      <c r="J94" s="793">
        <v>0</v>
      </c>
      <c r="K94" s="793">
        <v>0</v>
      </c>
      <c r="L94" s="793">
        <v>0</v>
      </c>
      <c r="M94" s="794">
        <v>0</v>
      </c>
      <c r="N94" s="647"/>
      <c r="O94" s="152">
        <f t="shared" si="10"/>
        <v>0</v>
      </c>
      <c r="P94" s="153">
        <f t="shared" si="11"/>
        <v>0</v>
      </c>
      <c r="Q94" s="154">
        <f t="shared" si="12"/>
        <v>0</v>
      </c>
      <c r="R94" s="748"/>
      <c r="S94" s="152">
        <f t="shared" si="13"/>
        <v>0</v>
      </c>
      <c r="T94" s="156" t="str">
        <f t="shared" si="14"/>
        <v>0</v>
      </c>
    </row>
    <row r="95" spans="1:20" s="762" customFormat="1" ht="15" customHeight="1">
      <c r="A95" s="761"/>
      <c r="B95" s="1554" t="s">
        <v>401</v>
      </c>
      <c r="C95" s="775" t="s">
        <v>429</v>
      </c>
      <c r="D95" s="790">
        <v>0</v>
      </c>
      <c r="E95" s="790">
        <v>0</v>
      </c>
      <c r="F95" s="790">
        <v>0</v>
      </c>
      <c r="G95" s="790">
        <v>0</v>
      </c>
      <c r="H95" s="791">
        <v>0</v>
      </c>
      <c r="I95" s="792">
        <v>0</v>
      </c>
      <c r="J95" s="793">
        <v>0</v>
      </c>
      <c r="K95" s="793">
        <v>0</v>
      </c>
      <c r="L95" s="793">
        <v>0</v>
      </c>
      <c r="M95" s="794">
        <v>0</v>
      </c>
      <c r="N95" s="647"/>
      <c r="O95" s="152">
        <f t="shared" si="10"/>
        <v>0</v>
      </c>
      <c r="P95" s="153">
        <f t="shared" si="11"/>
        <v>0</v>
      </c>
      <c r="Q95" s="154">
        <f t="shared" si="12"/>
        <v>0</v>
      </c>
      <c r="R95" s="748"/>
      <c r="S95" s="152">
        <f t="shared" si="13"/>
        <v>0</v>
      </c>
      <c r="T95" s="156" t="str">
        <f t="shared" si="14"/>
        <v>0</v>
      </c>
    </row>
    <row r="96" spans="1:20" s="762" customFormat="1" ht="15" customHeight="1">
      <c r="A96" s="761"/>
      <c r="B96" s="1554"/>
      <c r="C96" s="775" t="s">
        <v>95</v>
      </c>
      <c r="D96" s="790">
        <v>0</v>
      </c>
      <c r="E96" s="790">
        <v>0</v>
      </c>
      <c r="F96" s="790">
        <v>0</v>
      </c>
      <c r="G96" s="790">
        <v>0</v>
      </c>
      <c r="H96" s="791">
        <v>0</v>
      </c>
      <c r="I96" s="792">
        <v>0</v>
      </c>
      <c r="J96" s="793">
        <v>0</v>
      </c>
      <c r="K96" s="793">
        <v>0</v>
      </c>
      <c r="L96" s="793">
        <v>0</v>
      </c>
      <c r="M96" s="794">
        <v>0</v>
      </c>
      <c r="N96" s="647"/>
      <c r="O96" s="152">
        <f t="shared" si="10"/>
        <v>0</v>
      </c>
      <c r="P96" s="153">
        <f t="shared" si="11"/>
        <v>0</v>
      </c>
      <c r="Q96" s="154">
        <f t="shared" si="12"/>
        <v>0</v>
      </c>
      <c r="R96" s="748"/>
      <c r="S96" s="152">
        <f t="shared" si="13"/>
        <v>0</v>
      </c>
      <c r="T96" s="156" t="str">
        <f t="shared" si="14"/>
        <v>0</v>
      </c>
    </row>
    <row r="97" spans="1:20" s="762" customFormat="1" ht="15" customHeight="1">
      <c r="A97" s="761"/>
      <c r="B97" s="1554"/>
      <c r="C97" s="779" t="s">
        <v>433</v>
      </c>
      <c r="D97" s="790">
        <v>0</v>
      </c>
      <c r="E97" s="790">
        <v>0</v>
      </c>
      <c r="F97" s="790">
        <v>0</v>
      </c>
      <c r="G97" s="790">
        <v>0</v>
      </c>
      <c r="H97" s="791">
        <v>0</v>
      </c>
      <c r="I97" s="792">
        <v>0</v>
      </c>
      <c r="J97" s="793">
        <v>0</v>
      </c>
      <c r="K97" s="793">
        <v>0</v>
      </c>
      <c r="L97" s="793">
        <v>0</v>
      </c>
      <c r="M97" s="794">
        <v>0</v>
      </c>
      <c r="N97" s="647"/>
      <c r="O97" s="152">
        <f t="shared" si="10"/>
        <v>0</v>
      </c>
      <c r="P97" s="153">
        <f t="shared" si="11"/>
        <v>0</v>
      </c>
      <c r="Q97" s="154">
        <f t="shared" si="12"/>
        <v>0</v>
      </c>
      <c r="R97" s="748"/>
      <c r="S97" s="152">
        <f t="shared" si="13"/>
        <v>0</v>
      </c>
      <c r="T97" s="156" t="str">
        <f t="shared" si="14"/>
        <v>0</v>
      </c>
    </row>
    <row r="98" spans="1:20" s="762" customFormat="1" ht="15" customHeight="1">
      <c r="A98" s="761"/>
      <c r="B98" s="1554"/>
      <c r="C98" s="779" t="s">
        <v>428</v>
      </c>
      <c r="D98" s="790">
        <v>0</v>
      </c>
      <c r="E98" s="790">
        <v>0</v>
      </c>
      <c r="F98" s="790">
        <v>0</v>
      </c>
      <c r="G98" s="790">
        <v>0</v>
      </c>
      <c r="H98" s="791">
        <v>0</v>
      </c>
      <c r="I98" s="792">
        <v>0</v>
      </c>
      <c r="J98" s="793">
        <v>0</v>
      </c>
      <c r="K98" s="793">
        <v>0</v>
      </c>
      <c r="L98" s="793">
        <v>0</v>
      </c>
      <c r="M98" s="794">
        <v>0</v>
      </c>
      <c r="N98" s="647"/>
      <c r="O98" s="152">
        <f t="shared" si="10"/>
        <v>0</v>
      </c>
      <c r="P98" s="153">
        <f t="shared" si="11"/>
        <v>0</v>
      </c>
      <c r="Q98" s="154">
        <f t="shared" si="12"/>
        <v>0</v>
      </c>
      <c r="R98" s="748"/>
      <c r="S98" s="152">
        <f t="shared" si="13"/>
        <v>0</v>
      </c>
      <c r="T98" s="156" t="str">
        <f t="shared" si="14"/>
        <v>0</v>
      </c>
    </row>
    <row r="99" spans="1:20" s="762" customFormat="1" ht="15" customHeight="1">
      <c r="A99" s="761"/>
      <c r="B99" s="1554"/>
      <c r="C99" s="779" t="s">
        <v>431</v>
      </c>
      <c r="D99" s="790">
        <v>0.1988650275339239</v>
      </c>
      <c r="E99" s="790">
        <v>1.1950540912128256</v>
      </c>
      <c r="F99" s="790">
        <v>0.39861514260965047</v>
      </c>
      <c r="G99" s="790">
        <v>0.55817245543547389</v>
      </c>
      <c r="H99" s="791">
        <v>0.55587662024680617</v>
      </c>
      <c r="I99" s="792">
        <v>0.63588973697983475</v>
      </c>
      <c r="J99" s="793">
        <v>0.62240096578318471</v>
      </c>
      <c r="K99" s="793">
        <v>0.6215668758086984</v>
      </c>
      <c r="L99" s="793">
        <v>0.62009571125443086</v>
      </c>
      <c r="M99" s="794">
        <v>0.62644332090488597</v>
      </c>
      <c r="N99" s="647"/>
      <c r="O99" s="152">
        <f t="shared" si="10"/>
        <v>2.3507067167918736</v>
      </c>
      <c r="P99" s="153">
        <f t="shared" si="11"/>
        <v>0.55587662024680617</v>
      </c>
      <c r="Q99" s="154">
        <f t="shared" si="12"/>
        <v>2.90658333703868</v>
      </c>
      <c r="R99" s="748"/>
      <c r="S99" s="152">
        <f t="shared" si="13"/>
        <v>3.1263966107310348</v>
      </c>
      <c r="T99" s="156">
        <f t="shared" si="14"/>
        <v>7.5626000772545401E-2</v>
      </c>
    </row>
    <row r="100" spans="1:20" s="762" customFormat="1" ht="15" customHeight="1">
      <c r="A100" s="761"/>
      <c r="B100" s="1554"/>
      <c r="C100" s="779" t="s">
        <v>432</v>
      </c>
      <c r="D100" s="790">
        <v>0</v>
      </c>
      <c r="E100" s="790">
        <v>0</v>
      </c>
      <c r="F100" s="790">
        <v>0</v>
      </c>
      <c r="G100" s="790">
        <v>0</v>
      </c>
      <c r="H100" s="791">
        <v>0</v>
      </c>
      <c r="I100" s="792">
        <v>0</v>
      </c>
      <c r="J100" s="793">
        <v>0</v>
      </c>
      <c r="K100" s="793">
        <v>0</v>
      </c>
      <c r="L100" s="793">
        <v>0</v>
      </c>
      <c r="M100" s="794">
        <v>0</v>
      </c>
      <c r="N100" s="647"/>
      <c r="O100" s="152">
        <f t="shared" si="10"/>
        <v>0</v>
      </c>
      <c r="P100" s="153">
        <f t="shared" si="11"/>
        <v>0</v>
      </c>
      <c r="Q100" s="154">
        <f t="shared" si="12"/>
        <v>0</v>
      </c>
      <c r="R100" s="748"/>
      <c r="S100" s="152">
        <f t="shared" si="13"/>
        <v>0</v>
      </c>
      <c r="T100" s="156" t="str">
        <f t="shared" si="14"/>
        <v>0</v>
      </c>
    </row>
    <row r="101" spans="1:20" s="762" customFormat="1" ht="15" customHeight="1" thickBot="1">
      <c r="A101" s="761"/>
      <c r="B101" s="1563" t="s">
        <v>438</v>
      </c>
      <c r="C101" s="1564"/>
      <c r="D101" s="809">
        <v>3.0824079267758209</v>
      </c>
      <c r="E101" s="810">
        <v>6.3736218198017367</v>
      </c>
      <c r="F101" s="810">
        <v>6.0788809247971693</v>
      </c>
      <c r="G101" s="810">
        <v>4.0188416791354129</v>
      </c>
      <c r="H101" s="811">
        <v>3.5576103695795602</v>
      </c>
      <c r="I101" s="812">
        <v>3.3914119305591184</v>
      </c>
      <c r="J101" s="810">
        <v>3.3194718175103191</v>
      </c>
      <c r="K101" s="810">
        <v>3.4186178169478416</v>
      </c>
      <c r="L101" s="810">
        <v>3.4105264118993706</v>
      </c>
      <c r="M101" s="811">
        <v>3.5498454851276877</v>
      </c>
      <c r="N101" s="647"/>
      <c r="O101" s="172">
        <f t="shared" si="10"/>
        <v>19.553752350510141</v>
      </c>
      <c r="P101" s="173">
        <f t="shared" si="11"/>
        <v>3.5576103695795602</v>
      </c>
      <c r="Q101" s="174">
        <f t="shared" si="12"/>
        <v>23.111362720089701</v>
      </c>
      <c r="R101" s="748"/>
      <c r="S101" s="172">
        <f t="shared" si="13"/>
        <v>17.089873462044338</v>
      </c>
      <c r="T101" s="175">
        <f t="shared" si="14"/>
        <v>-0.26054237177503797</v>
      </c>
    </row>
    <row r="102" spans="1:20" s="762" customFormat="1" ht="12.75">
      <c r="A102" s="761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</row>
    <row r="103" spans="1:20" s="762" customFormat="1" ht="12.75">
      <c r="A103" s="761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</row>
    <row r="104" spans="1:20" s="762" customFormat="1" ht="12.75">
      <c r="A104" s="761"/>
      <c r="B104" s="760" t="s">
        <v>439</v>
      </c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</row>
    <row r="105" spans="1:20" s="762" customFormat="1" ht="13.5" thickBot="1">
      <c r="A105" s="761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</row>
    <row r="106" spans="1:20" s="762" customFormat="1" ht="12.75">
      <c r="A106" s="761"/>
      <c r="B106" s="1555" t="s">
        <v>419</v>
      </c>
      <c r="C106" s="1556"/>
      <c r="D106" s="764" t="s">
        <v>420</v>
      </c>
      <c r="E106" s="764"/>
      <c r="F106" s="764"/>
      <c r="G106" s="764"/>
      <c r="H106" s="765"/>
      <c r="I106" s="763" t="s">
        <v>421</v>
      </c>
      <c r="J106" s="764"/>
      <c r="K106" s="764"/>
      <c r="L106" s="764"/>
      <c r="M106" s="765"/>
      <c r="N106" s="647"/>
      <c r="O106" s="577" t="s">
        <v>191</v>
      </c>
      <c r="P106" s="578"/>
      <c r="Q106" s="579"/>
      <c r="R106" s="748"/>
      <c r="S106" s="577" t="s">
        <v>192</v>
      </c>
      <c r="T106" s="579"/>
    </row>
    <row r="107" spans="1:20" s="762" customFormat="1" ht="12.75">
      <c r="A107" s="761"/>
      <c r="B107" s="1557"/>
      <c r="C107" s="1558"/>
      <c r="D107" s="768" t="s">
        <v>79</v>
      </c>
      <c r="E107" s="631" t="s">
        <v>80</v>
      </c>
      <c r="F107" s="631" t="s">
        <v>81</v>
      </c>
      <c r="G107" s="631" t="s">
        <v>82</v>
      </c>
      <c r="H107" s="767" t="s">
        <v>44</v>
      </c>
      <c r="I107" s="766" t="s">
        <v>193</v>
      </c>
      <c r="J107" s="631" t="s">
        <v>194</v>
      </c>
      <c r="K107" s="631" t="s">
        <v>195</v>
      </c>
      <c r="L107" s="631" t="s">
        <v>196</v>
      </c>
      <c r="M107" s="767" t="s">
        <v>440</v>
      </c>
      <c r="N107" s="647"/>
      <c r="O107" s="582" t="s">
        <v>198</v>
      </c>
      <c r="P107" s="583" t="s">
        <v>199</v>
      </c>
      <c r="Q107" s="584" t="s">
        <v>200</v>
      </c>
      <c r="R107" s="748"/>
      <c r="S107" s="582" t="s">
        <v>199</v>
      </c>
      <c r="T107" s="584" t="s">
        <v>201</v>
      </c>
    </row>
    <row r="108" spans="1:20" s="762" customFormat="1" ht="12.75">
      <c r="A108" s="761"/>
      <c r="B108" s="1559"/>
      <c r="C108" s="1560"/>
      <c r="D108" s="768" t="s">
        <v>203</v>
      </c>
      <c r="E108" s="631" t="s">
        <v>203</v>
      </c>
      <c r="F108" s="631" t="s">
        <v>203</v>
      </c>
      <c r="G108" s="631" t="s">
        <v>203</v>
      </c>
      <c r="H108" s="767" t="s">
        <v>203</v>
      </c>
      <c r="I108" s="766" t="s">
        <v>203</v>
      </c>
      <c r="J108" s="631" t="s">
        <v>203</v>
      </c>
      <c r="K108" s="631" t="s">
        <v>203</v>
      </c>
      <c r="L108" s="631" t="s">
        <v>203</v>
      </c>
      <c r="M108" s="767" t="s">
        <v>203</v>
      </c>
      <c r="N108" s="647"/>
      <c r="O108" s="290"/>
      <c r="P108" s="291"/>
      <c r="Q108" s="292"/>
      <c r="R108" s="748"/>
      <c r="S108" s="769"/>
      <c r="T108" s="770"/>
    </row>
    <row r="109" spans="1:20" s="762" customFormat="1" ht="15" customHeight="1">
      <c r="A109" s="761"/>
      <c r="B109" s="1569" t="s">
        <v>441</v>
      </c>
      <c r="C109" s="813" t="s">
        <v>442</v>
      </c>
      <c r="D109" s="785">
        <v>0</v>
      </c>
      <c r="E109" s="788">
        <v>0</v>
      </c>
      <c r="F109" s="788">
        <v>0</v>
      </c>
      <c r="G109" s="788">
        <v>0</v>
      </c>
      <c r="H109" s="789">
        <v>0.77822726834552869</v>
      </c>
      <c r="I109" s="787">
        <v>0</v>
      </c>
      <c r="J109" s="788">
        <v>0</v>
      </c>
      <c r="K109" s="788">
        <v>0</v>
      </c>
      <c r="L109" s="788">
        <v>0</v>
      </c>
      <c r="M109" s="789">
        <v>0</v>
      </c>
      <c r="N109" s="647"/>
      <c r="O109" s="152">
        <f t="shared" ref="O109:O138" si="15">SUM(D109:G109)</f>
        <v>0</v>
      </c>
      <c r="P109" s="153">
        <f t="shared" ref="P109:P138" si="16">H109</f>
        <v>0.77822726834552869</v>
      </c>
      <c r="Q109" s="154">
        <f t="shared" ref="Q109:Q138" si="17">SUM(D109:H109)</f>
        <v>0.77822726834552869</v>
      </c>
      <c r="R109" s="748"/>
      <c r="S109" s="152">
        <f t="shared" ref="S109:S138" si="18">SUM(I109:M109)</f>
        <v>0</v>
      </c>
      <c r="T109" s="814">
        <f>IF(Q109&lt;&gt;0,(S109-Q109)/Q109,"0")</f>
        <v>-1</v>
      </c>
    </row>
    <row r="110" spans="1:20" s="762" customFormat="1" ht="15" customHeight="1">
      <c r="A110" s="761"/>
      <c r="B110" s="1570"/>
      <c r="C110" s="813" t="s">
        <v>443</v>
      </c>
      <c r="D110" s="790">
        <v>0</v>
      </c>
      <c r="E110" s="793">
        <v>0.39835136373760854</v>
      </c>
      <c r="F110" s="793">
        <v>0.39861514260965047</v>
      </c>
      <c r="G110" s="793">
        <v>1.004710419783853</v>
      </c>
      <c r="H110" s="794">
        <v>0.66705194429616743</v>
      </c>
      <c r="I110" s="792">
        <v>1.0598162282997243</v>
      </c>
      <c r="J110" s="793">
        <v>1.1410684372691722</v>
      </c>
      <c r="K110" s="793">
        <v>1.2431337516173968</v>
      </c>
      <c r="L110" s="793">
        <v>1.3435407077179335</v>
      </c>
      <c r="M110" s="794">
        <v>1.4617010821114007</v>
      </c>
      <c r="N110" s="647"/>
      <c r="O110" s="152">
        <f t="shared" si="15"/>
        <v>1.8016769261311121</v>
      </c>
      <c r="P110" s="153">
        <f t="shared" si="16"/>
        <v>0.66705194429616743</v>
      </c>
      <c r="Q110" s="154">
        <f t="shared" si="17"/>
        <v>2.4687288704272796</v>
      </c>
      <c r="R110" s="748"/>
      <c r="S110" s="152">
        <f t="shared" si="18"/>
        <v>6.2492602070156282</v>
      </c>
      <c r="T110" s="814">
        <f t="shared" ref="T110:T138" si="19">IF(Q110&lt;&gt;0,(S110-Q110)/Q110,"0")</f>
        <v>1.531367572144132</v>
      </c>
    </row>
    <row r="111" spans="1:20" s="762" customFormat="1" ht="15" customHeight="1">
      <c r="A111" s="761"/>
      <c r="B111" s="1570"/>
      <c r="C111" s="813" t="s">
        <v>444</v>
      </c>
      <c r="D111" s="790">
        <v>0</v>
      </c>
      <c r="E111" s="793">
        <v>0.19917568186880427</v>
      </c>
      <c r="F111" s="793">
        <v>0.19930757130482524</v>
      </c>
      <c r="G111" s="793">
        <v>0.55817245543547389</v>
      </c>
      <c r="H111" s="794">
        <v>0.33352597214808372</v>
      </c>
      <c r="I111" s="792">
        <v>1.8016875881095318</v>
      </c>
      <c r="J111" s="793">
        <v>1.8672028973495542</v>
      </c>
      <c r="K111" s="793">
        <v>2.0718895860289948</v>
      </c>
      <c r="L111" s="793">
        <v>2.1703349893905082</v>
      </c>
      <c r="M111" s="794">
        <v>2.296958843317916</v>
      </c>
      <c r="N111" s="647"/>
      <c r="O111" s="152">
        <f t="shared" si="15"/>
        <v>0.95665570860910343</v>
      </c>
      <c r="P111" s="153">
        <f t="shared" si="16"/>
        <v>0.33352597214808372</v>
      </c>
      <c r="Q111" s="154">
        <f t="shared" si="17"/>
        <v>1.2901816807571871</v>
      </c>
      <c r="R111" s="748"/>
      <c r="S111" s="152">
        <f t="shared" si="18"/>
        <v>10.208073904196503</v>
      </c>
      <c r="T111" s="814">
        <f t="shared" si="19"/>
        <v>6.9121212589265317</v>
      </c>
    </row>
    <row r="112" spans="1:20" s="762" customFormat="1" ht="15" customHeight="1">
      <c r="A112" s="761"/>
      <c r="B112" s="1570"/>
      <c r="C112" s="813" t="s">
        <v>445</v>
      </c>
      <c r="D112" s="790">
        <v>0</v>
      </c>
      <c r="E112" s="793">
        <v>0</v>
      </c>
      <c r="F112" s="793">
        <v>0</v>
      </c>
      <c r="G112" s="793">
        <v>0</v>
      </c>
      <c r="H112" s="794">
        <v>0</v>
      </c>
      <c r="I112" s="792">
        <v>0</v>
      </c>
      <c r="J112" s="793">
        <v>0</v>
      </c>
      <c r="K112" s="793">
        <v>0</v>
      </c>
      <c r="L112" s="793">
        <v>0</v>
      </c>
      <c r="M112" s="794">
        <v>0</v>
      </c>
      <c r="N112" s="647"/>
      <c r="O112" s="152">
        <f t="shared" si="15"/>
        <v>0</v>
      </c>
      <c r="P112" s="153">
        <f t="shared" si="16"/>
        <v>0</v>
      </c>
      <c r="Q112" s="154">
        <f t="shared" si="17"/>
        <v>0</v>
      </c>
      <c r="R112" s="748"/>
      <c r="S112" s="152">
        <f t="shared" si="18"/>
        <v>0</v>
      </c>
      <c r="T112" s="814" t="str">
        <f t="shared" si="19"/>
        <v>0</v>
      </c>
    </row>
    <row r="113" spans="1:20" s="762" customFormat="1" ht="15" customHeight="1">
      <c r="A113" s="761"/>
      <c r="B113" s="1570"/>
      <c r="C113" s="813" t="s">
        <v>446</v>
      </c>
      <c r="D113" s="790">
        <v>0</v>
      </c>
      <c r="E113" s="793">
        <v>0</v>
      </c>
      <c r="F113" s="793">
        <v>0</v>
      </c>
      <c r="G113" s="793">
        <v>0</v>
      </c>
      <c r="H113" s="794">
        <v>0</v>
      </c>
      <c r="I113" s="792">
        <v>0</v>
      </c>
      <c r="J113" s="793">
        <v>0</v>
      </c>
      <c r="K113" s="793">
        <v>0</v>
      </c>
      <c r="L113" s="793">
        <v>0</v>
      </c>
      <c r="M113" s="794">
        <v>0</v>
      </c>
      <c r="N113" s="647"/>
      <c r="O113" s="152">
        <f t="shared" si="15"/>
        <v>0</v>
      </c>
      <c r="P113" s="153">
        <f t="shared" si="16"/>
        <v>0</v>
      </c>
      <c r="Q113" s="154">
        <f t="shared" si="17"/>
        <v>0</v>
      </c>
      <c r="R113" s="748"/>
      <c r="S113" s="152">
        <f t="shared" si="18"/>
        <v>0</v>
      </c>
      <c r="T113" s="814" t="str">
        <f t="shared" si="19"/>
        <v>0</v>
      </c>
    </row>
    <row r="114" spans="1:20" s="762" customFormat="1" ht="15" customHeight="1">
      <c r="A114" s="761"/>
      <c r="B114" s="1571"/>
      <c r="C114" s="815" t="s">
        <v>447</v>
      </c>
      <c r="D114" s="816">
        <v>0</v>
      </c>
      <c r="E114" s="816">
        <v>0.59752704560641279</v>
      </c>
      <c r="F114" s="816">
        <v>0.59792271391447571</v>
      </c>
      <c r="G114" s="816">
        <v>1.5628828752193269</v>
      </c>
      <c r="H114" s="817">
        <v>1.7788051847897797</v>
      </c>
      <c r="I114" s="818">
        <v>2.8615038164092561</v>
      </c>
      <c r="J114" s="816">
        <v>3.0082713346187262</v>
      </c>
      <c r="K114" s="816">
        <v>3.3150233376463918</v>
      </c>
      <c r="L114" s="816">
        <v>3.5138756971084417</v>
      </c>
      <c r="M114" s="817">
        <v>3.7586599254293169</v>
      </c>
      <c r="N114" s="647"/>
      <c r="O114" s="152">
        <f t="shared" si="15"/>
        <v>2.7583326347402153</v>
      </c>
      <c r="P114" s="153">
        <f t="shared" si="16"/>
        <v>1.7788051847897797</v>
      </c>
      <c r="Q114" s="154">
        <f t="shared" si="17"/>
        <v>4.5371378195299954</v>
      </c>
      <c r="R114" s="748"/>
      <c r="S114" s="152">
        <f t="shared" si="18"/>
        <v>16.457334111212134</v>
      </c>
      <c r="T114" s="814">
        <f t="shared" si="19"/>
        <v>2.6272502105560811</v>
      </c>
    </row>
    <row r="115" spans="1:20" s="762" customFormat="1" ht="15" customHeight="1">
      <c r="A115" s="761"/>
      <c r="B115" s="1569" t="s">
        <v>223</v>
      </c>
      <c r="C115" s="813" t="s">
        <v>442</v>
      </c>
      <c r="D115" s="790">
        <v>5.468788257182907</v>
      </c>
      <c r="E115" s="793">
        <v>8.6641421612929843</v>
      </c>
      <c r="F115" s="793">
        <v>9.7660709939364363</v>
      </c>
      <c r="G115" s="793">
        <v>11.833256055232045</v>
      </c>
      <c r="H115" s="794">
        <v>9.4499025441957052</v>
      </c>
      <c r="I115" s="792">
        <v>9.8562909231874372</v>
      </c>
      <c r="J115" s="793">
        <v>8.9210805095589798</v>
      </c>
      <c r="K115" s="793">
        <v>8.287558344115979</v>
      </c>
      <c r="L115" s="793">
        <v>7.751196390680386</v>
      </c>
      <c r="M115" s="794">
        <v>7.3085054105570046</v>
      </c>
      <c r="N115" s="647"/>
      <c r="O115" s="152">
        <f t="shared" si="15"/>
        <v>35.732257467644374</v>
      </c>
      <c r="P115" s="153">
        <f t="shared" si="16"/>
        <v>9.4499025441957052</v>
      </c>
      <c r="Q115" s="154">
        <f t="shared" si="17"/>
        <v>45.182160011840082</v>
      </c>
      <c r="R115" s="748"/>
      <c r="S115" s="152">
        <f t="shared" si="18"/>
        <v>42.124631578099788</v>
      </c>
      <c r="T115" s="814">
        <f t="shared" si="19"/>
        <v>-6.7671143498652192E-2</v>
      </c>
    </row>
    <row r="116" spans="1:20" s="762" customFormat="1" ht="15" customHeight="1">
      <c r="A116" s="761"/>
      <c r="B116" s="1570"/>
      <c r="C116" s="813" t="s">
        <v>443</v>
      </c>
      <c r="D116" s="790">
        <v>0</v>
      </c>
      <c r="E116" s="793">
        <v>0</v>
      </c>
      <c r="F116" s="793">
        <v>0</v>
      </c>
      <c r="G116" s="793">
        <v>0</v>
      </c>
      <c r="H116" s="794">
        <v>0</v>
      </c>
      <c r="I116" s="792">
        <v>0</v>
      </c>
      <c r="J116" s="793">
        <v>0</v>
      </c>
      <c r="K116" s="793">
        <v>0</v>
      </c>
      <c r="L116" s="793">
        <v>0</v>
      </c>
      <c r="M116" s="794">
        <v>0</v>
      </c>
      <c r="N116" s="647"/>
      <c r="O116" s="152">
        <f t="shared" si="15"/>
        <v>0</v>
      </c>
      <c r="P116" s="153">
        <f t="shared" si="16"/>
        <v>0</v>
      </c>
      <c r="Q116" s="154">
        <f t="shared" si="17"/>
        <v>0</v>
      </c>
      <c r="R116" s="748"/>
      <c r="S116" s="152">
        <f t="shared" si="18"/>
        <v>0</v>
      </c>
      <c r="T116" s="814" t="str">
        <f t="shared" si="19"/>
        <v>0</v>
      </c>
    </row>
    <row r="117" spans="1:20" s="762" customFormat="1" ht="15" customHeight="1">
      <c r="A117" s="761"/>
      <c r="B117" s="1570"/>
      <c r="C117" s="813" t="s">
        <v>444</v>
      </c>
      <c r="D117" s="790">
        <v>0.29829754130088582</v>
      </c>
      <c r="E117" s="793">
        <v>0.39835136373760854</v>
      </c>
      <c r="F117" s="793">
        <v>0.49826892826206309</v>
      </c>
      <c r="G117" s="793">
        <v>0.55817245543547389</v>
      </c>
      <c r="H117" s="794">
        <v>0.55587662024680617</v>
      </c>
      <c r="I117" s="792">
        <v>0</v>
      </c>
      <c r="J117" s="793">
        <v>0</v>
      </c>
      <c r="K117" s="793">
        <v>0</v>
      </c>
      <c r="L117" s="793">
        <v>0</v>
      </c>
      <c r="M117" s="794">
        <v>0</v>
      </c>
      <c r="N117" s="647"/>
      <c r="O117" s="152">
        <f t="shared" si="15"/>
        <v>1.7530902887360313</v>
      </c>
      <c r="P117" s="153">
        <f t="shared" si="16"/>
        <v>0.55587662024680617</v>
      </c>
      <c r="Q117" s="154">
        <f t="shared" si="17"/>
        <v>2.3089669089828373</v>
      </c>
      <c r="R117" s="748"/>
      <c r="S117" s="152">
        <f t="shared" si="18"/>
        <v>0</v>
      </c>
      <c r="T117" s="814">
        <f t="shared" si="19"/>
        <v>-1</v>
      </c>
    </row>
    <row r="118" spans="1:20" s="762" customFormat="1" ht="15" customHeight="1">
      <c r="A118" s="761"/>
      <c r="B118" s="1570"/>
      <c r="C118" s="813" t="s">
        <v>445</v>
      </c>
      <c r="D118" s="790">
        <v>0</v>
      </c>
      <c r="E118" s="793">
        <v>0</v>
      </c>
      <c r="F118" s="793">
        <v>0</v>
      </c>
      <c r="G118" s="793">
        <v>0</v>
      </c>
      <c r="H118" s="794">
        <v>0</v>
      </c>
      <c r="I118" s="792">
        <v>0</v>
      </c>
      <c r="J118" s="793">
        <v>0</v>
      </c>
      <c r="K118" s="793">
        <v>0</v>
      </c>
      <c r="L118" s="793">
        <v>0</v>
      </c>
      <c r="M118" s="794">
        <v>0</v>
      </c>
      <c r="N118" s="647"/>
      <c r="O118" s="152">
        <f t="shared" si="15"/>
        <v>0</v>
      </c>
      <c r="P118" s="153">
        <f t="shared" si="16"/>
        <v>0</v>
      </c>
      <c r="Q118" s="154">
        <f t="shared" si="17"/>
        <v>0</v>
      </c>
      <c r="R118" s="748"/>
      <c r="S118" s="152">
        <f t="shared" si="18"/>
        <v>0</v>
      </c>
      <c r="T118" s="814" t="str">
        <f t="shared" si="19"/>
        <v>0</v>
      </c>
    </row>
    <row r="119" spans="1:20" s="762" customFormat="1" ht="15" customHeight="1">
      <c r="A119" s="761"/>
      <c r="B119" s="1570"/>
      <c r="C119" s="813" t="s">
        <v>446</v>
      </c>
      <c r="D119" s="790">
        <v>0</v>
      </c>
      <c r="E119" s="793">
        <v>0</v>
      </c>
      <c r="F119" s="793">
        <v>0</v>
      </c>
      <c r="G119" s="793">
        <v>0</v>
      </c>
      <c r="H119" s="794">
        <v>0</v>
      </c>
      <c r="I119" s="792">
        <v>0</v>
      </c>
      <c r="J119" s="793">
        <v>0</v>
      </c>
      <c r="K119" s="793">
        <v>0</v>
      </c>
      <c r="L119" s="793">
        <v>0</v>
      </c>
      <c r="M119" s="794">
        <v>0</v>
      </c>
      <c r="N119" s="647"/>
      <c r="O119" s="152">
        <f t="shared" si="15"/>
        <v>0</v>
      </c>
      <c r="P119" s="153">
        <f t="shared" si="16"/>
        <v>0</v>
      </c>
      <c r="Q119" s="154">
        <f t="shared" si="17"/>
        <v>0</v>
      </c>
      <c r="R119" s="748"/>
      <c r="S119" s="152">
        <f t="shared" si="18"/>
        <v>0</v>
      </c>
      <c r="T119" s="814" t="str">
        <f t="shared" si="19"/>
        <v>0</v>
      </c>
    </row>
    <row r="120" spans="1:20" s="762" customFormat="1" ht="15" customHeight="1">
      <c r="A120" s="761"/>
      <c r="B120" s="1571"/>
      <c r="C120" s="815" t="s">
        <v>447</v>
      </c>
      <c r="D120" s="816">
        <v>5.7670857984837927</v>
      </c>
      <c r="E120" s="816">
        <v>9.0624935250305931</v>
      </c>
      <c r="F120" s="816">
        <v>10.264339922198499</v>
      </c>
      <c r="G120" s="816">
        <v>12.391428510667518</v>
      </c>
      <c r="H120" s="817">
        <v>10.005779164442512</v>
      </c>
      <c r="I120" s="818">
        <v>9.8562909231874372</v>
      </c>
      <c r="J120" s="816">
        <v>8.9210805095589798</v>
      </c>
      <c r="K120" s="816">
        <v>8.287558344115979</v>
      </c>
      <c r="L120" s="816">
        <v>7.751196390680386</v>
      </c>
      <c r="M120" s="817">
        <v>7.3085054105570046</v>
      </c>
      <c r="N120" s="647"/>
      <c r="O120" s="152">
        <f t="shared" si="15"/>
        <v>37.485347756380399</v>
      </c>
      <c r="P120" s="153">
        <f t="shared" si="16"/>
        <v>10.005779164442512</v>
      </c>
      <c r="Q120" s="154">
        <f t="shared" si="17"/>
        <v>47.491126920822907</v>
      </c>
      <c r="R120" s="748"/>
      <c r="S120" s="152">
        <f t="shared" si="18"/>
        <v>42.124631578099788</v>
      </c>
      <c r="T120" s="814">
        <f t="shared" si="19"/>
        <v>-0.1129999579009807</v>
      </c>
    </row>
    <row r="121" spans="1:20" s="762" customFormat="1" ht="15" customHeight="1">
      <c r="A121" s="761"/>
      <c r="B121" s="1568" t="s">
        <v>448</v>
      </c>
      <c r="C121" s="813" t="s">
        <v>442</v>
      </c>
      <c r="D121" s="790">
        <v>0.39773005506784781</v>
      </c>
      <c r="E121" s="793">
        <v>9.9587840934402136E-2</v>
      </c>
      <c r="F121" s="793">
        <v>0</v>
      </c>
      <c r="G121" s="793">
        <v>2.4559588039160856</v>
      </c>
      <c r="H121" s="794">
        <v>0.44470129619744503</v>
      </c>
      <c r="I121" s="792">
        <v>0.21196324565994493</v>
      </c>
      <c r="J121" s="793">
        <v>0</v>
      </c>
      <c r="K121" s="793">
        <v>0.82875583441159795</v>
      </c>
      <c r="L121" s="793">
        <v>0.41339714083628726</v>
      </c>
      <c r="M121" s="794">
        <v>0</v>
      </c>
      <c r="N121" s="647"/>
      <c r="O121" s="152">
        <f t="shared" si="15"/>
        <v>2.9532766999183355</v>
      </c>
      <c r="P121" s="153">
        <f t="shared" si="16"/>
        <v>0.44470129619744503</v>
      </c>
      <c r="Q121" s="154">
        <f t="shared" si="17"/>
        <v>3.3979779961157806</v>
      </c>
      <c r="R121" s="748"/>
      <c r="S121" s="152">
        <f t="shared" si="18"/>
        <v>1.4541162209078302</v>
      </c>
      <c r="T121" s="814">
        <f t="shared" si="19"/>
        <v>-0.57206426216708095</v>
      </c>
    </row>
    <row r="122" spans="1:20" s="762" customFormat="1" ht="15" customHeight="1">
      <c r="A122" s="761"/>
      <c r="B122" s="1569"/>
      <c r="C122" s="813" t="s">
        <v>443</v>
      </c>
      <c r="D122" s="790">
        <v>0</v>
      </c>
      <c r="E122" s="793">
        <v>0</v>
      </c>
      <c r="F122" s="793">
        <v>0</v>
      </c>
      <c r="G122" s="793">
        <v>0</v>
      </c>
      <c r="H122" s="794">
        <v>0</v>
      </c>
      <c r="I122" s="792">
        <v>0.21196324565994493</v>
      </c>
      <c r="J122" s="793">
        <v>3.8381392889963055</v>
      </c>
      <c r="K122" s="793">
        <v>1.8647006274260953</v>
      </c>
      <c r="L122" s="793">
        <v>5.4775121160808053</v>
      </c>
      <c r="M122" s="794">
        <v>2.5057732836195439</v>
      </c>
      <c r="N122" s="647"/>
      <c r="O122" s="152">
        <f t="shared" si="15"/>
        <v>0</v>
      </c>
      <c r="P122" s="153">
        <f t="shared" si="16"/>
        <v>0</v>
      </c>
      <c r="Q122" s="154">
        <f t="shared" si="17"/>
        <v>0</v>
      </c>
      <c r="R122" s="748"/>
      <c r="S122" s="152">
        <f t="shared" si="18"/>
        <v>13.898088561782695</v>
      </c>
      <c r="T122" s="814" t="str">
        <f t="shared" si="19"/>
        <v>0</v>
      </c>
    </row>
    <row r="123" spans="1:20" s="762" customFormat="1" ht="15" customHeight="1">
      <c r="A123" s="761"/>
      <c r="B123" s="1569"/>
      <c r="C123" s="813" t="s">
        <v>444</v>
      </c>
      <c r="D123" s="790">
        <v>0</v>
      </c>
      <c r="E123" s="793">
        <v>0</v>
      </c>
      <c r="F123" s="793">
        <v>0</v>
      </c>
      <c r="G123" s="793">
        <v>0</v>
      </c>
      <c r="H123" s="794">
        <v>0</v>
      </c>
      <c r="I123" s="792">
        <v>0</v>
      </c>
      <c r="J123" s="793">
        <v>0</v>
      </c>
      <c r="K123" s="793">
        <v>0</v>
      </c>
      <c r="L123" s="793">
        <v>0</v>
      </c>
      <c r="M123" s="794">
        <v>0</v>
      </c>
      <c r="N123" s="647"/>
      <c r="O123" s="152">
        <f t="shared" si="15"/>
        <v>0</v>
      </c>
      <c r="P123" s="153">
        <f t="shared" si="16"/>
        <v>0</v>
      </c>
      <c r="Q123" s="154">
        <f t="shared" si="17"/>
        <v>0</v>
      </c>
      <c r="R123" s="748"/>
      <c r="S123" s="152">
        <f t="shared" si="18"/>
        <v>0</v>
      </c>
      <c r="T123" s="814" t="str">
        <f t="shared" si="19"/>
        <v>0</v>
      </c>
    </row>
    <row r="124" spans="1:20" s="762" customFormat="1" ht="15" customHeight="1">
      <c r="A124" s="761"/>
      <c r="B124" s="1569"/>
      <c r="C124" s="813" t="s">
        <v>446</v>
      </c>
      <c r="D124" s="790">
        <v>0</v>
      </c>
      <c r="E124" s="793">
        <v>0</v>
      </c>
      <c r="F124" s="793">
        <v>0</v>
      </c>
      <c r="G124" s="793">
        <v>0</v>
      </c>
      <c r="H124" s="794">
        <v>0</v>
      </c>
      <c r="I124" s="792">
        <v>0</v>
      </c>
      <c r="J124" s="793">
        <v>0</v>
      </c>
      <c r="K124" s="793">
        <v>0</v>
      </c>
      <c r="L124" s="793">
        <v>0</v>
      </c>
      <c r="M124" s="794">
        <v>0</v>
      </c>
      <c r="N124" s="647"/>
      <c r="O124" s="152">
        <f t="shared" si="15"/>
        <v>0</v>
      </c>
      <c r="P124" s="153">
        <f t="shared" si="16"/>
        <v>0</v>
      </c>
      <c r="Q124" s="154">
        <f t="shared" si="17"/>
        <v>0</v>
      </c>
      <c r="R124" s="748"/>
      <c r="S124" s="152">
        <f t="shared" si="18"/>
        <v>0</v>
      </c>
      <c r="T124" s="814" t="str">
        <f t="shared" si="19"/>
        <v>0</v>
      </c>
    </row>
    <row r="125" spans="1:20" s="762" customFormat="1" ht="15" customHeight="1">
      <c r="A125" s="761"/>
      <c r="B125" s="1568" t="s">
        <v>449</v>
      </c>
      <c r="C125" s="813" t="s">
        <v>450</v>
      </c>
      <c r="D125" s="790">
        <v>0</v>
      </c>
      <c r="E125" s="793">
        <v>0</v>
      </c>
      <c r="F125" s="793">
        <v>0</v>
      </c>
      <c r="G125" s="793">
        <v>0</v>
      </c>
      <c r="H125" s="794">
        <v>0</v>
      </c>
      <c r="I125" s="792">
        <v>0</v>
      </c>
      <c r="J125" s="793">
        <v>0</v>
      </c>
      <c r="K125" s="793">
        <v>0</v>
      </c>
      <c r="L125" s="793">
        <v>0</v>
      </c>
      <c r="M125" s="794">
        <v>0</v>
      </c>
      <c r="N125" s="647"/>
      <c r="O125" s="152">
        <f t="shared" si="15"/>
        <v>0</v>
      </c>
      <c r="P125" s="153">
        <f t="shared" si="16"/>
        <v>0</v>
      </c>
      <c r="Q125" s="154">
        <f t="shared" si="17"/>
        <v>0</v>
      </c>
      <c r="R125" s="748"/>
      <c r="S125" s="152">
        <f t="shared" si="18"/>
        <v>0</v>
      </c>
      <c r="T125" s="814" t="str">
        <f t="shared" si="19"/>
        <v>0</v>
      </c>
    </row>
    <row r="126" spans="1:20" s="762" customFormat="1" ht="15" customHeight="1">
      <c r="A126" s="761"/>
      <c r="B126" s="1569"/>
      <c r="C126" s="815" t="s">
        <v>451</v>
      </c>
      <c r="D126" s="790">
        <v>0</v>
      </c>
      <c r="E126" s="793">
        <v>0</v>
      </c>
      <c r="F126" s="793">
        <v>0</v>
      </c>
      <c r="G126" s="793">
        <v>0</v>
      </c>
      <c r="H126" s="794">
        <v>0</v>
      </c>
      <c r="I126" s="792">
        <v>0</v>
      </c>
      <c r="J126" s="793">
        <v>0</v>
      </c>
      <c r="K126" s="793">
        <v>0</v>
      </c>
      <c r="L126" s="793">
        <v>0</v>
      </c>
      <c r="M126" s="794">
        <v>0</v>
      </c>
      <c r="N126" s="647"/>
      <c r="O126" s="152">
        <f t="shared" si="15"/>
        <v>0</v>
      </c>
      <c r="P126" s="153">
        <f t="shared" si="16"/>
        <v>0</v>
      </c>
      <c r="Q126" s="154">
        <f t="shared" si="17"/>
        <v>0</v>
      </c>
      <c r="R126" s="748"/>
      <c r="S126" s="152">
        <f t="shared" si="18"/>
        <v>0</v>
      </c>
      <c r="T126" s="814" t="str">
        <f t="shared" si="19"/>
        <v>0</v>
      </c>
    </row>
    <row r="127" spans="1:20" s="762" customFormat="1" ht="15" customHeight="1">
      <c r="A127" s="761"/>
      <c r="B127" s="1569"/>
      <c r="C127" s="813" t="s">
        <v>444</v>
      </c>
      <c r="D127" s="790">
        <v>0</v>
      </c>
      <c r="E127" s="790">
        <v>0</v>
      </c>
      <c r="F127" s="790">
        <v>0</v>
      </c>
      <c r="G127" s="790">
        <v>0</v>
      </c>
      <c r="H127" s="791">
        <v>0</v>
      </c>
      <c r="I127" s="792">
        <v>0</v>
      </c>
      <c r="J127" s="790">
        <v>0.20746698859439494</v>
      </c>
      <c r="K127" s="790">
        <v>0</v>
      </c>
      <c r="L127" s="790">
        <v>0</v>
      </c>
      <c r="M127" s="791">
        <v>0</v>
      </c>
      <c r="N127" s="647"/>
      <c r="O127" s="152">
        <f t="shared" si="15"/>
        <v>0</v>
      </c>
      <c r="P127" s="153">
        <f t="shared" si="16"/>
        <v>0</v>
      </c>
      <c r="Q127" s="154">
        <f t="shared" si="17"/>
        <v>0</v>
      </c>
      <c r="R127" s="748"/>
      <c r="S127" s="152">
        <f t="shared" si="18"/>
        <v>0.20746698859439494</v>
      </c>
      <c r="T127" s="814" t="str">
        <f t="shared" si="19"/>
        <v>0</v>
      </c>
    </row>
    <row r="128" spans="1:20" s="762" customFormat="1" ht="15" customHeight="1">
      <c r="A128" s="761"/>
      <c r="B128" s="1569"/>
      <c r="C128" s="813" t="s">
        <v>452</v>
      </c>
      <c r="D128" s="790">
        <v>0</v>
      </c>
      <c r="E128" s="790">
        <v>0</v>
      </c>
      <c r="F128" s="790">
        <v>0</v>
      </c>
      <c r="G128" s="790">
        <v>0</v>
      </c>
      <c r="H128" s="791">
        <v>0</v>
      </c>
      <c r="I128" s="792">
        <v>0</v>
      </c>
      <c r="J128" s="790">
        <v>0</v>
      </c>
      <c r="K128" s="790">
        <v>1.1395392723159472</v>
      </c>
      <c r="L128" s="790">
        <v>0.62009571125443086</v>
      </c>
      <c r="M128" s="791">
        <v>0</v>
      </c>
      <c r="N128" s="647"/>
      <c r="O128" s="152">
        <f t="shared" si="15"/>
        <v>0</v>
      </c>
      <c r="P128" s="153">
        <f t="shared" si="16"/>
        <v>0</v>
      </c>
      <c r="Q128" s="154">
        <f t="shared" si="17"/>
        <v>0</v>
      </c>
      <c r="R128" s="748"/>
      <c r="S128" s="152">
        <f t="shared" si="18"/>
        <v>1.7596349835703782</v>
      </c>
      <c r="T128" s="814" t="str">
        <f t="shared" si="19"/>
        <v>0</v>
      </c>
    </row>
    <row r="129" spans="1:20" s="762" customFormat="1" ht="15" customHeight="1">
      <c r="A129" s="761"/>
      <c r="B129" s="819" t="s">
        <v>453</v>
      </c>
      <c r="C129" s="815" t="s">
        <v>447</v>
      </c>
      <c r="D129" s="816">
        <v>0.39773005506784781</v>
      </c>
      <c r="E129" s="816">
        <v>9.9587840934402136E-2</v>
      </c>
      <c r="F129" s="816">
        <v>0</v>
      </c>
      <c r="G129" s="816">
        <v>2.4559588039160856</v>
      </c>
      <c r="H129" s="817">
        <v>0.44470129619744503</v>
      </c>
      <c r="I129" s="818">
        <v>0.42392649131988985</v>
      </c>
      <c r="J129" s="816">
        <v>4.0456062775907</v>
      </c>
      <c r="K129" s="816">
        <v>3.8329957341536405</v>
      </c>
      <c r="L129" s="816">
        <v>6.5110049681715232</v>
      </c>
      <c r="M129" s="817">
        <v>2.5057732836195439</v>
      </c>
      <c r="N129" s="647"/>
      <c r="O129" s="152">
        <f t="shared" si="15"/>
        <v>2.9532766999183355</v>
      </c>
      <c r="P129" s="153">
        <f t="shared" si="16"/>
        <v>0.44470129619744503</v>
      </c>
      <c r="Q129" s="154">
        <f t="shared" si="17"/>
        <v>3.3979779961157806</v>
      </c>
      <c r="R129" s="748"/>
      <c r="S129" s="152">
        <f t="shared" si="18"/>
        <v>17.319306754855297</v>
      </c>
      <c r="T129" s="814">
        <f t="shared" si="19"/>
        <v>4.096944940388946</v>
      </c>
    </row>
    <row r="130" spans="1:20" s="762" customFormat="1" ht="15" customHeight="1">
      <c r="A130" s="761"/>
      <c r="B130" s="1568" t="s">
        <v>454</v>
      </c>
      <c r="C130" s="813" t="s">
        <v>442</v>
      </c>
      <c r="D130" s="790">
        <v>0</v>
      </c>
      <c r="E130" s="793">
        <v>0</v>
      </c>
      <c r="F130" s="793">
        <v>0</v>
      </c>
      <c r="G130" s="793">
        <v>0</v>
      </c>
      <c r="H130" s="794">
        <v>0</v>
      </c>
      <c r="I130" s="792">
        <v>0</v>
      </c>
      <c r="J130" s="793">
        <v>0</v>
      </c>
      <c r="K130" s="793">
        <v>0</v>
      </c>
      <c r="L130" s="793">
        <v>0</v>
      </c>
      <c r="M130" s="794">
        <v>0</v>
      </c>
      <c r="N130" s="647"/>
      <c r="O130" s="152">
        <f t="shared" si="15"/>
        <v>0</v>
      </c>
      <c r="P130" s="153">
        <f t="shared" si="16"/>
        <v>0</v>
      </c>
      <c r="Q130" s="154">
        <f t="shared" si="17"/>
        <v>0</v>
      </c>
      <c r="R130" s="748"/>
      <c r="S130" s="152">
        <f t="shared" si="18"/>
        <v>0</v>
      </c>
      <c r="T130" s="814" t="str">
        <f t="shared" si="19"/>
        <v>0</v>
      </c>
    </row>
    <row r="131" spans="1:20" s="762" customFormat="1" ht="15" customHeight="1">
      <c r="A131" s="761"/>
      <c r="B131" s="1569"/>
      <c r="C131" s="813" t="s">
        <v>443</v>
      </c>
      <c r="D131" s="790">
        <v>0</v>
      </c>
      <c r="E131" s="793">
        <v>0</v>
      </c>
      <c r="F131" s="793">
        <v>0</v>
      </c>
      <c r="G131" s="793">
        <v>0</v>
      </c>
      <c r="H131" s="794">
        <v>0</v>
      </c>
      <c r="I131" s="792">
        <v>0</v>
      </c>
      <c r="J131" s="793">
        <v>0</v>
      </c>
      <c r="K131" s="793">
        <v>0</v>
      </c>
      <c r="L131" s="793">
        <v>0</v>
      </c>
      <c r="M131" s="794">
        <v>0</v>
      </c>
      <c r="N131" s="647"/>
      <c r="O131" s="152">
        <f t="shared" si="15"/>
        <v>0</v>
      </c>
      <c r="P131" s="153">
        <f t="shared" si="16"/>
        <v>0</v>
      </c>
      <c r="Q131" s="154">
        <f t="shared" si="17"/>
        <v>0</v>
      </c>
      <c r="R131" s="748"/>
      <c r="S131" s="152">
        <f t="shared" si="18"/>
        <v>0</v>
      </c>
      <c r="T131" s="814" t="str">
        <f t="shared" si="19"/>
        <v>0</v>
      </c>
    </row>
    <row r="132" spans="1:20" s="762" customFormat="1" ht="15" customHeight="1">
      <c r="A132" s="761"/>
      <c r="B132" s="1569"/>
      <c r="C132" s="813" t="s">
        <v>444</v>
      </c>
      <c r="D132" s="790">
        <v>0</v>
      </c>
      <c r="E132" s="793">
        <v>0</v>
      </c>
      <c r="F132" s="793">
        <v>0</v>
      </c>
      <c r="G132" s="793">
        <v>0</v>
      </c>
      <c r="H132" s="794">
        <v>0</v>
      </c>
      <c r="I132" s="792">
        <v>0</v>
      </c>
      <c r="J132" s="793">
        <v>0</v>
      </c>
      <c r="K132" s="793">
        <v>0</v>
      </c>
      <c r="L132" s="793">
        <v>0</v>
      </c>
      <c r="M132" s="794">
        <v>0</v>
      </c>
      <c r="N132" s="647"/>
      <c r="O132" s="152">
        <f t="shared" si="15"/>
        <v>0</v>
      </c>
      <c r="P132" s="153">
        <f t="shared" si="16"/>
        <v>0</v>
      </c>
      <c r="Q132" s="154">
        <f t="shared" si="17"/>
        <v>0</v>
      </c>
      <c r="R132" s="748"/>
      <c r="S132" s="152">
        <f t="shared" si="18"/>
        <v>0</v>
      </c>
      <c r="T132" s="814" t="str">
        <f t="shared" si="19"/>
        <v>0</v>
      </c>
    </row>
    <row r="133" spans="1:20" s="762" customFormat="1" ht="15" customHeight="1">
      <c r="A133" s="761"/>
      <c r="B133" s="1569"/>
      <c r="C133" s="813" t="s">
        <v>446</v>
      </c>
      <c r="D133" s="790">
        <v>0</v>
      </c>
      <c r="E133" s="793">
        <v>0</v>
      </c>
      <c r="F133" s="793">
        <v>0</v>
      </c>
      <c r="G133" s="793">
        <v>0</v>
      </c>
      <c r="H133" s="794">
        <v>0</v>
      </c>
      <c r="I133" s="792">
        <v>0</v>
      </c>
      <c r="J133" s="793">
        <v>0</v>
      </c>
      <c r="K133" s="793">
        <v>0</v>
      </c>
      <c r="L133" s="793">
        <v>0</v>
      </c>
      <c r="M133" s="794">
        <v>0</v>
      </c>
      <c r="N133" s="647"/>
      <c r="O133" s="152">
        <f t="shared" si="15"/>
        <v>0</v>
      </c>
      <c r="P133" s="153">
        <f t="shared" si="16"/>
        <v>0</v>
      </c>
      <c r="Q133" s="154">
        <f t="shared" si="17"/>
        <v>0</v>
      </c>
      <c r="R133" s="748"/>
      <c r="S133" s="152">
        <f t="shared" si="18"/>
        <v>0</v>
      </c>
      <c r="T133" s="814" t="str">
        <f t="shared" si="19"/>
        <v>0</v>
      </c>
    </row>
    <row r="134" spans="1:20" s="762" customFormat="1" ht="15" customHeight="1">
      <c r="A134" s="761"/>
      <c r="B134" s="1568" t="s">
        <v>455</v>
      </c>
      <c r="C134" s="813" t="s">
        <v>450</v>
      </c>
      <c r="D134" s="790">
        <v>0</v>
      </c>
      <c r="E134" s="793">
        <v>0</v>
      </c>
      <c r="F134" s="793">
        <v>0</v>
      </c>
      <c r="G134" s="793">
        <v>0</v>
      </c>
      <c r="H134" s="794">
        <v>0</v>
      </c>
      <c r="I134" s="792">
        <v>0</v>
      </c>
      <c r="J134" s="793">
        <v>0</v>
      </c>
      <c r="K134" s="793">
        <v>0</v>
      </c>
      <c r="L134" s="793">
        <v>0</v>
      </c>
      <c r="M134" s="794">
        <v>0</v>
      </c>
      <c r="N134" s="647"/>
      <c r="O134" s="152">
        <f t="shared" si="15"/>
        <v>0</v>
      </c>
      <c r="P134" s="153">
        <f t="shared" si="16"/>
        <v>0</v>
      </c>
      <c r="Q134" s="154">
        <f t="shared" si="17"/>
        <v>0</v>
      </c>
      <c r="R134" s="748"/>
      <c r="S134" s="152">
        <f t="shared" si="18"/>
        <v>0</v>
      </c>
      <c r="T134" s="814" t="str">
        <f t="shared" si="19"/>
        <v>0</v>
      </c>
    </row>
    <row r="135" spans="1:20" s="762" customFormat="1" ht="15" customHeight="1">
      <c r="A135" s="761"/>
      <c r="B135" s="1569"/>
      <c r="C135" s="815" t="s">
        <v>451</v>
      </c>
      <c r="D135" s="790">
        <v>9.9432513766961952E-2</v>
      </c>
      <c r="E135" s="793">
        <v>4.5810406829824979</v>
      </c>
      <c r="F135" s="793">
        <v>6.9757649956688832</v>
      </c>
      <c r="G135" s="793">
        <v>4.6886486256579811</v>
      </c>
      <c r="H135" s="794">
        <v>2.3346818050365865</v>
      </c>
      <c r="I135" s="792">
        <v>4.4512281588588438</v>
      </c>
      <c r="J135" s="793">
        <v>3.8381392889963055</v>
      </c>
      <c r="K135" s="793">
        <v>4.868940527168137</v>
      </c>
      <c r="L135" s="793">
        <v>4.2373206935719443</v>
      </c>
      <c r="M135" s="794">
        <v>2.0881444030162868</v>
      </c>
      <c r="N135" s="647"/>
      <c r="O135" s="152">
        <f t="shared" si="15"/>
        <v>16.344886818076326</v>
      </c>
      <c r="P135" s="153">
        <f t="shared" si="16"/>
        <v>2.3346818050365865</v>
      </c>
      <c r="Q135" s="154">
        <f t="shared" si="17"/>
        <v>18.679568623112914</v>
      </c>
      <c r="R135" s="748"/>
      <c r="S135" s="152">
        <f t="shared" si="18"/>
        <v>19.483773071611516</v>
      </c>
      <c r="T135" s="814">
        <f t="shared" si="19"/>
        <v>4.3052624218716196E-2</v>
      </c>
    </row>
    <row r="136" spans="1:20" s="762" customFormat="1" ht="15" customHeight="1">
      <c r="A136" s="761"/>
      <c r="B136" s="1569"/>
      <c r="C136" s="813" t="s">
        <v>444</v>
      </c>
      <c r="D136" s="790">
        <v>0</v>
      </c>
      <c r="E136" s="793">
        <v>0</v>
      </c>
      <c r="F136" s="793">
        <v>0</v>
      </c>
      <c r="G136" s="793">
        <v>7.814414376096634</v>
      </c>
      <c r="H136" s="794">
        <v>3.8911363417276434</v>
      </c>
      <c r="I136" s="792">
        <v>0</v>
      </c>
      <c r="J136" s="793">
        <v>0</v>
      </c>
      <c r="K136" s="793">
        <v>0</v>
      </c>
      <c r="L136" s="793">
        <v>0</v>
      </c>
      <c r="M136" s="794">
        <v>0</v>
      </c>
      <c r="N136" s="647"/>
      <c r="O136" s="152">
        <f t="shared" si="15"/>
        <v>7.814414376096634</v>
      </c>
      <c r="P136" s="153">
        <f t="shared" si="16"/>
        <v>3.8911363417276434</v>
      </c>
      <c r="Q136" s="154">
        <f t="shared" si="17"/>
        <v>11.705550717824277</v>
      </c>
      <c r="R136" s="748"/>
      <c r="S136" s="152">
        <f t="shared" si="18"/>
        <v>0</v>
      </c>
      <c r="T136" s="814">
        <f t="shared" si="19"/>
        <v>-1</v>
      </c>
    </row>
    <row r="137" spans="1:20" s="762" customFormat="1" ht="15" customHeight="1">
      <c r="A137" s="761"/>
      <c r="B137" s="1569"/>
      <c r="C137" s="813" t="s">
        <v>452</v>
      </c>
      <c r="D137" s="790">
        <v>0</v>
      </c>
      <c r="E137" s="793">
        <v>0</v>
      </c>
      <c r="F137" s="793">
        <v>0</v>
      </c>
      <c r="G137" s="793">
        <v>0</v>
      </c>
      <c r="H137" s="794">
        <v>0</v>
      </c>
      <c r="I137" s="792">
        <v>0</v>
      </c>
      <c r="J137" s="793">
        <v>0</v>
      </c>
      <c r="K137" s="793">
        <v>0</v>
      </c>
      <c r="L137" s="793">
        <v>0</v>
      </c>
      <c r="M137" s="794">
        <v>0</v>
      </c>
      <c r="N137" s="647"/>
      <c r="O137" s="152">
        <f t="shared" si="15"/>
        <v>0</v>
      </c>
      <c r="P137" s="153">
        <f t="shared" si="16"/>
        <v>0</v>
      </c>
      <c r="Q137" s="154">
        <f t="shared" si="17"/>
        <v>0</v>
      </c>
      <c r="R137" s="748"/>
      <c r="S137" s="152">
        <f t="shared" si="18"/>
        <v>0</v>
      </c>
      <c r="T137" s="814" t="str">
        <f t="shared" si="19"/>
        <v>0</v>
      </c>
    </row>
    <row r="138" spans="1:20" s="762" customFormat="1" ht="15" customHeight="1" thickBot="1">
      <c r="A138" s="761"/>
      <c r="B138" s="820" t="s">
        <v>456</v>
      </c>
      <c r="C138" s="821" t="s">
        <v>447</v>
      </c>
      <c r="D138" s="822">
        <v>9.9432513766961952E-2</v>
      </c>
      <c r="E138" s="822">
        <v>4.5810406829824979</v>
      </c>
      <c r="F138" s="822">
        <v>6.9757649956688832</v>
      </c>
      <c r="G138" s="822">
        <v>12.503063001754615</v>
      </c>
      <c r="H138" s="823">
        <v>6.2258181467642295</v>
      </c>
      <c r="I138" s="824">
        <v>4.4512281588588438</v>
      </c>
      <c r="J138" s="822">
        <v>3.8381392889963055</v>
      </c>
      <c r="K138" s="822">
        <v>4.868940527168137</v>
      </c>
      <c r="L138" s="822">
        <v>4.2373206935719443</v>
      </c>
      <c r="M138" s="823">
        <v>2.0881444030162868</v>
      </c>
      <c r="N138" s="647"/>
      <c r="O138" s="172">
        <f t="shared" si="15"/>
        <v>24.159301194172958</v>
      </c>
      <c r="P138" s="173">
        <f t="shared" si="16"/>
        <v>6.2258181467642295</v>
      </c>
      <c r="Q138" s="174">
        <f t="shared" si="17"/>
        <v>30.385119340937187</v>
      </c>
      <c r="R138" s="748"/>
      <c r="S138" s="172">
        <f t="shared" si="18"/>
        <v>19.483773071611516</v>
      </c>
      <c r="T138" s="825">
        <f t="shared" si="19"/>
        <v>-0.35877253424634514</v>
      </c>
    </row>
    <row r="139" spans="1:20" s="762" customFormat="1" ht="12.75">
      <c r="A139" s="761"/>
      <c r="B139" s="647"/>
      <c r="C139" s="647"/>
      <c r="D139" s="647"/>
      <c r="E139" s="647"/>
      <c r="F139" s="647"/>
      <c r="G139" s="647"/>
      <c r="H139" s="647"/>
      <c r="I139" s="647"/>
      <c r="J139" s="647"/>
      <c r="K139" s="647"/>
      <c r="L139" s="647"/>
      <c r="M139" s="647"/>
      <c r="N139" s="647"/>
      <c r="O139" s="647"/>
      <c r="P139" s="647"/>
      <c r="Q139" s="647"/>
    </row>
    <row r="140" spans="1:20" s="762" customFormat="1" ht="12.75">
      <c r="A140" s="761"/>
      <c r="B140" s="760" t="s">
        <v>457</v>
      </c>
      <c r="C140" s="647"/>
      <c r="D140" s="647"/>
      <c r="E140" s="647"/>
      <c r="F140" s="647"/>
      <c r="G140" s="647"/>
      <c r="H140" s="647"/>
      <c r="I140" s="647"/>
      <c r="J140" s="647"/>
      <c r="K140" s="647"/>
      <c r="L140" s="647"/>
      <c r="M140" s="647"/>
      <c r="N140" s="647"/>
      <c r="O140" s="647"/>
      <c r="P140" s="647"/>
      <c r="Q140" s="647"/>
    </row>
    <row r="141" spans="1:20" s="762" customFormat="1" ht="13.5" thickBot="1">
      <c r="A141" s="761"/>
      <c r="B141" s="647"/>
      <c r="C141" s="647"/>
      <c r="E141" s="647"/>
      <c r="F141" s="647"/>
      <c r="G141" s="647"/>
      <c r="H141" s="647"/>
      <c r="I141" s="647"/>
      <c r="J141" s="647"/>
      <c r="K141" s="647"/>
      <c r="L141" s="647"/>
      <c r="M141" s="647"/>
      <c r="N141" s="647"/>
      <c r="O141" s="647"/>
      <c r="P141" s="647"/>
      <c r="Q141" s="647"/>
    </row>
    <row r="142" spans="1:20" s="762" customFormat="1" ht="12.75">
      <c r="A142" s="761"/>
      <c r="B142" s="1555" t="s">
        <v>419</v>
      </c>
      <c r="C142" s="1556"/>
      <c r="D142" s="763" t="s">
        <v>420</v>
      </c>
      <c r="E142" s="764"/>
      <c r="F142" s="764"/>
      <c r="G142" s="764"/>
      <c r="H142" s="765"/>
      <c r="I142" s="763" t="s">
        <v>421</v>
      </c>
      <c r="J142" s="764"/>
      <c r="K142" s="764"/>
      <c r="L142" s="764"/>
      <c r="M142" s="765"/>
      <c r="N142" s="647"/>
      <c r="O142" s="577" t="s">
        <v>191</v>
      </c>
      <c r="P142" s="578"/>
      <c r="Q142" s="579"/>
      <c r="R142" s="748"/>
      <c r="S142" s="577" t="s">
        <v>192</v>
      </c>
      <c r="T142" s="579"/>
    </row>
    <row r="143" spans="1:20" s="762" customFormat="1" ht="12.75">
      <c r="A143" s="761"/>
      <c r="B143" s="1557"/>
      <c r="C143" s="1558"/>
      <c r="D143" s="766" t="s">
        <v>79</v>
      </c>
      <c r="E143" s="631" t="s">
        <v>80</v>
      </c>
      <c r="F143" s="631" t="s">
        <v>81</v>
      </c>
      <c r="G143" s="631" t="s">
        <v>82</v>
      </c>
      <c r="H143" s="767" t="s">
        <v>44</v>
      </c>
      <c r="I143" s="766" t="s">
        <v>193</v>
      </c>
      <c r="J143" s="631" t="s">
        <v>194</v>
      </c>
      <c r="K143" s="631" t="s">
        <v>195</v>
      </c>
      <c r="L143" s="631" t="s">
        <v>196</v>
      </c>
      <c r="M143" s="767" t="s">
        <v>440</v>
      </c>
      <c r="N143" s="647"/>
      <c r="O143" s="582" t="s">
        <v>198</v>
      </c>
      <c r="P143" s="583" t="s">
        <v>199</v>
      </c>
      <c r="Q143" s="584" t="s">
        <v>200</v>
      </c>
      <c r="R143" s="748"/>
      <c r="S143" s="582" t="s">
        <v>199</v>
      </c>
      <c r="T143" s="584" t="s">
        <v>201</v>
      </c>
    </row>
    <row r="144" spans="1:20" s="762" customFormat="1" ht="12.75">
      <c r="A144" s="761"/>
      <c r="B144" s="1559"/>
      <c r="C144" s="1560"/>
      <c r="D144" s="766" t="s">
        <v>203</v>
      </c>
      <c r="E144" s="631" t="s">
        <v>203</v>
      </c>
      <c r="F144" s="631" t="s">
        <v>203</v>
      </c>
      <c r="G144" s="631" t="s">
        <v>203</v>
      </c>
      <c r="H144" s="767" t="s">
        <v>203</v>
      </c>
      <c r="I144" s="766" t="s">
        <v>203</v>
      </c>
      <c r="J144" s="631" t="s">
        <v>203</v>
      </c>
      <c r="K144" s="631" t="s">
        <v>203</v>
      </c>
      <c r="L144" s="631" t="s">
        <v>203</v>
      </c>
      <c r="M144" s="767" t="s">
        <v>203</v>
      </c>
      <c r="N144" s="647"/>
      <c r="O144" s="290"/>
      <c r="P144" s="291"/>
      <c r="Q144" s="292"/>
      <c r="R144" s="748"/>
      <c r="S144" s="769"/>
      <c r="T144" s="770"/>
    </row>
    <row r="145" spans="1:20" s="762" customFormat="1" ht="12.75">
      <c r="A145" s="761"/>
      <c r="B145" s="826" t="s">
        <v>458</v>
      </c>
      <c r="C145" s="827" t="s">
        <v>459</v>
      </c>
      <c r="D145" s="828"/>
      <c r="E145" s="647"/>
      <c r="F145" s="647"/>
      <c r="G145" s="647"/>
      <c r="H145" s="829"/>
      <c r="I145" s="830"/>
      <c r="J145" s="647"/>
      <c r="K145" s="647"/>
      <c r="L145" s="647"/>
      <c r="M145" s="829"/>
      <c r="N145" s="647"/>
      <c r="O145" s="830"/>
      <c r="P145" s="647"/>
      <c r="Q145" s="829"/>
      <c r="S145" s="828"/>
      <c r="T145" s="831"/>
    </row>
    <row r="146" spans="1:20" s="762" customFormat="1" ht="12.75">
      <c r="A146" s="761"/>
      <c r="B146" s="830"/>
      <c r="C146" s="832" t="s">
        <v>460</v>
      </c>
      <c r="D146" s="833"/>
      <c r="E146" s="834"/>
      <c r="F146" s="834"/>
      <c r="G146" s="834"/>
      <c r="H146" s="835"/>
      <c r="I146" s="833"/>
      <c r="J146" s="834"/>
      <c r="K146" s="834"/>
      <c r="L146" s="834"/>
      <c r="M146" s="835"/>
      <c r="N146" s="647"/>
      <c r="O146" s="152">
        <f t="shared" ref="O146:O153" si="20">SUM(D146:G146)</f>
        <v>0</v>
      </c>
      <c r="P146" s="153">
        <f t="shared" ref="P146:P153" si="21">H146</f>
        <v>0</v>
      </c>
      <c r="Q146" s="154">
        <f t="shared" ref="Q146:Q153" si="22">SUM(D146:H146)</f>
        <v>0</v>
      </c>
      <c r="R146" s="748"/>
      <c r="S146" s="152">
        <f t="shared" ref="S146:S153" si="23">SUM(I146:M146)</f>
        <v>0</v>
      </c>
      <c r="T146" s="814" t="str">
        <f t="shared" ref="T146:T153" si="24">IF(Q146&lt;&gt;0,(S146-Q146)/Q146,"0")</f>
        <v>0</v>
      </c>
    </row>
    <row r="147" spans="1:20" s="762" customFormat="1" ht="12.75">
      <c r="A147" s="761"/>
      <c r="B147" s="830"/>
      <c r="C147" s="832" t="s">
        <v>461</v>
      </c>
      <c r="D147" s="635"/>
      <c r="E147" s="636"/>
      <c r="F147" s="636"/>
      <c r="G147" s="636"/>
      <c r="H147" s="637"/>
      <c r="I147" s="635"/>
      <c r="J147" s="636"/>
      <c r="K147" s="636"/>
      <c r="L147" s="636"/>
      <c r="M147" s="637"/>
      <c r="N147" s="647"/>
      <c r="O147" s="152">
        <f t="shared" si="20"/>
        <v>0</v>
      </c>
      <c r="P147" s="153">
        <f t="shared" si="21"/>
        <v>0</v>
      </c>
      <c r="Q147" s="154">
        <f t="shared" si="22"/>
        <v>0</v>
      </c>
      <c r="R147" s="748"/>
      <c r="S147" s="152">
        <f t="shared" si="23"/>
        <v>0</v>
      </c>
      <c r="T147" s="814" t="str">
        <f t="shared" si="24"/>
        <v>0</v>
      </c>
    </row>
    <row r="148" spans="1:20" s="762" customFormat="1" ht="12.75">
      <c r="A148" s="761"/>
      <c r="B148" s="830"/>
      <c r="C148" s="836"/>
      <c r="D148" s="635"/>
      <c r="E148" s="636"/>
      <c r="F148" s="636"/>
      <c r="G148" s="636"/>
      <c r="H148" s="637"/>
      <c r="I148" s="635"/>
      <c r="J148" s="636"/>
      <c r="K148" s="636"/>
      <c r="L148" s="636"/>
      <c r="M148" s="637"/>
      <c r="N148" s="647"/>
      <c r="O148" s="152">
        <f t="shared" si="20"/>
        <v>0</v>
      </c>
      <c r="P148" s="153">
        <f t="shared" si="21"/>
        <v>0</v>
      </c>
      <c r="Q148" s="154">
        <f t="shared" si="22"/>
        <v>0</v>
      </c>
      <c r="R148" s="748"/>
      <c r="S148" s="152">
        <f t="shared" si="23"/>
        <v>0</v>
      </c>
      <c r="T148" s="814" t="str">
        <f t="shared" si="24"/>
        <v>0</v>
      </c>
    </row>
    <row r="149" spans="1:20" s="762" customFormat="1" ht="12.75">
      <c r="A149" s="761"/>
      <c r="B149" s="830"/>
      <c r="C149" s="827"/>
      <c r="D149" s="828"/>
      <c r="E149" s="647"/>
      <c r="F149" s="647"/>
      <c r="G149" s="647"/>
      <c r="H149" s="829"/>
      <c r="I149" s="830"/>
      <c r="J149" s="647"/>
      <c r="K149" s="647"/>
      <c r="L149" s="647"/>
      <c r="M149" s="829"/>
      <c r="N149" s="647"/>
      <c r="O149" s="157"/>
      <c r="P149" s="160"/>
      <c r="Q149" s="159"/>
      <c r="R149" s="837"/>
      <c r="S149" s="157"/>
      <c r="T149" s="838"/>
    </row>
    <row r="150" spans="1:20" s="762" customFormat="1" ht="12.75">
      <c r="A150" s="761"/>
      <c r="B150" s="830"/>
      <c r="C150" s="827" t="s">
        <v>462</v>
      </c>
      <c r="D150" s="828"/>
      <c r="E150" s="647"/>
      <c r="F150" s="647"/>
      <c r="G150" s="647"/>
      <c r="H150" s="829"/>
      <c r="I150" s="830"/>
      <c r="J150" s="647"/>
      <c r="K150" s="647"/>
      <c r="L150" s="647"/>
      <c r="M150" s="829"/>
      <c r="N150" s="647"/>
      <c r="O150" s="157"/>
      <c r="P150" s="160"/>
      <c r="Q150" s="159"/>
      <c r="R150" s="837"/>
      <c r="S150" s="157"/>
      <c r="T150" s="838"/>
    </row>
    <row r="151" spans="1:20" s="762" customFormat="1" ht="12.75">
      <c r="A151" s="761"/>
      <c r="B151" s="830"/>
      <c r="C151" s="832" t="s">
        <v>460</v>
      </c>
      <c r="D151" s="833"/>
      <c r="E151" s="834"/>
      <c r="F151" s="834"/>
      <c r="G151" s="834"/>
      <c r="H151" s="835"/>
      <c r="I151" s="833"/>
      <c r="J151" s="834"/>
      <c r="K151" s="834"/>
      <c r="L151" s="834"/>
      <c r="M151" s="835"/>
      <c r="N151" s="647"/>
      <c r="O151" s="152">
        <f t="shared" si="20"/>
        <v>0</v>
      </c>
      <c r="P151" s="153">
        <f t="shared" si="21"/>
        <v>0</v>
      </c>
      <c r="Q151" s="154">
        <f t="shared" si="22"/>
        <v>0</v>
      </c>
      <c r="R151" s="748"/>
      <c r="S151" s="152">
        <f t="shared" si="23"/>
        <v>0</v>
      </c>
      <c r="T151" s="814" t="str">
        <f t="shared" si="24"/>
        <v>0</v>
      </c>
    </row>
    <row r="152" spans="1:20" s="762" customFormat="1" ht="12.75">
      <c r="A152" s="761"/>
      <c r="B152" s="830"/>
      <c r="C152" s="832" t="s">
        <v>461</v>
      </c>
      <c r="D152" s="635"/>
      <c r="E152" s="636"/>
      <c r="F152" s="636"/>
      <c r="G152" s="636"/>
      <c r="H152" s="637"/>
      <c r="I152" s="635"/>
      <c r="J152" s="636"/>
      <c r="K152" s="636"/>
      <c r="L152" s="636"/>
      <c r="M152" s="637"/>
      <c r="N152" s="647"/>
      <c r="O152" s="152">
        <f t="shared" si="20"/>
        <v>0</v>
      </c>
      <c r="P152" s="153">
        <f t="shared" si="21"/>
        <v>0</v>
      </c>
      <c r="Q152" s="154">
        <f t="shared" si="22"/>
        <v>0</v>
      </c>
      <c r="R152" s="748"/>
      <c r="S152" s="152">
        <f t="shared" si="23"/>
        <v>0</v>
      </c>
      <c r="T152" s="814" t="str">
        <f t="shared" si="24"/>
        <v>0</v>
      </c>
    </row>
    <row r="153" spans="1:20" s="762" customFormat="1" ht="13.5" thickBot="1">
      <c r="A153" s="761"/>
      <c r="B153" s="839"/>
      <c r="C153" s="840"/>
      <c r="D153" s="656"/>
      <c r="E153" s="657"/>
      <c r="F153" s="657"/>
      <c r="G153" s="657"/>
      <c r="H153" s="841"/>
      <c r="I153" s="656"/>
      <c r="J153" s="657"/>
      <c r="K153" s="657"/>
      <c r="L153" s="657"/>
      <c r="M153" s="841"/>
      <c r="N153" s="647"/>
      <c r="O153" s="172">
        <f t="shared" si="20"/>
        <v>0</v>
      </c>
      <c r="P153" s="173">
        <f t="shared" si="21"/>
        <v>0</v>
      </c>
      <c r="Q153" s="174">
        <f t="shared" si="22"/>
        <v>0</v>
      </c>
      <c r="R153" s="748"/>
      <c r="S153" s="172">
        <f t="shared" si="23"/>
        <v>0</v>
      </c>
      <c r="T153" s="825" t="str">
        <f t="shared" si="24"/>
        <v>0</v>
      </c>
    </row>
    <row r="154" spans="1:20" s="762" customFormat="1" ht="12.75">
      <c r="A154" s="761"/>
      <c r="B154" s="647"/>
      <c r="E154" s="647"/>
      <c r="F154" s="647"/>
      <c r="G154" s="647"/>
      <c r="H154" s="647"/>
      <c r="I154" s="647"/>
      <c r="J154" s="647"/>
      <c r="K154" s="647"/>
      <c r="L154" s="647"/>
      <c r="M154" s="647"/>
      <c r="N154" s="647"/>
      <c r="O154" s="647"/>
      <c r="P154" s="647"/>
      <c r="Q154" s="647"/>
    </row>
    <row r="155" spans="1:20" s="762" customFormat="1" ht="12.75">
      <c r="A155" s="761"/>
      <c r="B155" s="647"/>
      <c r="C155" s="647"/>
      <c r="E155" s="647"/>
      <c r="F155" s="647"/>
      <c r="G155" s="647"/>
      <c r="H155" s="647"/>
      <c r="I155" s="647"/>
      <c r="J155" s="647"/>
      <c r="K155" s="647"/>
      <c r="L155" s="647"/>
      <c r="M155" s="647"/>
      <c r="N155" s="647"/>
      <c r="O155" s="647"/>
      <c r="P155" s="647"/>
      <c r="Q155" s="647"/>
    </row>
    <row r="156" spans="1:20" s="762" customFormat="1" ht="12.75">
      <c r="A156" s="761"/>
      <c r="B156" s="647"/>
      <c r="C156" s="647"/>
      <c r="E156" s="647"/>
      <c r="F156" s="647"/>
      <c r="G156" s="647"/>
      <c r="H156" s="647"/>
      <c r="I156" s="647"/>
      <c r="J156" s="647"/>
      <c r="K156" s="647"/>
      <c r="L156" s="647"/>
      <c r="M156" s="647"/>
      <c r="N156" s="647"/>
      <c r="O156" s="647"/>
      <c r="P156" s="647"/>
      <c r="Q156" s="647"/>
    </row>
    <row r="157" spans="1:20" s="762" customFormat="1" ht="12.75">
      <c r="A157" s="761"/>
      <c r="B157" s="647"/>
      <c r="C157" s="647"/>
      <c r="E157" s="647"/>
      <c r="F157" s="647"/>
      <c r="G157" s="647"/>
      <c r="H157" s="647"/>
      <c r="I157" s="647"/>
      <c r="J157" s="647"/>
      <c r="K157" s="647"/>
      <c r="L157" s="647"/>
      <c r="M157" s="647"/>
      <c r="N157" s="647"/>
      <c r="O157" s="647"/>
      <c r="P157" s="647"/>
      <c r="Q157" s="647"/>
    </row>
    <row r="158" spans="1:20" s="762" customFormat="1" ht="12.75">
      <c r="A158" s="761"/>
      <c r="B158" s="647"/>
      <c r="C158" s="647"/>
      <c r="E158" s="647"/>
      <c r="F158" s="647"/>
      <c r="G158" s="647"/>
      <c r="H158" s="647"/>
      <c r="I158" s="647"/>
      <c r="J158" s="647"/>
      <c r="K158" s="647"/>
      <c r="L158" s="647"/>
      <c r="M158" s="647"/>
      <c r="N158" s="647"/>
      <c r="O158" s="647"/>
      <c r="P158" s="647"/>
      <c r="Q158" s="647"/>
    </row>
    <row r="159" spans="1:20" s="762" customFormat="1" ht="12.75">
      <c r="A159" s="761"/>
      <c r="B159" s="647"/>
      <c r="C159" s="647"/>
      <c r="E159" s="647"/>
      <c r="F159" s="647"/>
      <c r="G159" s="647"/>
      <c r="H159" s="647"/>
      <c r="I159" s="647"/>
      <c r="J159" s="647"/>
      <c r="K159" s="647"/>
      <c r="L159" s="647"/>
      <c r="M159" s="647"/>
      <c r="N159" s="647"/>
      <c r="O159" s="647"/>
      <c r="P159" s="647"/>
      <c r="Q159" s="647"/>
    </row>
    <row r="160" spans="1:20" s="762" customFormat="1" ht="12.75">
      <c r="A160" s="761"/>
      <c r="B160" s="647"/>
      <c r="C160" s="647"/>
      <c r="E160" s="647"/>
      <c r="F160" s="647"/>
      <c r="G160" s="647"/>
      <c r="H160" s="647"/>
      <c r="I160" s="647"/>
      <c r="J160" s="647"/>
      <c r="K160" s="647"/>
      <c r="L160" s="647"/>
      <c r="M160" s="647"/>
      <c r="N160" s="647"/>
      <c r="O160" s="647"/>
      <c r="P160" s="647"/>
      <c r="Q160" s="647"/>
    </row>
    <row r="161" spans="1:17" s="762" customFormat="1" ht="12.75">
      <c r="A161" s="761"/>
      <c r="B161" s="647"/>
      <c r="C161" s="647"/>
      <c r="E161" s="647"/>
      <c r="F161" s="647"/>
      <c r="G161" s="647"/>
      <c r="H161" s="647"/>
      <c r="I161" s="647"/>
      <c r="J161" s="647"/>
      <c r="K161" s="647"/>
      <c r="L161" s="647"/>
      <c r="M161" s="647"/>
      <c r="N161" s="647"/>
      <c r="O161" s="647"/>
      <c r="P161" s="647"/>
      <c r="Q161" s="647"/>
    </row>
    <row r="162" spans="1:17" s="762" customFormat="1" ht="12.75">
      <c r="A162" s="761"/>
      <c r="B162" s="647"/>
      <c r="C162" s="647"/>
      <c r="E162" s="647"/>
      <c r="F162" s="647"/>
      <c r="G162" s="647"/>
      <c r="H162" s="647"/>
      <c r="I162" s="647"/>
      <c r="J162" s="647"/>
      <c r="K162" s="647"/>
      <c r="L162" s="647"/>
      <c r="M162" s="647"/>
      <c r="N162" s="647"/>
      <c r="O162" s="647"/>
      <c r="P162" s="647"/>
      <c r="Q162" s="647"/>
    </row>
    <row r="163" spans="1:17" s="762" customFormat="1" ht="12.75">
      <c r="A163" s="761"/>
      <c r="B163" s="647"/>
      <c r="C163" s="647"/>
      <c r="E163" s="647"/>
      <c r="F163" s="647"/>
      <c r="G163" s="647"/>
      <c r="H163" s="647"/>
      <c r="I163" s="647"/>
      <c r="J163" s="647"/>
      <c r="K163" s="647"/>
      <c r="L163" s="647"/>
      <c r="M163" s="647"/>
      <c r="N163" s="647"/>
      <c r="O163" s="647"/>
      <c r="P163" s="647"/>
      <c r="Q163" s="647"/>
    </row>
    <row r="164" spans="1:17" s="762" customFormat="1" ht="12.75">
      <c r="A164" s="761"/>
      <c r="B164" s="647"/>
      <c r="C164" s="647"/>
      <c r="E164" s="647"/>
      <c r="F164" s="647"/>
      <c r="G164" s="647"/>
      <c r="H164" s="647"/>
      <c r="I164" s="647"/>
      <c r="J164" s="647"/>
      <c r="K164" s="647"/>
      <c r="L164" s="647"/>
      <c r="M164" s="647"/>
      <c r="N164" s="647"/>
      <c r="O164" s="647"/>
      <c r="P164" s="647"/>
      <c r="Q164" s="647"/>
    </row>
    <row r="165" spans="1:17" s="762" customFormat="1" ht="12.75">
      <c r="A165" s="761"/>
      <c r="B165" s="647"/>
      <c r="C165" s="647"/>
      <c r="E165" s="647"/>
      <c r="F165" s="647"/>
      <c r="G165" s="647"/>
      <c r="H165" s="647"/>
      <c r="I165" s="647"/>
      <c r="J165" s="647"/>
      <c r="K165" s="647"/>
      <c r="L165" s="647"/>
      <c r="M165" s="647"/>
      <c r="N165" s="647"/>
      <c r="O165" s="647"/>
      <c r="P165" s="647"/>
      <c r="Q165" s="647"/>
    </row>
    <row r="166" spans="1:17" s="762" customFormat="1" ht="12.75">
      <c r="A166" s="761"/>
      <c r="B166" s="647"/>
      <c r="C166" s="647"/>
      <c r="E166" s="647"/>
      <c r="F166" s="647"/>
      <c r="G166" s="647"/>
      <c r="H166" s="647"/>
      <c r="I166" s="647"/>
      <c r="J166" s="647"/>
      <c r="K166" s="647"/>
      <c r="L166" s="647"/>
      <c r="M166" s="647"/>
      <c r="N166" s="647"/>
      <c r="O166" s="647"/>
      <c r="P166" s="647"/>
      <c r="Q166" s="647"/>
    </row>
    <row r="167" spans="1:17" s="762" customFormat="1" ht="12.75">
      <c r="A167" s="761"/>
      <c r="B167" s="647"/>
      <c r="C167" s="647"/>
      <c r="E167" s="647"/>
      <c r="F167" s="647"/>
      <c r="G167" s="647"/>
      <c r="H167" s="647"/>
      <c r="I167" s="647"/>
      <c r="J167" s="647"/>
      <c r="K167" s="647"/>
      <c r="L167" s="647"/>
      <c r="M167" s="647"/>
      <c r="N167" s="647"/>
      <c r="O167" s="647"/>
      <c r="P167" s="647"/>
      <c r="Q167" s="647"/>
    </row>
    <row r="168" spans="1:17" s="762" customFormat="1" ht="12.75">
      <c r="A168" s="761"/>
      <c r="B168" s="647"/>
      <c r="C168" s="647"/>
      <c r="E168" s="647"/>
      <c r="F168" s="647"/>
      <c r="G168" s="647"/>
      <c r="H168" s="647"/>
      <c r="I168" s="647"/>
      <c r="J168" s="647"/>
      <c r="K168" s="647"/>
      <c r="L168" s="647"/>
      <c r="M168" s="647"/>
      <c r="N168" s="647"/>
      <c r="O168" s="647"/>
      <c r="P168" s="647"/>
      <c r="Q168" s="647"/>
    </row>
    <row r="169" spans="1:17" s="762" customFormat="1" ht="12.75">
      <c r="A169" s="761"/>
      <c r="B169" s="647"/>
      <c r="C169" s="647"/>
      <c r="E169" s="647"/>
      <c r="F169" s="647"/>
      <c r="G169" s="647"/>
      <c r="H169" s="647"/>
      <c r="I169" s="647"/>
      <c r="J169" s="647"/>
      <c r="K169" s="647"/>
      <c r="L169" s="647"/>
      <c r="M169" s="647"/>
      <c r="N169" s="647"/>
      <c r="O169" s="647"/>
      <c r="P169" s="647"/>
      <c r="Q169" s="647"/>
    </row>
    <row r="170" spans="1:17" s="762" customFormat="1" ht="12.75">
      <c r="A170" s="761"/>
      <c r="B170" s="647"/>
      <c r="C170" s="647"/>
      <c r="E170" s="647"/>
      <c r="F170" s="647"/>
      <c r="G170" s="647"/>
      <c r="H170" s="647"/>
      <c r="I170" s="647"/>
      <c r="J170" s="647"/>
      <c r="K170" s="647"/>
      <c r="L170" s="647"/>
      <c r="M170" s="647"/>
      <c r="N170" s="647"/>
      <c r="O170" s="647"/>
      <c r="P170" s="647"/>
      <c r="Q170" s="647"/>
    </row>
    <row r="171" spans="1:17" s="762" customFormat="1" ht="12.75">
      <c r="A171" s="761"/>
      <c r="B171" s="647"/>
      <c r="C171" s="647"/>
      <c r="E171" s="647"/>
      <c r="F171" s="647"/>
      <c r="G171" s="647"/>
      <c r="H171" s="647"/>
      <c r="I171" s="647"/>
      <c r="J171" s="647"/>
      <c r="K171" s="647"/>
      <c r="L171" s="647"/>
      <c r="M171" s="647"/>
      <c r="N171" s="647"/>
      <c r="O171" s="647"/>
      <c r="P171" s="647"/>
      <c r="Q171" s="647"/>
    </row>
    <row r="172" spans="1:17" s="762" customFormat="1" ht="12.75">
      <c r="A172" s="761"/>
      <c r="B172" s="647"/>
      <c r="C172" s="647"/>
      <c r="E172" s="647"/>
      <c r="F172" s="647"/>
      <c r="G172" s="647"/>
      <c r="H172" s="647"/>
      <c r="I172" s="647"/>
      <c r="J172" s="647"/>
      <c r="K172" s="647"/>
      <c r="L172" s="647"/>
      <c r="M172" s="647"/>
      <c r="N172" s="647"/>
      <c r="O172" s="647"/>
      <c r="P172" s="647"/>
      <c r="Q172" s="647"/>
    </row>
    <row r="173" spans="1:17" s="762" customFormat="1" ht="12.75">
      <c r="A173" s="761"/>
      <c r="B173" s="647"/>
      <c r="C173" s="647"/>
      <c r="E173" s="647"/>
      <c r="F173" s="647"/>
      <c r="G173" s="647"/>
      <c r="H173" s="647"/>
      <c r="I173" s="647"/>
      <c r="J173" s="647"/>
      <c r="K173" s="647"/>
      <c r="L173" s="647"/>
      <c r="M173" s="647"/>
      <c r="N173" s="647"/>
      <c r="O173" s="647"/>
      <c r="P173" s="647"/>
      <c r="Q173" s="647"/>
    </row>
    <row r="174" spans="1:17" s="762" customFormat="1" ht="12.75">
      <c r="A174" s="761"/>
      <c r="B174" s="647"/>
      <c r="C174" s="647"/>
      <c r="E174" s="647"/>
      <c r="F174" s="647"/>
      <c r="G174" s="647"/>
      <c r="H174" s="647"/>
      <c r="I174" s="647"/>
      <c r="J174" s="647"/>
      <c r="K174" s="647"/>
      <c r="L174" s="647"/>
      <c r="M174" s="647"/>
      <c r="N174" s="647"/>
      <c r="O174" s="647"/>
      <c r="P174" s="647"/>
      <c r="Q174" s="647"/>
    </row>
    <row r="175" spans="1:17" s="762" customFormat="1" ht="12.75">
      <c r="A175" s="761"/>
      <c r="B175" s="647"/>
      <c r="C175" s="647"/>
      <c r="E175" s="647"/>
      <c r="F175" s="647"/>
      <c r="G175" s="647"/>
      <c r="H175" s="647"/>
      <c r="I175" s="647"/>
      <c r="J175" s="647"/>
      <c r="K175" s="647"/>
      <c r="L175" s="647"/>
      <c r="M175" s="647"/>
      <c r="N175" s="647"/>
      <c r="O175" s="647"/>
      <c r="P175" s="647"/>
      <c r="Q175" s="647"/>
    </row>
    <row r="176" spans="1:17" s="762" customFormat="1" ht="12.75">
      <c r="A176" s="761"/>
      <c r="B176" s="647"/>
      <c r="C176" s="647"/>
      <c r="E176" s="647"/>
      <c r="F176" s="647"/>
      <c r="G176" s="647"/>
      <c r="H176" s="647"/>
      <c r="I176" s="647"/>
      <c r="J176" s="647"/>
      <c r="K176" s="647"/>
      <c r="L176" s="647"/>
      <c r="M176" s="647"/>
      <c r="N176" s="647"/>
      <c r="O176" s="647"/>
      <c r="P176" s="647"/>
      <c r="Q176" s="647"/>
    </row>
    <row r="177" spans="1:23" s="762" customFormat="1" ht="12.75">
      <c r="A177" s="761"/>
      <c r="B177" s="647"/>
      <c r="C177" s="647"/>
      <c r="E177" s="647"/>
      <c r="F177" s="647"/>
      <c r="G177" s="647"/>
      <c r="H177" s="647"/>
      <c r="I177" s="647"/>
      <c r="J177" s="647"/>
      <c r="K177" s="647"/>
      <c r="L177" s="647"/>
      <c r="M177" s="647"/>
      <c r="N177" s="647"/>
      <c r="O177" s="647"/>
      <c r="P177" s="647"/>
      <c r="Q177" s="647"/>
    </row>
    <row r="178" spans="1:23" s="762" customFormat="1" ht="12.75">
      <c r="A178" s="761"/>
      <c r="B178" s="647"/>
      <c r="C178" s="647"/>
      <c r="E178" s="647"/>
      <c r="F178" s="647"/>
      <c r="G178" s="647"/>
      <c r="H178" s="647"/>
      <c r="I178" s="647"/>
      <c r="J178" s="647"/>
      <c r="K178" s="647"/>
      <c r="L178" s="647"/>
      <c r="M178" s="647"/>
      <c r="N178" s="647"/>
      <c r="O178" s="647"/>
      <c r="P178" s="647"/>
      <c r="Q178" s="647"/>
    </row>
    <row r="179" spans="1:23" s="762" customFormat="1" ht="12.75">
      <c r="A179" s="761"/>
      <c r="B179" s="647"/>
      <c r="C179" s="647"/>
      <c r="E179" s="647"/>
      <c r="F179" s="647"/>
      <c r="G179" s="647"/>
      <c r="H179" s="647"/>
      <c r="I179" s="647"/>
      <c r="J179" s="647"/>
      <c r="K179" s="647"/>
      <c r="L179" s="647"/>
      <c r="M179" s="647"/>
      <c r="N179" s="647"/>
      <c r="O179" s="647"/>
      <c r="P179" s="647"/>
      <c r="Q179" s="647"/>
    </row>
    <row r="180" spans="1:23" s="762" customFormat="1" ht="12.75">
      <c r="A180" s="761"/>
      <c r="B180" s="647"/>
      <c r="C180" s="647"/>
      <c r="E180" s="647"/>
      <c r="F180" s="647"/>
      <c r="G180" s="647"/>
      <c r="H180" s="647"/>
      <c r="I180" s="647"/>
      <c r="J180" s="647"/>
      <c r="K180" s="647"/>
      <c r="L180" s="647"/>
      <c r="M180" s="647"/>
      <c r="N180" s="647"/>
      <c r="O180" s="647"/>
      <c r="P180" s="647"/>
      <c r="Q180" s="647"/>
    </row>
    <row r="181" spans="1:23" s="762" customFormat="1" ht="12.75">
      <c r="A181" s="761"/>
      <c r="B181" s="647"/>
      <c r="C181" s="647"/>
      <c r="E181" s="647"/>
      <c r="F181" s="647"/>
      <c r="G181" s="647"/>
      <c r="H181" s="647"/>
      <c r="I181" s="647"/>
      <c r="J181" s="647"/>
      <c r="K181" s="647"/>
      <c r="L181" s="647"/>
      <c r="M181" s="647"/>
      <c r="N181" s="647"/>
      <c r="O181" s="647"/>
      <c r="P181" s="647"/>
      <c r="Q181" s="647"/>
    </row>
    <row r="182" spans="1:23" s="762" customFormat="1" ht="12.75">
      <c r="A182" s="761"/>
      <c r="B182" s="647"/>
      <c r="C182" s="647"/>
      <c r="E182" s="647"/>
      <c r="F182" s="647"/>
      <c r="G182" s="647"/>
      <c r="H182" s="647"/>
      <c r="I182" s="647"/>
      <c r="J182" s="647"/>
      <c r="K182" s="647"/>
      <c r="L182" s="647"/>
      <c r="M182" s="647"/>
      <c r="N182" s="647"/>
      <c r="O182" s="647"/>
      <c r="P182" s="647"/>
      <c r="Q182" s="647"/>
    </row>
    <row r="183" spans="1:23" s="762" customFormat="1" ht="12.75">
      <c r="A183" s="761"/>
      <c r="B183" s="647"/>
      <c r="C183" s="647"/>
      <c r="E183" s="647"/>
      <c r="F183" s="647"/>
      <c r="G183" s="647"/>
      <c r="H183" s="647"/>
      <c r="I183" s="647"/>
      <c r="J183" s="647"/>
      <c r="K183" s="647"/>
      <c r="L183" s="647"/>
      <c r="M183" s="647"/>
      <c r="N183" s="647"/>
      <c r="O183" s="647"/>
      <c r="P183" s="647"/>
      <c r="Q183" s="647"/>
    </row>
    <row r="184" spans="1:23">
      <c r="B184" s="843"/>
      <c r="C184" s="843"/>
      <c r="E184" s="843"/>
      <c r="F184" s="843"/>
      <c r="G184" s="843"/>
      <c r="H184" s="843"/>
      <c r="I184" s="843"/>
      <c r="J184" s="843"/>
      <c r="K184" s="843"/>
      <c r="L184" s="843"/>
      <c r="M184" s="843"/>
      <c r="N184" s="843"/>
      <c r="O184" s="843"/>
      <c r="P184" s="843"/>
      <c r="Q184" s="843"/>
      <c r="R184" s="844"/>
      <c r="S184" s="844"/>
      <c r="T184" s="844"/>
      <c r="U184" s="844"/>
      <c r="V184" s="844"/>
      <c r="W184" s="844"/>
    </row>
    <row r="185" spans="1:23">
      <c r="B185" s="843"/>
      <c r="C185" s="843"/>
      <c r="E185" s="843"/>
      <c r="F185" s="843"/>
      <c r="G185" s="843"/>
      <c r="H185" s="843"/>
      <c r="I185" s="843"/>
      <c r="J185" s="843"/>
      <c r="K185" s="843"/>
      <c r="L185" s="843"/>
      <c r="M185" s="843"/>
    </row>
    <row r="186" spans="1:23">
      <c r="B186" s="843"/>
      <c r="C186" s="843"/>
      <c r="E186" s="843"/>
      <c r="F186" s="843"/>
      <c r="G186" s="843"/>
      <c r="H186" s="843"/>
      <c r="I186" s="843"/>
      <c r="J186" s="843"/>
      <c r="K186" s="843"/>
      <c r="L186" s="843"/>
      <c r="M186" s="843"/>
    </row>
    <row r="187" spans="1:23">
      <c r="B187" s="843"/>
      <c r="C187" s="843"/>
      <c r="E187" s="843"/>
      <c r="F187" s="843"/>
      <c r="G187" s="843"/>
      <c r="H187" s="843"/>
      <c r="I187" s="843"/>
      <c r="J187" s="843"/>
      <c r="K187" s="843"/>
      <c r="L187" s="843"/>
      <c r="M187" s="843"/>
    </row>
  </sheetData>
  <mergeCells count="32">
    <mergeCell ref="B134:B137"/>
    <mergeCell ref="B142:C144"/>
    <mergeCell ref="B106:C108"/>
    <mergeCell ref="B109:B114"/>
    <mergeCell ref="B115:B120"/>
    <mergeCell ref="B121:B124"/>
    <mergeCell ref="B125:B128"/>
    <mergeCell ref="B130:B133"/>
    <mergeCell ref="B101:C101"/>
    <mergeCell ref="B50:B55"/>
    <mergeCell ref="B56:B61"/>
    <mergeCell ref="B62:B67"/>
    <mergeCell ref="B68:C68"/>
    <mergeCell ref="B73:C75"/>
    <mergeCell ref="B76:B77"/>
    <mergeCell ref="B78:B79"/>
    <mergeCell ref="B80:B82"/>
    <mergeCell ref="B83:B88"/>
    <mergeCell ref="B89:B94"/>
    <mergeCell ref="B95:B100"/>
    <mergeCell ref="B47:B49"/>
    <mergeCell ref="B7:C9"/>
    <mergeCell ref="B10:B11"/>
    <mergeCell ref="B12:B13"/>
    <mergeCell ref="B14:B16"/>
    <mergeCell ref="B17:B22"/>
    <mergeCell ref="B23:B28"/>
    <mergeCell ref="B29:B34"/>
    <mergeCell ref="B35:C35"/>
    <mergeCell ref="B40:C42"/>
    <mergeCell ref="B43:B44"/>
    <mergeCell ref="B45:B46"/>
  </mergeCells>
  <phoneticPr fontId="1" type="noConversion"/>
  <dataValidations count="1">
    <dataValidation type="decimal" operator="greaterThanOrEqual" showInputMessage="1" showErrorMessage="1" sqref="D43:M69 D10:M36 D76:M101">
      <formula1>0</formula1>
    </dataValidation>
  </dataValidations>
  <hyperlinks>
    <hyperlink ref="F1" location="Inputs!A1" display="Index"/>
  </hyperlinks>
  <pageMargins left="0.75" right="0.75" top="1" bottom="1" header="0.5" footer="0.5"/>
  <pageSetup paperSize="9" scale="30" orientation="portrait" horizontalDpi="4294967292" verticalDpi="4294967292"/>
  <headerFooter>
    <oddHeader>&amp;A&amp;RPage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Index</vt:lpstr>
      <vt:lpstr>Inputs</vt:lpstr>
      <vt:lpstr>Allowed revenue -DPCR4</vt:lpstr>
      <vt:lpstr>FBPQ T4</vt:lpstr>
      <vt:lpstr>FBPQ LR1</vt:lpstr>
      <vt:lpstr>FBPQ LR1 - V5 opt3</vt:lpstr>
      <vt:lpstr>FBPQ LR4</vt:lpstr>
      <vt:lpstr>FBPQ LR6</vt:lpstr>
      <vt:lpstr>FBPQ NL1</vt:lpstr>
      <vt:lpstr>NL9 - Legal &amp; Safety</vt:lpstr>
      <vt:lpstr>FBPQ C2</vt:lpstr>
      <vt:lpstr>Reductions to net capex</vt:lpstr>
      <vt:lpstr>RRP 1.3</vt:lpstr>
      <vt:lpstr>RRP 2.3</vt:lpstr>
      <vt:lpstr>RRP 2.4</vt:lpstr>
      <vt:lpstr>RRP 2.6</vt:lpstr>
      <vt:lpstr>RRP 5.1</vt:lpstr>
      <vt:lpstr>Summary of revenue</vt:lpstr>
      <vt:lpstr>Data-MEAV</vt:lpstr>
      <vt:lpstr>Calc-MEAV</vt:lpstr>
      <vt:lpstr>Calc-Units</vt:lpstr>
      <vt:lpstr>Calc-Net capex</vt:lpstr>
      <vt:lpstr>Calc-Opex</vt:lpstr>
      <vt:lpstr>Calc-Drivers</vt:lpstr>
      <vt:lpstr>Calc-Allocation</vt:lpstr>
      <vt:lpstr>Calc-Summary</vt:lpstr>
      <vt:lpstr>EDCM discounts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Wornell, Dave I.</cp:lastModifiedBy>
  <cp:lastPrinted>2015-11-27T07:13:31Z</cp:lastPrinted>
  <dcterms:created xsi:type="dcterms:W3CDTF">2014-06-02T13:43:59Z</dcterms:created>
  <dcterms:modified xsi:type="dcterms:W3CDTF">2015-12-09T14:51:04Z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