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440" windowHeight="15600" tabRatio="735" firstSheet="19" activeTab="26"/>
  </bookViews>
  <sheets>
    <sheet name="Index" sheetId="1" r:id="rId1"/>
    <sheet name="Inputs" sheetId="2" r:id="rId2"/>
    <sheet name="Allowed revenue -DPCR4" sheetId="3" r:id="rId3"/>
    <sheet name="FBPQ T4" sheetId="4" r:id="rId4"/>
    <sheet name="FBPQ LR1" sheetId="5" r:id="rId5"/>
    <sheet name="FBPQ LR1 - V5 opt3" sheetId="6" r:id="rId6"/>
    <sheet name="FBPQ LR4" sheetId="7" r:id="rId7"/>
    <sheet name="FBPQ LR6" sheetId="8" r:id="rId8"/>
    <sheet name="FBPQ NL1" sheetId="9" r:id="rId9"/>
    <sheet name="NL9 - Legal &amp; Safety" sheetId="10" r:id="rId10"/>
    <sheet name="FBPQ C2" sheetId="11" r:id="rId11"/>
    <sheet name="Reductions to net capex" sheetId="12" r:id="rId12"/>
    <sheet name="RRP 1.3" sheetId="13" r:id="rId13"/>
    <sheet name="RRP 2.3" sheetId="14" r:id="rId14"/>
    <sheet name="RRP 2.4" sheetId="15" r:id="rId15"/>
    <sheet name="RRP 2.6" sheetId="16" r:id="rId16"/>
    <sheet name="RRP 5.1" sheetId="28" r:id="rId17"/>
    <sheet name="Summary of revenue" sheetId="18" r:id="rId18"/>
    <sheet name="Data-MEAV" sheetId="19" r:id="rId19"/>
    <sheet name="Calc-MEAV" sheetId="20" r:id="rId20"/>
    <sheet name="Calc-Units" sheetId="21" r:id="rId21"/>
    <sheet name="Calc-Net capex" sheetId="22" r:id="rId22"/>
    <sheet name="Calc-Opex" sheetId="23" r:id="rId23"/>
    <sheet name="Calc-Drivers" sheetId="24" r:id="rId24"/>
    <sheet name="Calc-Allocation" sheetId="25" r:id="rId25"/>
    <sheet name="Calc-Summary" sheetId="26" r:id="rId26"/>
    <sheet name="EDCM discounts" sheetId="29" r:id="rId27"/>
  </sheets>
  <definedNames>
    <definedName name="_xlnm._FilterDatabase" localSheetId="0" hidden="1">Index!$A$7:$B$37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7" i="10" l="1"/>
  <c r="U137" i="10"/>
  <c r="T137" i="10"/>
  <c r="S137" i="10"/>
  <c r="N137" i="10"/>
  <c r="M137" i="10"/>
  <c r="L137" i="10"/>
  <c r="K137" i="10"/>
  <c r="F137" i="10"/>
  <c r="E137" i="10"/>
  <c r="D137" i="10"/>
  <c r="C137" i="10"/>
  <c r="V136" i="10"/>
  <c r="U136" i="10"/>
  <c r="T136" i="10"/>
  <c r="S136" i="10"/>
  <c r="N136" i="10"/>
  <c r="M136" i="10"/>
  <c r="L136" i="10"/>
  <c r="K136" i="10"/>
  <c r="F136" i="10"/>
  <c r="E136" i="10"/>
  <c r="D136" i="10"/>
  <c r="C136" i="10"/>
  <c r="V135" i="10"/>
  <c r="U135" i="10"/>
  <c r="T135" i="10"/>
  <c r="S135" i="10"/>
  <c r="N135" i="10"/>
  <c r="M135" i="10"/>
  <c r="L135" i="10"/>
  <c r="K135" i="10"/>
  <c r="F135" i="10"/>
  <c r="E135" i="10"/>
  <c r="D135" i="10"/>
  <c r="C135" i="10"/>
  <c r="V134" i="10"/>
  <c r="U134" i="10"/>
  <c r="T134" i="10"/>
  <c r="S134" i="10"/>
  <c r="N134" i="10"/>
  <c r="M134" i="10"/>
  <c r="L134" i="10"/>
  <c r="K134" i="10"/>
  <c r="F134" i="10"/>
  <c r="E134" i="10"/>
  <c r="D134" i="10"/>
  <c r="C134" i="10"/>
  <c r="X129" i="10"/>
  <c r="V129" i="10"/>
  <c r="U129" i="10"/>
  <c r="T129" i="10"/>
  <c r="P129" i="10"/>
  <c r="N129" i="10"/>
  <c r="M129" i="10"/>
  <c r="L129" i="10"/>
  <c r="H129" i="10"/>
  <c r="F129" i="10"/>
  <c r="E129" i="10"/>
  <c r="D129" i="10"/>
  <c r="S128" i="10"/>
  <c r="K128" i="10"/>
  <c r="C128" i="10"/>
  <c r="S127" i="10"/>
  <c r="K127" i="10"/>
  <c r="C127" i="10"/>
  <c r="S126" i="10"/>
  <c r="K126" i="10"/>
  <c r="C126" i="10"/>
  <c r="S125" i="10"/>
  <c r="S129" i="10" s="1"/>
  <c r="K125" i="10"/>
  <c r="K129" i="10" s="1"/>
  <c r="C125" i="10"/>
  <c r="C129" i="10" s="1"/>
  <c r="X120" i="10"/>
  <c r="W120" i="10"/>
  <c r="V120" i="10"/>
  <c r="U120" i="10"/>
  <c r="T120" i="10"/>
  <c r="S120" i="10"/>
  <c r="P120" i="10"/>
  <c r="O120" i="10"/>
  <c r="N120" i="10"/>
  <c r="M120" i="10"/>
  <c r="L120" i="10"/>
  <c r="K120" i="10"/>
  <c r="H120" i="10"/>
  <c r="F120" i="10"/>
  <c r="E120" i="10"/>
  <c r="D120" i="10"/>
  <c r="C120" i="10"/>
  <c r="X111" i="10"/>
  <c r="W111" i="10"/>
  <c r="V111" i="10"/>
  <c r="U111" i="10"/>
  <c r="T111" i="10"/>
  <c r="P111" i="10"/>
  <c r="O111" i="10"/>
  <c r="N111" i="10"/>
  <c r="M111" i="10"/>
  <c r="L111" i="10"/>
  <c r="H111" i="10"/>
  <c r="G111" i="10"/>
  <c r="F111" i="10"/>
  <c r="E111" i="10"/>
  <c r="D111" i="10"/>
  <c r="S110" i="10"/>
  <c r="K110" i="10"/>
  <c r="C110" i="10"/>
  <c r="D100" i="10" s="1"/>
  <c r="C100" i="10" s="1"/>
  <c r="S109" i="10"/>
  <c r="K109" i="10"/>
  <c r="F99" i="10" s="1"/>
  <c r="H99" i="10" s="1"/>
  <c r="C109" i="10"/>
  <c r="S108" i="10"/>
  <c r="S111" i="10" s="1"/>
  <c r="K108" i="10"/>
  <c r="C108" i="10"/>
  <c r="S107" i="10"/>
  <c r="K107" i="10"/>
  <c r="K111" i="10" s="1"/>
  <c r="C107" i="10"/>
  <c r="C111" i="10" s="1"/>
  <c r="E101" i="10"/>
  <c r="G100" i="10"/>
  <c r="F100" i="10"/>
  <c r="H100" i="10" s="1"/>
  <c r="G99" i="10"/>
  <c r="D99" i="10"/>
  <c r="C99" i="10"/>
  <c r="F98" i="10"/>
  <c r="D98" i="10"/>
  <c r="C98" i="10" s="1"/>
  <c r="G97" i="10"/>
  <c r="F97" i="10"/>
  <c r="H97" i="10" s="1"/>
  <c r="D97" i="10"/>
  <c r="D101" i="10" s="1"/>
  <c r="W91" i="10"/>
  <c r="V91" i="10"/>
  <c r="U91" i="10"/>
  <c r="T91" i="10"/>
  <c r="S91" i="10"/>
  <c r="O91" i="10"/>
  <c r="N91" i="10"/>
  <c r="M91" i="10"/>
  <c r="L91" i="10"/>
  <c r="K91" i="10"/>
  <c r="G91" i="10"/>
  <c r="F91" i="10"/>
  <c r="E91" i="10"/>
  <c r="D91" i="10"/>
  <c r="C91" i="10"/>
  <c r="W90" i="10"/>
  <c r="V90" i="10"/>
  <c r="U90" i="10"/>
  <c r="T90" i="10"/>
  <c r="S90" i="10"/>
  <c r="O90" i="10"/>
  <c r="N90" i="10"/>
  <c r="M90" i="10"/>
  <c r="L90" i="10"/>
  <c r="K90" i="10"/>
  <c r="G90" i="10"/>
  <c r="F90" i="10"/>
  <c r="E90" i="10"/>
  <c r="D90" i="10"/>
  <c r="C90" i="10"/>
  <c r="W89" i="10"/>
  <c r="V89" i="10"/>
  <c r="U89" i="10"/>
  <c r="T89" i="10"/>
  <c r="S89" i="10"/>
  <c r="O89" i="10"/>
  <c r="N89" i="10"/>
  <c r="M89" i="10"/>
  <c r="L89" i="10"/>
  <c r="K89" i="10"/>
  <c r="G89" i="10"/>
  <c r="F89" i="10"/>
  <c r="E89" i="10"/>
  <c r="D89" i="10"/>
  <c r="C89" i="10"/>
  <c r="W88" i="10"/>
  <c r="V88" i="10"/>
  <c r="U88" i="10"/>
  <c r="T88" i="10"/>
  <c r="S88" i="10"/>
  <c r="O88" i="10"/>
  <c r="N88" i="10"/>
  <c r="M88" i="10"/>
  <c r="L88" i="10"/>
  <c r="K88" i="10"/>
  <c r="G88" i="10"/>
  <c r="F88" i="10"/>
  <c r="E88" i="10"/>
  <c r="D88" i="10"/>
  <c r="C88" i="10"/>
  <c r="X83" i="10"/>
  <c r="W83" i="10"/>
  <c r="V83" i="10"/>
  <c r="U83" i="10"/>
  <c r="T83" i="10"/>
  <c r="P83" i="10"/>
  <c r="O83" i="10"/>
  <c r="N83" i="10"/>
  <c r="M83" i="10"/>
  <c r="L83" i="10"/>
  <c r="H83" i="10"/>
  <c r="G83" i="10"/>
  <c r="F83" i="10"/>
  <c r="E83" i="10"/>
  <c r="D83" i="10"/>
  <c r="C83" i="10"/>
  <c r="S82" i="10"/>
  <c r="K82" i="10"/>
  <c r="S81" i="10"/>
  <c r="K81" i="10"/>
  <c r="S80" i="10"/>
  <c r="S83" i="10" s="1"/>
  <c r="K80" i="10"/>
  <c r="S79" i="10"/>
  <c r="K79" i="10"/>
  <c r="K83" i="10" s="1"/>
  <c r="X74" i="10"/>
  <c r="W74" i="10"/>
  <c r="V74" i="10"/>
  <c r="U74" i="10"/>
  <c r="T74" i="10"/>
  <c r="S74" i="10"/>
  <c r="P74" i="10"/>
  <c r="O74" i="10"/>
  <c r="N74" i="10"/>
  <c r="M74" i="10"/>
  <c r="L74" i="10"/>
  <c r="K74" i="10"/>
  <c r="H74" i="10"/>
  <c r="G74" i="10"/>
  <c r="F74" i="10"/>
  <c r="E74" i="10"/>
  <c r="D74" i="10"/>
  <c r="C74" i="10"/>
  <c r="X65" i="10"/>
  <c r="W65" i="10"/>
  <c r="V65" i="10"/>
  <c r="U65" i="10"/>
  <c r="T65" i="10"/>
  <c r="P65" i="10"/>
  <c r="O65" i="10"/>
  <c r="N65" i="10"/>
  <c r="M65" i="10"/>
  <c r="L65" i="10"/>
  <c r="H65" i="10"/>
  <c r="G65" i="10"/>
  <c r="F65" i="10"/>
  <c r="E65" i="10"/>
  <c r="D65" i="10"/>
  <c r="S64" i="10"/>
  <c r="K64" i="10"/>
  <c r="C64" i="10"/>
  <c r="D54" i="10" s="1"/>
  <c r="C54" i="10" s="1"/>
  <c r="S63" i="10"/>
  <c r="S65" i="10" s="1"/>
  <c r="K63" i="10"/>
  <c r="F53" i="10" s="1"/>
  <c r="H53" i="10" s="1"/>
  <c r="C63" i="10"/>
  <c r="S62" i="10"/>
  <c r="G52" i="10" s="1"/>
  <c r="K62" i="10"/>
  <c r="F52" i="10" s="1"/>
  <c r="C62" i="10"/>
  <c r="S61" i="10"/>
  <c r="K61" i="10"/>
  <c r="K65" i="10" s="1"/>
  <c r="C61" i="10"/>
  <c r="C65" i="10" s="1"/>
  <c r="E55" i="10"/>
  <c r="G54" i="10"/>
  <c r="F54" i="10"/>
  <c r="H54" i="10" s="1"/>
  <c r="G53" i="10"/>
  <c r="D53" i="10"/>
  <c r="C53" i="10"/>
  <c r="D52" i="10"/>
  <c r="C52" i="10" s="1"/>
  <c r="G51" i="10"/>
  <c r="F51" i="10"/>
  <c r="F55" i="10" s="1"/>
  <c r="D51" i="10"/>
  <c r="M46" i="10"/>
  <c r="L46" i="10"/>
  <c r="K46" i="10"/>
  <c r="J46" i="10"/>
  <c r="I46" i="10"/>
  <c r="H46" i="10"/>
  <c r="G46" i="10"/>
  <c r="F46" i="10"/>
  <c r="E46" i="10"/>
  <c r="D46" i="10"/>
  <c r="M37" i="10"/>
  <c r="L37" i="10"/>
  <c r="K37" i="10"/>
  <c r="J37" i="10"/>
  <c r="I37" i="10"/>
  <c r="H37" i="10"/>
  <c r="G37" i="10"/>
  <c r="F37" i="10"/>
  <c r="E37" i="10"/>
  <c r="D37" i="10"/>
  <c r="M25" i="10"/>
  <c r="L25" i="10"/>
  <c r="K25" i="10"/>
  <c r="J25" i="10"/>
  <c r="I25" i="10"/>
  <c r="H25" i="10"/>
  <c r="G25" i="10"/>
  <c r="F25" i="10"/>
  <c r="E25" i="10"/>
  <c r="D25" i="10"/>
  <c r="S153" i="9"/>
  <c r="Q153" i="9"/>
  <c r="T153" i="9" s="1"/>
  <c r="P153" i="9"/>
  <c r="O153" i="9"/>
  <c r="T152" i="9"/>
  <c r="S152" i="9"/>
  <c r="Q152" i="9"/>
  <c r="P152" i="9"/>
  <c r="O152" i="9"/>
  <c r="T151" i="9"/>
  <c r="S151" i="9"/>
  <c r="Q151" i="9"/>
  <c r="P151" i="9"/>
  <c r="O151" i="9"/>
  <c r="S148" i="9"/>
  <c r="Q148" i="9"/>
  <c r="T148" i="9" s="1"/>
  <c r="P148" i="9"/>
  <c r="O148" i="9"/>
  <c r="S147" i="9"/>
  <c r="Q147" i="9"/>
  <c r="T147" i="9" s="1"/>
  <c r="P147" i="9"/>
  <c r="O147" i="9"/>
  <c r="T146" i="9"/>
  <c r="S146" i="9"/>
  <c r="Q146" i="9"/>
  <c r="P146" i="9"/>
  <c r="O146" i="9"/>
  <c r="AH99" i="7"/>
  <c r="AG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J99" i="7"/>
  <c r="I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99" i="7" s="1"/>
  <c r="M39" i="7"/>
  <c r="L39" i="7"/>
  <c r="M38" i="7"/>
  <c r="L38" i="7"/>
  <c r="K37" i="7"/>
  <c r="J37" i="7"/>
  <c r="I37" i="7"/>
  <c r="H37" i="7"/>
  <c r="G37" i="7"/>
  <c r="F37" i="7"/>
  <c r="E37" i="7"/>
  <c r="D37" i="7"/>
  <c r="M36" i="7"/>
  <c r="L36" i="7"/>
  <c r="M35" i="7"/>
  <c r="M37" i="7" s="1"/>
  <c r="L35" i="7"/>
  <c r="L37" i="7" s="1"/>
  <c r="M34" i="7"/>
  <c r="L34" i="7"/>
  <c r="K29" i="7"/>
  <c r="J29" i="7"/>
  <c r="I29" i="7"/>
  <c r="H29" i="7"/>
  <c r="G29" i="7"/>
  <c r="F29" i="7"/>
  <c r="E29" i="7"/>
  <c r="D29" i="7"/>
  <c r="M28" i="7"/>
  <c r="L28" i="7"/>
  <c r="M27" i="7"/>
  <c r="M29" i="7" s="1"/>
  <c r="L27" i="7"/>
  <c r="L29" i="7" s="1"/>
  <c r="M26" i="7"/>
  <c r="L26" i="7"/>
  <c r="S19" i="7"/>
  <c r="Q19" i="7"/>
  <c r="T19" i="7" s="1"/>
  <c r="P19" i="7"/>
  <c r="O19" i="7"/>
  <c r="S18" i="7"/>
  <c r="Q18" i="7"/>
  <c r="T18" i="7" s="1"/>
  <c r="P18" i="7"/>
  <c r="O18" i="7"/>
  <c r="Q16" i="7"/>
  <c r="P16" i="7"/>
  <c r="O16" i="7"/>
  <c r="M16" i="7"/>
  <c r="L16" i="7"/>
  <c r="K16" i="7"/>
  <c r="J16" i="7"/>
  <c r="I16" i="7"/>
  <c r="S16" i="7" s="1"/>
  <c r="T16" i="7" s="1"/>
  <c r="S15" i="7"/>
  <c r="Q15" i="7"/>
  <c r="T15" i="7" s="1"/>
  <c r="P15" i="7"/>
  <c r="O15" i="7"/>
  <c r="S14" i="7"/>
  <c r="Q14" i="7"/>
  <c r="T14" i="7" s="1"/>
  <c r="P14" i="7"/>
  <c r="O14" i="7"/>
  <c r="S13" i="7"/>
  <c r="T13" i="7" s="1"/>
  <c r="Q13" i="7"/>
  <c r="P13" i="7"/>
  <c r="O13" i="7"/>
  <c r="T12" i="7"/>
  <c r="S12" i="7"/>
  <c r="Q12" i="7"/>
  <c r="P12" i="7"/>
  <c r="O12" i="7"/>
  <c r="S11" i="7"/>
  <c r="Q11" i="7"/>
  <c r="T11" i="7" s="1"/>
  <c r="P11" i="7"/>
  <c r="O11" i="7"/>
  <c r="M126" i="5"/>
  <c r="L126" i="5"/>
  <c r="K126" i="5"/>
  <c r="J126" i="5"/>
  <c r="I126" i="5"/>
  <c r="D55" i="10" l="1"/>
  <c r="G101" i="10"/>
  <c r="G55" i="10"/>
  <c r="H52" i="10"/>
  <c r="F101" i="10"/>
  <c r="C51" i="10"/>
  <c r="C55" i="10" s="1"/>
  <c r="H51" i="10"/>
  <c r="C97" i="10"/>
  <c r="C101" i="10" s="1"/>
  <c r="G98" i="10"/>
  <c r="H98" i="10" s="1"/>
  <c r="H101" i="10" s="1"/>
  <c r="H55" i="10" l="1"/>
  <c r="B5" i="22" l="1"/>
  <c r="A1" i="25" s="1"/>
  <c r="O31" i="25"/>
  <c r="P31" i="25"/>
  <c r="Q31" i="25"/>
  <c r="R31" i="25"/>
  <c r="S31" i="25"/>
  <c r="F61" i="25"/>
  <c r="F62" i="25"/>
  <c r="F63" i="25"/>
  <c r="F66" i="25" s="1"/>
  <c r="P63" i="25" s="1"/>
  <c r="F64" i="25"/>
  <c r="F65" i="25"/>
  <c r="Z28" i="23"/>
  <c r="Z29" i="23"/>
  <c r="Z30" i="23"/>
  <c r="Z31" i="23"/>
  <c r="AQ31" i="23" s="1"/>
  <c r="Z32" i="23"/>
  <c r="Z33" i="23"/>
  <c r="Z34" i="23"/>
  <c r="Z35" i="23"/>
  <c r="AQ35" i="23" s="1"/>
  <c r="Z36" i="23"/>
  <c r="Z37" i="23"/>
  <c r="Z38" i="23"/>
  <c r="Z39" i="23"/>
  <c r="AQ39" i="23" s="1"/>
  <c r="Z22" i="23"/>
  <c r="Z23" i="23"/>
  <c r="AC28" i="23"/>
  <c r="AC29" i="23"/>
  <c r="AT29" i="23" s="1"/>
  <c r="AC30" i="23"/>
  <c r="AC31" i="23"/>
  <c r="AC32" i="23"/>
  <c r="AC33" i="23"/>
  <c r="AT33" i="23" s="1"/>
  <c r="AC34" i="23"/>
  <c r="AC35" i="23"/>
  <c r="AC36" i="23"/>
  <c r="AC37" i="23"/>
  <c r="AT37" i="23" s="1"/>
  <c r="AC38" i="23"/>
  <c r="AC39" i="23"/>
  <c r="AC22" i="23"/>
  <c r="AT22" i="23" s="1"/>
  <c r="AC23" i="23"/>
  <c r="AA28" i="23"/>
  <c r="AA29" i="23"/>
  <c r="AA30" i="23"/>
  <c r="AR30" i="23" s="1"/>
  <c r="AA31" i="23"/>
  <c r="AA32" i="23"/>
  <c r="AA33" i="23"/>
  <c r="AA34" i="23"/>
  <c r="AR34" i="23" s="1"/>
  <c r="AA35" i="23"/>
  <c r="AA36" i="23"/>
  <c r="AA37" i="23"/>
  <c r="AA38" i="23"/>
  <c r="AR38" i="23" s="1"/>
  <c r="AA39" i="23"/>
  <c r="AA22" i="23"/>
  <c r="AA23" i="23"/>
  <c r="A1" i="29"/>
  <c r="AB28" i="23"/>
  <c r="AB29" i="23"/>
  <c r="AB30" i="23"/>
  <c r="AB31" i="23"/>
  <c r="AS31" i="23" s="1"/>
  <c r="AB32" i="23"/>
  <c r="AB33" i="23"/>
  <c r="AB34" i="23"/>
  <c r="AB35" i="23"/>
  <c r="AS35" i="23" s="1"/>
  <c r="AB36" i="23"/>
  <c r="AB37" i="23"/>
  <c r="AB38" i="23"/>
  <c r="AB39" i="23"/>
  <c r="AS39" i="23" s="1"/>
  <c r="AB22" i="23"/>
  <c r="AB23" i="23"/>
  <c r="AD28" i="23"/>
  <c r="AD29" i="23"/>
  <c r="AD30" i="23"/>
  <c r="AD31" i="23"/>
  <c r="AD32" i="23"/>
  <c r="AD33" i="23"/>
  <c r="AD34" i="23"/>
  <c r="AD35" i="23"/>
  <c r="AD36" i="23"/>
  <c r="AD37" i="23"/>
  <c r="AD38" i="23"/>
  <c r="AD39" i="23"/>
  <c r="AD22" i="23"/>
  <c r="AD23" i="23"/>
  <c r="AU23" i="23" s="1"/>
  <c r="K5" i="22"/>
  <c r="O9" i="22"/>
  <c r="O6" i="22"/>
  <c r="O10" i="22"/>
  <c r="O8" i="22"/>
  <c r="O7" i="22"/>
  <c r="D37" i="23"/>
  <c r="I37" i="23" s="1"/>
  <c r="P66" i="25" s="1"/>
  <c r="O11" i="25"/>
  <c r="D18" i="25" s="1"/>
  <c r="O19" i="25"/>
  <c r="D19" i="25" s="1"/>
  <c r="O20" i="25"/>
  <c r="D20" i="25" s="1"/>
  <c r="O21" i="25"/>
  <c r="D21" i="25" s="1"/>
  <c r="S27" i="25"/>
  <c r="O36" i="25"/>
  <c r="O41" i="25" s="1"/>
  <c r="P36" i="25"/>
  <c r="Q36" i="25"/>
  <c r="R36" i="25"/>
  <c r="S36" i="25"/>
  <c r="S41" i="25" s="1"/>
  <c r="O33" i="25"/>
  <c r="P33" i="25"/>
  <c r="P34" i="25" s="1"/>
  <c r="Q33" i="25"/>
  <c r="R33" i="25"/>
  <c r="R34" i="25" s="1"/>
  <c r="S33" i="25"/>
  <c r="O16" i="25"/>
  <c r="O18" i="25"/>
  <c r="O22" i="25"/>
  <c r="D13" i="25" s="1"/>
  <c r="O23" i="25"/>
  <c r="D14" i="25" s="1"/>
  <c r="C50" i="22"/>
  <c r="C55" i="22" s="1"/>
  <c r="F41" i="22" s="1"/>
  <c r="C51" i="22"/>
  <c r="F39" i="22"/>
  <c r="I39" i="22"/>
  <c r="C49" i="22"/>
  <c r="F49" i="22"/>
  <c r="F42" i="22"/>
  <c r="I42" i="22"/>
  <c r="C52" i="22"/>
  <c r="F52" i="22"/>
  <c r="F21" i="22"/>
  <c r="F22" i="22"/>
  <c r="F43" i="22"/>
  <c r="I43" i="22"/>
  <c r="C53" i="22"/>
  <c r="F53" i="22"/>
  <c r="D7" i="23"/>
  <c r="E81" i="19"/>
  <c r="H81" i="19"/>
  <c r="E82" i="19"/>
  <c r="H82" i="19"/>
  <c r="E83" i="19"/>
  <c r="H83" i="19"/>
  <c r="E84" i="19"/>
  <c r="H84" i="19"/>
  <c r="E85" i="19"/>
  <c r="H85" i="19"/>
  <c r="E86" i="19"/>
  <c r="H86" i="19"/>
  <c r="E87" i="19"/>
  <c r="G87" i="19" s="1"/>
  <c r="I87" i="19" s="1"/>
  <c r="H87" i="19"/>
  <c r="E88" i="19"/>
  <c r="H88" i="19"/>
  <c r="G88" i="19"/>
  <c r="I88" i="19" s="1"/>
  <c r="E89" i="19"/>
  <c r="H89" i="19"/>
  <c r="G89" i="19" s="1"/>
  <c r="I89" i="19" s="1"/>
  <c r="E90" i="19"/>
  <c r="H90" i="19"/>
  <c r="E91" i="19"/>
  <c r="G91" i="19" s="1"/>
  <c r="I91" i="19" s="1"/>
  <c r="H91" i="19"/>
  <c r="E92" i="19"/>
  <c r="H92" i="19"/>
  <c r="E93" i="19"/>
  <c r="H93" i="19"/>
  <c r="E94" i="19"/>
  <c r="G94" i="19" s="1"/>
  <c r="I94" i="19" s="1"/>
  <c r="H94" i="19"/>
  <c r="E95" i="19"/>
  <c r="H95" i="19"/>
  <c r="E96" i="19"/>
  <c r="H96" i="19"/>
  <c r="E97" i="19"/>
  <c r="H97" i="19"/>
  <c r="E98" i="19"/>
  <c r="G98" i="19" s="1"/>
  <c r="I98" i="19" s="1"/>
  <c r="H98" i="19"/>
  <c r="E99" i="19"/>
  <c r="H99" i="19"/>
  <c r="E100" i="19"/>
  <c r="H100" i="19"/>
  <c r="E101" i="19"/>
  <c r="H101" i="19"/>
  <c r="E102" i="19"/>
  <c r="G102" i="19" s="1"/>
  <c r="I102" i="19" s="1"/>
  <c r="H102" i="19"/>
  <c r="E103" i="19"/>
  <c r="G103" i="19" s="1"/>
  <c r="I103" i="19" s="1"/>
  <c r="H103" i="19"/>
  <c r="E104" i="19"/>
  <c r="G104" i="19" s="1"/>
  <c r="I104" i="19" s="1"/>
  <c r="H104" i="19"/>
  <c r="E105" i="19"/>
  <c r="H105" i="19"/>
  <c r="E106" i="19"/>
  <c r="H106" i="19"/>
  <c r="E107" i="19"/>
  <c r="G107" i="19" s="1"/>
  <c r="I107" i="19" s="1"/>
  <c r="H107" i="19"/>
  <c r="E108" i="19"/>
  <c r="H108" i="19"/>
  <c r="E109" i="19"/>
  <c r="H109" i="19"/>
  <c r="E110" i="19"/>
  <c r="G110" i="19" s="1"/>
  <c r="I110" i="19" s="1"/>
  <c r="H110" i="19"/>
  <c r="E111" i="19"/>
  <c r="G111" i="19" s="1"/>
  <c r="I111" i="19" s="1"/>
  <c r="H111" i="19"/>
  <c r="E112" i="19"/>
  <c r="G112" i="19" s="1"/>
  <c r="I112" i="19" s="1"/>
  <c r="H112" i="19"/>
  <c r="E113" i="19"/>
  <c r="G113" i="19" s="1"/>
  <c r="I113" i="19" s="1"/>
  <c r="H113" i="19"/>
  <c r="E114" i="19"/>
  <c r="G114" i="19" s="1"/>
  <c r="I114" i="19" s="1"/>
  <c r="H114" i="19"/>
  <c r="E115" i="19"/>
  <c r="G115" i="19" s="1"/>
  <c r="I115" i="19" s="1"/>
  <c r="H115" i="19"/>
  <c r="E116" i="19"/>
  <c r="G116" i="19" s="1"/>
  <c r="I116" i="19" s="1"/>
  <c r="H116" i="19"/>
  <c r="E117" i="19"/>
  <c r="G117" i="19" s="1"/>
  <c r="I117" i="19" s="1"/>
  <c r="H117" i="19"/>
  <c r="E118" i="19"/>
  <c r="G118" i="19" s="1"/>
  <c r="I118" i="19" s="1"/>
  <c r="H118" i="19"/>
  <c r="E119" i="19"/>
  <c r="G119" i="19" s="1"/>
  <c r="I119" i="19" s="1"/>
  <c r="H119" i="19"/>
  <c r="E120" i="19"/>
  <c r="G120" i="19" s="1"/>
  <c r="I120" i="19" s="1"/>
  <c r="H120" i="19"/>
  <c r="E149" i="19"/>
  <c r="G149" i="19" s="1"/>
  <c r="I149" i="19" s="1"/>
  <c r="H149" i="19"/>
  <c r="E150" i="19"/>
  <c r="G150" i="19" s="1"/>
  <c r="I150" i="19" s="1"/>
  <c r="H150" i="19"/>
  <c r="E20" i="19"/>
  <c r="G20" i="19" s="1"/>
  <c r="I20" i="19" s="1"/>
  <c r="H20" i="19"/>
  <c r="E21" i="19"/>
  <c r="G21" i="19" s="1"/>
  <c r="I21" i="19" s="1"/>
  <c r="H21" i="19"/>
  <c r="E22" i="19"/>
  <c r="G22" i="19" s="1"/>
  <c r="I22" i="19" s="1"/>
  <c r="H22" i="19"/>
  <c r="E23" i="19"/>
  <c r="G23" i="19" s="1"/>
  <c r="I23" i="19" s="1"/>
  <c r="H23" i="19"/>
  <c r="E24" i="19"/>
  <c r="G24" i="19" s="1"/>
  <c r="I24" i="19" s="1"/>
  <c r="H24" i="19"/>
  <c r="E25" i="19"/>
  <c r="G25" i="19" s="1"/>
  <c r="I25" i="19" s="1"/>
  <c r="H25" i="19"/>
  <c r="E26" i="19"/>
  <c r="G26" i="19" s="1"/>
  <c r="I26" i="19" s="1"/>
  <c r="H26" i="19"/>
  <c r="E27" i="19"/>
  <c r="G27" i="19" s="1"/>
  <c r="I27" i="19" s="1"/>
  <c r="H27" i="19"/>
  <c r="E28" i="19"/>
  <c r="G28" i="19" s="1"/>
  <c r="I28" i="19" s="1"/>
  <c r="H28" i="19"/>
  <c r="E29" i="19"/>
  <c r="G29" i="19" s="1"/>
  <c r="I29" i="19" s="1"/>
  <c r="H29" i="19"/>
  <c r="E30" i="19"/>
  <c r="G30" i="19" s="1"/>
  <c r="I30" i="19" s="1"/>
  <c r="H30" i="19"/>
  <c r="E31" i="19"/>
  <c r="G31" i="19" s="1"/>
  <c r="I31" i="19" s="1"/>
  <c r="H31" i="19"/>
  <c r="E32" i="19"/>
  <c r="G32" i="19" s="1"/>
  <c r="I32" i="19" s="1"/>
  <c r="H32" i="19"/>
  <c r="E33" i="19"/>
  <c r="G33" i="19" s="1"/>
  <c r="I33" i="19" s="1"/>
  <c r="H33" i="19"/>
  <c r="E34" i="19"/>
  <c r="G34" i="19" s="1"/>
  <c r="I34" i="19" s="1"/>
  <c r="H34" i="19"/>
  <c r="E35" i="19"/>
  <c r="G35" i="19" s="1"/>
  <c r="I35" i="19" s="1"/>
  <c r="H35" i="19"/>
  <c r="E36" i="19"/>
  <c r="G36" i="19" s="1"/>
  <c r="I36" i="19" s="1"/>
  <c r="H36" i="19"/>
  <c r="E37" i="19"/>
  <c r="G37" i="19" s="1"/>
  <c r="I37" i="19" s="1"/>
  <c r="H37" i="19"/>
  <c r="E38" i="19"/>
  <c r="G38" i="19" s="1"/>
  <c r="I38" i="19" s="1"/>
  <c r="H38" i="19"/>
  <c r="E39" i="19"/>
  <c r="G39" i="19" s="1"/>
  <c r="I39" i="19" s="1"/>
  <c r="H39" i="19"/>
  <c r="E62" i="19"/>
  <c r="G62" i="19" s="1"/>
  <c r="I62" i="19" s="1"/>
  <c r="H62" i="19"/>
  <c r="E63" i="19"/>
  <c r="G63" i="19" s="1"/>
  <c r="I63" i="19" s="1"/>
  <c r="H63" i="19"/>
  <c r="E69" i="19"/>
  <c r="G69" i="19" s="1"/>
  <c r="I69" i="19" s="1"/>
  <c r="H69" i="19"/>
  <c r="E70" i="19"/>
  <c r="G70" i="19" s="1"/>
  <c r="I70" i="19" s="1"/>
  <c r="H70" i="19"/>
  <c r="E75" i="19"/>
  <c r="G75" i="19" s="1"/>
  <c r="I75" i="19" s="1"/>
  <c r="H75" i="19"/>
  <c r="E76" i="19"/>
  <c r="G76" i="19" s="1"/>
  <c r="I76" i="19" s="1"/>
  <c r="H76" i="19"/>
  <c r="E77" i="19"/>
  <c r="G77" i="19" s="1"/>
  <c r="I77" i="19" s="1"/>
  <c r="H77" i="19"/>
  <c r="E78" i="19"/>
  <c r="G78" i="19" s="1"/>
  <c r="I78" i="19" s="1"/>
  <c r="H78" i="19"/>
  <c r="E42" i="19"/>
  <c r="G42" i="19" s="1"/>
  <c r="I42" i="19" s="1"/>
  <c r="H42" i="19"/>
  <c r="E43" i="19"/>
  <c r="G43" i="19" s="1"/>
  <c r="I43" i="19" s="1"/>
  <c r="H43" i="19"/>
  <c r="E44" i="19"/>
  <c r="G44" i="19" s="1"/>
  <c r="I44" i="19" s="1"/>
  <c r="H44" i="19"/>
  <c r="E45" i="19"/>
  <c r="G45" i="19" s="1"/>
  <c r="I45" i="19" s="1"/>
  <c r="H45" i="19"/>
  <c r="E46" i="19"/>
  <c r="G46" i="19" s="1"/>
  <c r="I46" i="19" s="1"/>
  <c r="H46" i="19"/>
  <c r="E47" i="19"/>
  <c r="G47" i="19" s="1"/>
  <c r="I47" i="19" s="1"/>
  <c r="H47" i="19"/>
  <c r="E48" i="19"/>
  <c r="G48" i="19" s="1"/>
  <c r="I48" i="19" s="1"/>
  <c r="H48" i="19"/>
  <c r="E49" i="19"/>
  <c r="G49" i="19" s="1"/>
  <c r="I49" i="19" s="1"/>
  <c r="H49" i="19"/>
  <c r="E50" i="19"/>
  <c r="G50" i="19" s="1"/>
  <c r="I50" i="19" s="1"/>
  <c r="H50" i="19"/>
  <c r="E51" i="19"/>
  <c r="G51" i="19" s="1"/>
  <c r="I51" i="19" s="1"/>
  <c r="H51" i="19"/>
  <c r="E52" i="19"/>
  <c r="G52" i="19" s="1"/>
  <c r="I52" i="19" s="1"/>
  <c r="H52" i="19"/>
  <c r="E53" i="19"/>
  <c r="G53" i="19" s="1"/>
  <c r="I53" i="19" s="1"/>
  <c r="H53" i="19"/>
  <c r="E54" i="19"/>
  <c r="G54" i="19" s="1"/>
  <c r="I54" i="19" s="1"/>
  <c r="H54" i="19"/>
  <c r="E55" i="19"/>
  <c r="G55" i="19" s="1"/>
  <c r="I55" i="19" s="1"/>
  <c r="H55" i="19"/>
  <c r="E56" i="19"/>
  <c r="G56" i="19" s="1"/>
  <c r="I56" i="19" s="1"/>
  <c r="H56" i="19"/>
  <c r="E59" i="19"/>
  <c r="G59" i="19" s="1"/>
  <c r="I59" i="19" s="1"/>
  <c r="H59" i="19"/>
  <c r="E60" i="19"/>
  <c r="G60" i="19" s="1"/>
  <c r="I60" i="19" s="1"/>
  <c r="H60" i="19"/>
  <c r="E61" i="19"/>
  <c r="G61" i="19" s="1"/>
  <c r="I61" i="19" s="1"/>
  <c r="H61" i="19"/>
  <c r="E64" i="19"/>
  <c r="G64" i="19" s="1"/>
  <c r="I64" i="19" s="1"/>
  <c r="H64" i="19"/>
  <c r="E65" i="19"/>
  <c r="G65" i="19" s="1"/>
  <c r="I65" i="19" s="1"/>
  <c r="H65" i="19"/>
  <c r="E66" i="19"/>
  <c r="G66" i="19" s="1"/>
  <c r="I66" i="19" s="1"/>
  <c r="H66" i="19"/>
  <c r="E67" i="19"/>
  <c r="G67" i="19" s="1"/>
  <c r="I67" i="19" s="1"/>
  <c r="H67" i="19"/>
  <c r="E68" i="19"/>
  <c r="G68" i="19" s="1"/>
  <c r="I68" i="19" s="1"/>
  <c r="H68" i="19"/>
  <c r="E71" i="19"/>
  <c r="G71" i="19" s="1"/>
  <c r="I71" i="19" s="1"/>
  <c r="H71" i="19"/>
  <c r="E72" i="19"/>
  <c r="G72" i="19" s="1"/>
  <c r="I72" i="19" s="1"/>
  <c r="H72" i="19"/>
  <c r="E158" i="19"/>
  <c r="G158" i="19" s="1"/>
  <c r="I158" i="19" s="1"/>
  <c r="H158" i="19"/>
  <c r="E159" i="19"/>
  <c r="G159" i="19" s="1"/>
  <c r="I159" i="19" s="1"/>
  <c r="H159" i="19"/>
  <c r="E160" i="19"/>
  <c r="G160" i="19" s="1"/>
  <c r="I160" i="19" s="1"/>
  <c r="H160" i="19"/>
  <c r="E161" i="19"/>
  <c r="G161" i="19" s="1"/>
  <c r="I161" i="19" s="1"/>
  <c r="H161" i="19"/>
  <c r="E162" i="19"/>
  <c r="G162" i="19" s="1"/>
  <c r="I162" i="19" s="1"/>
  <c r="H162" i="19"/>
  <c r="E163" i="19"/>
  <c r="G163" i="19" s="1"/>
  <c r="I163" i="19" s="1"/>
  <c r="H163" i="19"/>
  <c r="E153" i="19"/>
  <c r="G153" i="19" s="1"/>
  <c r="I153" i="19" s="1"/>
  <c r="H153" i="19"/>
  <c r="E154" i="19"/>
  <c r="G154" i="19" s="1"/>
  <c r="I154" i="19" s="1"/>
  <c r="H154" i="19"/>
  <c r="E121" i="19"/>
  <c r="G121" i="19" s="1"/>
  <c r="I121" i="19" s="1"/>
  <c r="H121" i="19"/>
  <c r="E122" i="19"/>
  <c r="G122" i="19" s="1"/>
  <c r="I122" i="19" s="1"/>
  <c r="H122" i="19"/>
  <c r="E123" i="19"/>
  <c r="G123" i="19" s="1"/>
  <c r="I123" i="19" s="1"/>
  <c r="H123" i="19"/>
  <c r="E124" i="19"/>
  <c r="G124" i="19" s="1"/>
  <c r="I124" i="19" s="1"/>
  <c r="H124" i="19"/>
  <c r="E125" i="19"/>
  <c r="G125" i="19" s="1"/>
  <c r="I125" i="19" s="1"/>
  <c r="H125" i="19"/>
  <c r="E126" i="19"/>
  <c r="G126" i="19" s="1"/>
  <c r="I126" i="19" s="1"/>
  <c r="H126" i="19"/>
  <c r="E127" i="19"/>
  <c r="G127" i="19" s="1"/>
  <c r="I127" i="19" s="1"/>
  <c r="H127" i="19"/>
  <c r="E128" i="19"/>
  <c r="G128" i="19" s="1"/>
  <c r="I128" i="19" s="1"/>
  <c r="H128" i="19"/>
  <c r="E129" i="19"/>
  <c r="G129" i="19" s="1"/>
  <c r="I129" i="19" s="1"/>
  <c r="H129" i="19"/>
  <c r="E130" i="19"/>
  <c r="G130" i="19" s="1"/>
  <c r="I130" i="19" s="1"/>
  <c r="H130" i="19"/>
  <c r="E131" i="19"/>
  <c r="G131" i="19" s="1"/>
  <c r="I131" i="19" s="1"/>
  <c r="H131" i="19"/>
  <c r="E132" i="19"/>
  <c r="G132" i="19" s="1"/>
  <c r="I132" i="19" s="1"/>
  <c r="H132" i="19"/>
  <c r="E133" i="19"/>
  <c r="G133" i="19" s="1"/>
  <c r="I133" i="19" s="1"/>
  <c r="H133" i="19"/>
  <c r="E134" i="19"/>
  <c r="G134" i="19" s="1"/>
  <c r="I134" i="19" s="1"/>
  <c r="H134" i="19"/>
  <c r="E135" i="19"/>
  <c r="G135" i="19" s="1"/>
  <c r="I135" i="19" s="1"/>
  <c r="H135" i="19"/>
  <c r="E136" i="19"/>
  <c r="G136" i="19" s="1"/>
  <c r="I136" i="19" s="1"/>
  <c r="H136" i="19"/>
  <c r="E137" i="19"/>
  <c r="G137" i="19" s="1"/>
  <c r="I137" i="19" s="1"/>
  <c r="H137" i="19"/>
  <c r="E138" i="19"/>
  <c r="G138" i="19" s="1"/>
  <c r="I138" i="19" s="1"/>
  <c r="H138" i="19"/>
  <c r="E139" i="19"/>
  <c r="G139" i="19" s="1"/>
  <c r="I139" i="19" s="1"/>
  <c r="H139" i="19"/>
  <c r="E140" i="19"/>
  <c r="G140" i="19" s="1"/>
  <c r="I140" i="19" s="1"/>
  <c r="H140" i="19"/>
  <c r="E141" i="19"/>
  <c r="G141" i="19" s="1"/>
  <c r="I141" i="19" s="1"/>
  <c r="H141" i="19"/>
  <c r="E142" i="19"/>
  <c r="G142" i="19" s="1"/>
  <c r="I142" i="19" s="1"/>
  <c r="H142" i="19"/>
  <c r="E143" i="19"/>
  <c r="G143" i="19" s="1"/>
  <c r="I143" i="19" s="1"/>
  <c r="H143" i="19"/>
  <c r="E144" i="19"/>
  <c r="G144" i="19" s="1"/>
  <c r="I144" i="19" s="1"/>
  <c r="H144" i="19"/>
  <c r="E145" i="19"/>
  <c r="G145" i="19" s="1"/>
  <c r="I145" i="19" s="1"/>
  <c r="H145" i="19"/>
  <c r="E146" i="19"/>
  <c r="G146" i="19" s="1"/>
  <c r="I146" i="19" s="1"/>
  <c r="H146" i="19"/>
  <c r="D8" i="23"/>
  <c r="F8" i="23"/>
  <c r="G8" i="23"/>
  <c r="H8" i="23"/>
  <c r="D9" i="23"/>
  <c r="I9" i="23"/>
  <c r="D10" i="23"/>
  <c r="E10" i="23"/>
  <c r="F10" i="23"/>
  <c r="G10" i="23"/>
  <c r="H10" i="23"/>
  <c r="D11" i="23"/>
  <c r="E11" i="23"/>
  <c r="F11" i="23"/>
  <c r="G11" i="23"/>
  <c r="H11" i="23"/>
  <c r="D12" i="23"/>
  <c r="E12" i="23"/>
  <c r="F12" i="23"/>
  <c r="H12" i="23"/>
  <c r="D13" i="23"/>
  <c r="AN13" i="23" s="1"/>
  <c r="D14" i="23"/>
  <c r="I14" i="23" s="1"/>
  <c r="D15" i="23"/>
  <c r="I15" i="23" s="1"/>
  <c r="D16" i="23"/>
  <c r="I16" i="23" s="1"/>
  <c r="D17" i="23"/>
  <c r="AN17" i="23" s="1"/>
  <c r="D18" i="23"/>
  <c r="I18" i="23" s="1"/>
  <c r="D19" i="23"/>
  <c r="I19" i="23" s="1"/>
  <c r="D20" i="23"/>
  <c r="I20" i="23" s="1"/>
  <c r="D21" i="23"/>
  <c r="AN21" i="23" s="1"/>
  <c r="D24" i="23"/>
  <c r="I24" i="23" s="1"/>
  <c r="D25" i="23"/>
  <c r="I25" i="23" s="1"/>
  <c r="D26" i="23"/>
  <c r="I26" i="23" s="1"/>
  <c r="D27" i="23"/>
  <c r="AN27" i="23" s="1"/>
  <c r="AQ22" i="23"/>
  <c r="AQ23" i="23"/>
  <c r="AQ28" i="23"/>
  <c r="AQ29" i="23"/>
  <c r="AQ30" i="23"/>
  <c r="AQ32" i="23"/>
  <c r="AQ33" i="23"/>
  <c r="AQ34" i="23"/>
  <c r="AQ36" i="23"/>
  <c r="AQ37" i="23"/>
  <c r="AQ38" i="23"/>
  <c r="AR22" i="23"/>
  <c r="AR23" i="23"/>
  <c r="AR28" i="23"/>
  <c r="AR29" i="23"/>
  <c r="AR31" i="23"/>
  <c r="AR32" i="23"/>
  <c r="AR33" i="23"/>
  <c r="AR35" i="23"/>
  <c r="AR36" i="23"/>
  <c r="AR37" i="23"/>
  <c r="AR39" i="23"/>
  <c r="AS22" i="23"/>
  <c r="AS23" i="23"/>
  <c r="AS28" i="23"/>
  <c r="AS29" i="23"/>
  <c r="AS30" i="23"/>
  <c r="AS32" i="23"/>
  <c r="AS33" i="23"/>
  <c r="AS34" i="23"/>
  <c r="AS36" i="23"/>
  <c r="AS37" i="23"/>
  <c r="AS38" i="23"/>
  <c r="AT23" i="23"/>
  <c r="AT28" i="23"/>
  <c r="AT30" i="23"/>
  <c r="AT31" i="23"/>
  <c r="AT32" i="23"/>
  <c r="AT34" i="23"/>
  <c r="AT35" i="23"/>
  <c r="AT36" i="23"/>
  <c r="AT38" i="23"/>
  <c r="AT39" i="23"/>
  <c r="AU22" i="23"/>
  <c r="AU28" i="23"/>
  <c r="AU29" i="23"/>
  <c r="AU30" i="23"/>
  <c r="AU31" i="23"/>
  <c r="AU32" i="23"/>
  <c r="AU33" i="23"/>
  <c r="AU34" i="23"/>
  <c r="AU35" i="23"/>
  <c r="AU36" i="23"/>
  <c r="AU37" i="23"/>
  <c r="AU38" i="23"/>
  <c r="AU39" i="23"/>
  <c r="G61" i="25"/>
  <c r="G65" i="25"/>
  <c r="G64" i="25"/>
  <c r="G63" i="25"/>
  <c r="G62" i="25"/>
  <c r="P16" i="25"/>
  <c r="P18" i="25"/>
  <c r="P22" i="25"/>
  <c r="E13" i="25" s="1"/>
  <c r="Q16" i="25"/>
  <c r="Q18" i="25"/>
  <c r="G12" i="25"/>
  <c r="Q22" i="25"/>
  <c r="G13" i="25" s="1"/>
  <c r="R16" i="25"/>
  <c r="H12" i="25" s="1"/>
  <c r="R18" i="25"/>
  <c r="R22" i="25"/>
  <c r="H13" i="25" s="1"/>
  <c r="H15" i="25" s="1"/>
  <c r="H28" i="25" s="1"/>
  <c r="S16" i="25"/>
  <c r="S18" i="25"/>
  <c r="I12" i="25" s="1"/>
  <c r="S22" i="25"/>
  <c r="I13" i="25" s="1"/>
  <c r="P11" i="25"/>
  <c r="E18" i="25"/>
  <c r="Q11" i="25"/>
  <c r="G18" i="25"/>
  <c r="G29" i="25" s="1"/>
  <c r="R11" i="25"/>
  <c r="H18" i="25"/>
  <c r="H29" i="25" s="1"/>
  <c r="S11" i="25"/>
  <c r="I18" i="25"/>
  <c r="I29" i="25" s="1"/>
  <c r="O29" i="25"/>
  <c r="P30" i="25" s="1"/>
  <c r="S19" i="25"/>
  <c r="I19" i="25" s="1"/>
  <c r="S20" i="25"/>
  <c r="I20" i="25" s="1"/>
  <c r="S21" i="25"/>
  <c r="I21" i="25" s="1"/>
  <c r="R19" i="25"/>
  <c r="H19" i="25"/>
  <c r="R20" i="25"/>
  <c r="H20" i="25" s="1"/>
  <c r="R21" i="25"/>
  <c r="H21" i="25"/>
  <c r="Q19" i="25"/>
  <c r="G19" i="25" s="1"/>
  <c r="Q20" i="25"/>
  <c r="G20" i="25" s="1"/>
  <c r="Q21" i="25"/>
  <c r="G21" i="25" s="1"/>
  <c r="P19" i="25"/>
  <c r="E19" i="25"/>
  <c r="P20" i="25"/>
  <c r="E20" i="25"/>
  <c r="P21" i="25"/>
  <c r="E21" i="25"/>
  <c r="E29" i="25"/>
  <c r="D29" i="25"/>
  <c r="S26" i="25"/>
  <c r="S25" i="25"/>
  <c r="R25" i="25"/>
  <c r="Q25" i="25"/>
  <c r="P25" i="25"/>
  <c r="O25" i="25"/>
  <c r="S24" i="25"/>
  <c r="R24" i="25"/>
  <c r="Q24" i="25"/>
  <c r="P24" i="25"/>
  <c r="O24" i="25"/>
  <c r="S23" i="25"/>
  <c r="R23" i="25"/>
  <c r="Q23" i="25"/>
  <c r="P23" i="25"/>
  <c r="S17" i="25"/>
  <c r="R17" i="25"/>
  <c r="Q17" i="25"/>
  <c r="P17" i="25"/>
  <c r="O17" i="25"/>
  <c r="S14" i="25"/>
  <c r="P14" i="25"/>
  <c r="S13" i="25"/>
  <c r="Q13" i="25"/>
  <c r="O13" i="25"/>
  <c r="F13" i="25"/>
  <c r="S12" i="25"/>
  <c r="R12" i="25"/>
  <c r="Q12" i="25"/>
  <c r="P12" i="25"/>
  <c r="O12" i="25"/>
  <c r="S10" i="25"/>
  <c r="R10" i="25"/>
  <c r="Q10" i="25"/>
  <c r="P10" i="25"/>
  <c r="O10" i="25"/>
  <c r="S9" i="25"/>
  <c r="R9" i="25"/>
  <c r="Q9" i="25"/>
  <c r="P9" i="25"/>
  <c r="O9" i="25"/>
  <c r="H27" i="24"/>
  <c r="H26" i="24"/>
  <c r="H25" i="24"/>
  <c r="H21" i="24"/>
  <c r="D20" i="24"/>
  <c r="H20" i="24"/>
  <c r="G20" i="24"/>
  <c r="F20" i="24"/>
  <c r="D19" i="24"/>
  <c r="H19" i="24"/>
  <c r="G19" i="24"/>
  <c r="F19" i="24"/>
  <c r="H18" i="24"/>
  <c r="A1" i="24"/>
  <c r="AN7" i="23"/>
  <c r="AN8" i="23"/>
  <c r="AN9" i="23"/>
  <c r="AN10" i="23"/>
  <c r="AN11" i="23"/>
  <c r="AN12" i="23"/>
  <c r="AN14" i="23"/>
  <c r="AN16" i="23"/>
  <c r="AN18" i="23"/>
  <c r="AN20" i="23"/>
  <c r="D22" i="23"/>
  <c r="D23" i="23"/>
  <c r="AN24" i="23"/>
  <c r="AN26" i="23"/>
  <c r="D28" i="23"/>
  <c r="D29" i="23"/>
  <c r="D30" i="23"/>
  <c r="I30" i="23" s="1"/>
  <c r="D31" i="23"/>
  <c r="AM31" i="23" s="1"/>
  <c r="D32" i="23"/>
  <c r="I32" i="23" s="1"/>
  <c r="D33" i="23"/>
  <c r="D34" i="23"/>
  <c r="I34" i="23" s="1"/>
  <c r="D35" i="23"/>
  <c r="D36" i="23"/>
  <c r="AN37" i="23"/>
  <c r="D38" i="23"/>
  <c r="AN38" i="23" s="1"/>
  <c r="D39" i="23"/>
  <c r="AN39" i="23" s="1"/>
  <c r="AM7" i="23"/>
  <c r="AM9" i="23"/>
  <c r="AM10" i="23"/>
  <c r="AM11" i="23"/>
  <c r="AM12" i="23"/>
  <c r="AM13" i="23"/>
  <c r="AM14" i="23"/>
  <c r="AM15" i="23"/>
  <c r="AM16" i="23"/>
  <c r="AM17" i="23"/>
  <c r="AM18" i="23"/>
  <c r="AM19" i="23"/>
  <c r="AM20" i="23"/>
  <c r="AM21" i="23"/>
  <c r="AM24" i="23"/>
  <c r="AM25" i="23"/>
  <c r="AM26" i="23"/>
  <c r="AM27" i="23"/>
  <c r="AM29" i="23"/>
  <c r="AM35" i="23"/>
  <c r="AM37" i="23"/>
  <c r="AM39" i="23"/>
  <c r="I22" i="23"/>
  <c r="O22" i="23"/>
  <c r="O23" i="23"/>
  <c r="I28" i="23"/>
  <c r="O28" i="23"/>
  <c r="O29" i="23"/>
  <c r="O30" i="23"/>
  <c r="O31" i="23"/>
  <c r="O32" i="23"/>
  <c r="O33" i="23"/>
  <c r="O34" i="23"/>
  <c r="O35" i="23"/>
  <c r="I36" i="23"/>
  <c r="O36" i="23"/>
  <c r="O37" i="23"/>
  <c r="V37" i="23" s="1"/>
  <c r="O38" i="23"/>
  <c r="I39" i="23"/>
  <c r="O39" i="23"/>
  <c r="N22" i="23"/>
  <c r="N23" i="23"/>
  <c r="N28" i="23"/>
  <c r="N29" i="23"/>
  <c r="N30" i="23"/>
  <c r="N31" i="23"/>
  <c r="N32" i="23"/>
  <c r="N33" i="23"/>
  <c r="N34" i="23"/>
  <c r="N35" i="23"/>
  <c r="N36" i="23"/>
  <c r="N37" i="23"/>
  <c r="U37" i="23" s="1"/>
  <c r="N38" i="23"/>
  <c r="N39" i="23"/>
  <c r="M22" i="23"/>
  <c r="M23" i="23"/>
  <c r="M28" i="23"/>
  <c r="M29" i="23"/>
  <c r="M30" i="23"/>
  <c r="M31" i="23"/>
  <c r="M32" i="23"/>
  <c r="M33" i="23"/>
  <c r="M34" i="23"/>
  <c r="M35" i="23"/>
  <c r="M36" i="23"/>
  <c r="M37" i="23"/>
  <c r="T37" i="23" s="1"/>
  <c r="M38" i="23"/>
  <c r="M39" i="23"/>
  <c r="L22" i="23"/>
  <c r="L23" i="23"/>
  <c r="L28" i="23"/>
  <c r="L29" i="23"/>
  <c r="L30" i="23"/>
  <c r="L31" i="23"/>
  <c r="L32" i="23"/>
  <c r="L33" i="23"/>
  <c r="L34" i="23"/>
  <c r="L35" i="23"/>
  <c r="L36" i="23"/>
  <c r="L37" i="23"/>
  <c r="S37" i="23" s="1"/>
  <c r="L38" i="23"/>
  <c r="L39" i="23"/>
  <c r="G40" i="23"/>
  <c r="P39" i="23"/>
  <c r="P38" i="23"/>
  <c r="P37" i="23"/>
  <c r="W37" i="23" s="1"/>
  <c r="P36" i="23"/>
  <c r="P35" i="23"/>
  <c r="P34" i="23"/>
  <c r="P33" i="23"/>
  <c r="P32" i="23"/>
  <c r="P31" i="23"/>
  <c r="P30" i="23"/>
  <c r="P29" i="23"/>
  <c r="P28" i="23"/>
  <c r="P23" i="23"/>
  <c r="P22" i="23"/>
  <c r="C110" i="22"/>
  <c r="C100" i="22"/>
  <c r="C43" i="22" s="1"/>
  <c r="C99" i="22"/>
  <c r="C42" i="22" s="1"/>
  <c r="C98" i="22"/>
  <c r="C41" i="22" s="1"/>
  <c r="C97" i="22"/>
  <c r="C40" i="22" s="1"/>
  <c r="C96" i="22"/>
  <c r="C39" i="22" s="1"/>
  <c r="C90" i="22"/>
  <c r="C89" i="22"/>
  <c r="C21" i="22" s="1"/>
  <c r="C88" i="22"/>
  <c r="C87" i="22"/>
  <c r="C79" i="22"/>
  <c r="C78" i="22"/>
  <c r="C77" i="22"/>
  <c r="C76" i="22"/>
  <c r="I227" i="6"/>
  <c r="J227" i="6"/>
  <c r="K227" i="6"/>
  <c r="L227" i="6"/>
  <c r="C66" i="22" s="1"/>
  <c r="M227" i="6"/>
  <c r="I250" i="6"/>
  <c r="J250" i="6"/>
  <c r="K250" i="6"/>
  <c r="L250" i="6"/>
  <c r="M250" i="6"/>
  <c r="C69" i="22"/>
  <c r="C68" i="22"/>
  <c r="C67" i="22"/>
  <c r="I53" i="22"/>
  <c r="I49" i="22"/>
  <c r="I52" i="22"/>
  <c r="F31" i="22"/>
  <c r="C31" i="22"/>
  <c r="F30" i="22"/>
  <c r="C30" i="22"/>
  <c r="F29" i="22"/>
  <c r="C29" i="22"/>
  <c r="F28" i="22"/>
  <c r="C28" i="22"/>
  <c r="I22" i="22"/>
  <c r="C22" i="22"/>
  <c r="I21" i="22"/>
  <c r="I20" i="22"/>
  <c r="F20" i="22"/>
  <c r="C20" i="22"/>
  <c r="I19" i="22"/>
  <c r="F19" i="22"/>
  <c r="C19" i="22"/>
  <c r="A1" i="22"/>
  <c r="B8" i="21"/>
  <c r="B5" i="21"/>
  <c r="B6" i="21"/>
  <c r="E14" i="21" s="1"/>
  <c r="B7" i="21"/>
  <c r="A1" i="21"/>
  <c r="A1" i="20"/>
  <c r="E157" i="19"/>
  <c r="G157" i="19" s="1"/>
  <c r="I157" i="19" s="1"/>
  <c r="H157" i="19"/>
  <c r="E156" i="19"/>
  <c r="G156" i="19" s="1"/>
  <c r="I156" i="19" s="1"/>
  <c r="H156" i="19"/>
  <c r="E155" i="19"/>
  <c r="H155" i="19"/>
  <c r="E152" i="19"/>
  <c r="H152" i="19"/>
  <c r="E151" i="19"/>
  <c r="H151" i="19"/>
  <c r="E148" i="19"/>
  <c r="H148" i="19"/>
  <c r="E147" i="19"/>
  <c r="H147" i="19"/>
  <c r="E80" i="19"/>
  <c r="H80" i="19"/>
  <c r="E79" i="19"/>
  <c r="H79" i="19"/>
  <c r="E74" i="19"/>
  <c r="H74" i="19"/>
  <c r="E73" i="19"/>
  <c r="H73" i="19"/>
  <c r="E58" i="19"/>
  <c r="H58" i="19"/>
  <c r="E57" i="19"/>
  <c r="H57" i="19"/>
  <c r="E41" i="19"/>
  <c r="H41" i="19"/>
  <c r="E40" i="19"/>
  <c r="H40" i="19"/>
  <c r="D240" i="6"/>
  <c r="E240" i="6"/>
  <c r="F240" i="6"/>
  <c r="G240" i="6"/>
  <c r="H240" i="6"/>
  <c r="I231" i="6"/>
  <c r="I240" i="6" s="1"/>
  <c r="I235" i="6"/>
  <c r="S235" i="6" s="1"/>
  <c r="I239" i="6"/>
  <c r="J231" i="6"/>
  <c r="J240" i="6" s="1"/>
  <c r="J235" i="6"/>
  <c r="J239" i="6"/>
  <c r="K231" i="6"/>
  <c r="K240" i="6" s="1"/>
  <c r="K11" i="6" s="1"/>
  <c r="K235" i="6"/>
  <c r="K239" i="6"/>
  <c r="L231" i="6"/>
  <c r="L240" i="6" s="1"/>
  <c r="L235" i="6"/>
  <c r="L239" i="6"/>
  <c r="M231" i="6"/>
  <c r="M240" i="6" s="1"/>
  <c r="M235" i="6"/>
  <c r="M239" i="6"/>
  <c r="D263" i="6"/>
  <c r="E263" i="6"/>
  <c r="F263" i="6"/>
  <c r="G263" i="6"/>
  <c r="H263" i="6"/>
  <c r="I254" i="6"/>
  <c r="I263" i="6" s="1"/>
  <c r="I12" i="6" s="1"/>
  <c r="I258" i="6"/>
  <c r="I262" i="6"/>
  <c r="J254" i="6"/>
  <c r="J263" i="6" s="1"/>
  <c r="J12" i="6" s="1"/>
  <c r="J258" i="6"/>
  <c r="J262" i="6"/>
  <c r="K254" i="6"/>
  <c r="K263" i="6" s="1"/>
  <c r="K12" i="6" s="1"/>
  <c r="K258" i="6"/>
  <c r="K262" i="6"/>
  <c r="L254" i="6"/>
  <c r="L263" i="6" s="1"/>
  <c r="L12" i="6" s="1"/>
  <c r="L258" i="6"/>
  <c r="L262" i="6"/>
  <c r="M254" i="6"/>
  <c r="M263" i="6" s="1"/>
  <c r="M12" i="6" s="1"/>
  <c r="M258" i="6"/>
  <c r="M262" i="6"/>
  <c r="Q250" i="6"/>
  <c r="Q254" i="6"/>
  <c r="Q263" i="6" s="1"/>
  <c r="T263" i="6" s="1"/>
  <c r="Q258" i="6"/>
  <c r="Q262" i="6"/>
  <c r="T262" i="6" s="1"/>
  <c r="S250" i="6"/>
  <c r="S254" i="6"/>
  <c r="S263" i="6" s="1"/>
  <c r="S258" i="6"/>
  <c r="S262" i="6"/>
  <c r="P250" i="6"/>
  <c r="P254" i="6"/>
  <c r="P258" i="6"/>
  <c r="P262" i="6"/>
  <c r="P263" i="6"/>
  <c r="O250" i="6"/>
  <c r="O254" i="6"/>
  <c r="O263" i="6" s="1"/>
  <c r="O258" i="6"/>
  <c r="O262" i="6"/>
  <c r="T258" i="6"/>
  <c r="T254" i="6"/>
  <c r="T250" i="6"/>
  <c r="Q227" i="6"/>
  <c r="Q231" i="6"/>
  <c r="Q240" i="6" s="1"/>
  <c r="T240" i="6" s="1"/>
  <c r="Q235" i="6"/>
  <c r="Q239" i="6"/>
  <c r="S227" i="6"/>
  <c r="S239" i="6"/>
  <c r="P227" i="6"/>
  <c r="P231" i="6"/>
  <c r="P240" i="6" s="1"/>
  <c r="P235" i="6"/>
  <c r="P239" i="6"/>
  <c r="O227" i="6"/>
  <c r="O231" i="6"/>
  <c r="O240" i="6" s="1"/>
  <c r="O235" i="6"/>
  <c r="O239" i="6"/>
  <c r="T239" i="6"/>
  <c r="T235" i="6"/>
  <c r="T227" i="6"/>
  <c r="Q192" i="6"/>
  <c r="Q200" i="6"/>
  <c r="Q217" i="6" s="1"/>
  <c r="T217" i="6" s="1"/>
  <c r="Q208" i="6"/>
  <c r="Q216" i="6"/>
  <c r="I192" i="6"/>
  <c r="J192" i="6"/>
  <c r="K192" i="6"/>
  <c r="S192" i="6" s="1"/>
  <c r="S217" i="6" s="1"/>
  <c r="L192" i="6"/>
  <c r="L217" i="6" s="1"/>
  <c r="L10" i="6" s="1"/>
  <c r="M192" i="6"/>
  <c r="I200" i="6"/>
  <c r="J200" i="6"/>
  <c r="J217" i="6" s="1"/>
  <c r="K200" i="6"/>
  <c r="L200" i="6"/>
  <c r="M200" i="6"/>
  <c r="S200" i="6"/>
  <c r="I208" i="6"/>
  <c r="J208" i="6"/>
  <c r="K208" i="6"/>
  <c r="S208" i="6" s="1"/>
  <c r="L208" i="6"/>
  <c r="M208" i="6"/>
  <c r="I216" i="6"/>
  <c r="J216" i="6"/>
  <c r="K216" i="6"/>
  <c r="L216" i="6"/>
  <c r="M216" i="6"/>
  <c r="S216" i="6"/>
  <c r="P192" i="6"/>
  <c r="P200" i="6"/>
  <c r="P217" i="6" s="1"/>
  <c r="P208" i="6"/>
  <c r="P216" i="6"/>
  <c r="O192" i="6"/>
  <c r="O200" i="6"/>
  <c r="O217" i="6" s="1"/>
  <c r="O208" i="6"/>
  <c r="O216" i="6"/>
  <c r="M217" i="6"/>
  <c r="I217" i="6"/>
  <c r="H217" i="6"/>
  <c r="G217" i="6"/>
  <c r="F217" i="6"/>
  <c r="E217" i="6"/>
  <c r="D217" i="6"/>
  <c r="T216" i="6"/>
  <c r="M215" i="6"/>
  <c r="L215" i="6"/>
  <c r="K215" i="6"/>
  <c r="J215" i="6"/>
  <c r="I215" i="6"/>
  <c r="M212" i="6"/>
  <c r="L212" i="6"/>
  <c r="K212" i="6"/>
  <c r="J212" i="6"/>
  <c r="I212" i="6"/>
  <c r="T208" i="6"/>
  <c r="M207" i="6"/>
  <c r="L207" i="6"/>
  <c r="K207" i="6"/>
  <c r="J207" i="6"/>
  <c r="I207" i="6"/>
  <c r="M204" i="6"/>
  <c r="L204" i="6"/>
  <c r="K204" i="6"/>
  <c r="J204" i="6"/>
  <c r="I204" i="6"/>
  <c r="T200" i="6"/>
  <c r="M199" i="6"/>
  <c r="L199" i="6"/>
  <c r="K199" i="6"/>
  <c r="J199" i="6"/>
  <c r="I199" i="6"/>
  <c r="M196" i="6"/>
  <c r="L196" i="6"/>
  <c r="K196" i="6"/>
  <c r="J196" i="6"/>
  <c r="I196" i="6"/>
  <c r="T192" i="6"/>
  <c r="M191" i="6"/>
  <c r="L191" i="6"/>
  <c r="K191" i="6"/>
  <c r="J191" i="6"/>
  <c r="I191" i="6"/>
  <c r="M188" i="6"/>
  <c r="L188" i="6"/>
  <c r="K188" i="6"/>
  <c r="J188" i="6"/>
  <c r="I188" i="6"/>
  <c r="Q153" i="6"/>
  <c r="Q161" i="6"/>
  <c r="Q178" i="6" s="1"/>
  <c r="T178" i="6" s="1"/>
  <c r="Q169" i="6"/>
  <c r="Q177" i="6"/>
  <c r="I153" i="6"/>
  <c r="S153" i="6" s="1"/>
  <c r="J153" i="6"/>
  <c r="K153" i="6"/>
  <c r="K178" i="6" s="1"/>
  <c r="L153" i="6"/>
  <c r="M153" i="6"/>
  <c r="M178" i="6" s="1"/>
  <c r="M10" i="6" s="1"/>
  <c r="I161" i="6"/>
  <c r="J161" i="6"/>
  <c r="J178" i="6" s="1"/>
  <c r="J10" i="6" s="1"/>
  <c r="K161" i="6"/>
  <c r="S161" i="6" s="1"/>
  <c r="L161" i="6"/>
  <c r="M161" i="6"/>
  <c r="I169" i="6"/>
  <c r="I178" i="6" s="1"/>
  <c r="I10" i="6" s="1"/>
  <c r="J169" i="6"/>
  <c r="K169" i="6"/>
  <c r="L169" i="6"/>
  <c r="M169" i="6"/>
  <c r="I177" i="6"/>
  <c r="J177" i="6"/>
  <c r="K177" i="6"/>
  <c r="S177" i="6" s="1"/>
  <c r="L177" i="6"/>
  <c r="M177" i="6"/>
  <c r="P153" i="6"/>
  <c r="P161" i="6"/>
  <c r="P178" i="6" s="1"/>
  <c r="P169" i="6"/>
  <c r="P177" i="6"/>
  <c r="O153" i="6"/>
  <c r="O161" i="6"/>
  <c r="O178" i="6" s="1"/>
  <c r="O169" i="6"/>
  <c r="O177" i="6"/>
  <c r="L178" i="6"/>
  <c r="H178" i="6"/>
  <c r="G178" i="6"/>
  <c r="F178" i="6"/>
  <c r="E178" i="6"/>
  <c r="D178" i="6"/>
  <c r="T177" i="6"/>
  <c r="M176" i="6"/>
  <c r="L176" i="6"/>
  <c r="K176" i="6"/>
  <c r="J176" i="6"/>
  <c r="I176" i="6"/>
  <c r="M173" i="6"/>
  <c r="L173" i="6"/>
  <c r="K173" i="6"/>
  <c r="J173" i="6"/>
  <c r="I173" i="6"/>
  <c r="T169" i="6"/>
  <c r="M168" i="6"/>
  <c r="L168" i="6"/>
  <c r="K168" i="6"/>
  <c r="J168" i="6"/>
  <c r="I168" i="6"/>
  <c r="M165" i="6"/>
  <c r="L165" i="6"/>
  <c r="K165" i="6"/>
  <c r="J165" i="6"/>
  <c r="I165" i="6"/>
  <c r="T161" i="6"/>
  <c r="M160" i="6"/>
  <c r="L160" i="6"/>
  <c r="K160" i="6"/>
  <c r="J160" i="6"/>
  <c r="I160" i="6"/>
  <c r="M157" i="6"/>
  <c r="L157" i="6"/>
  <c r="K157" i="6"/>
  <c r="J157" i="6"/>
  <c r="I157" i="6"/>
  <c r="T153" i="6"/>
  <c r="M152" i="6"/>
  <c r="L152" i="6"/>
  <c r="K152" i="6"/>
  <c r="J152" i="6"/>
  <c r="I152" i="6"/>
  <c r="M149" i="6"/>
  <c r="L149" i="6"/>
  <c r="K149" i="6"/>
  <c r="J149" i="6"/>
  <c r="I149" i="6"/>
  <c r="M118" i="6"/>
  <c r="M124" i="6"/>
  <c r="M137" i="6" s="1"/>
  <c r="M130" i="6"/>
  <c r="M68" i="6" s="1"/>
  <c r="M136" i="6"/>
  <c r="L118" i="6"/>
  <c r="L124" i="6"/>
  <c r="L137" i="6" s="1"/>
  <c r="L130" i="6"/>
  <c r="L136" i="6"/>
  <c r="K118" i="6"/>
  <c r="K124" i="6"/>
  <c r="K137" i="6" s="1"/>
  <c r="K130" i="6"/>
  <c r="K136" i="6"/>
  <c r="J118" i="6"/>
  <c r="J124" i="6"/>
  <c r="J130" i="6"/>
  <c r="J136" i="6"/>
  <c r="J137" i="6"/>
  <c r="I118" i="6"/>
  <c r="I124" i="6"/>
  <c r="I137" i="6" s="1"/>
  <c r="I130" i="6"/>
  <c r="I68" i="6" s="1"/>
  <c r="I136" i="6"/>
  <c r="H137" i="6"/>
  <c r="G137" i="6"/>
  <c r="F137" i="6"/>
  <c r="E137" i="6"/>
  <c r="D137" i="6"/>
  <c r="M87" i="6"/>
  <c r="M56" i="6" s="1"/>
  <c r="M93" i="6"/>
  <c r="M106" i="6" s="1"/>
  <c r="M99" i="6"/>
  <c r="M105" i="6"/>
  <c r="L87" i="6"/>
  <c r="L93" i="6"/>
  <c r="L99" i="6"/>
  <c r="L105" i="6"/>
  <c r="L106" i="6"/>
  <c r="K87" i="6"/>
  <c r="K93" i="6"/>
  <c r="K106" i="6" s="1"/>
  <c r="K99" i="6"/>
  <c r="K105" i="6"/>
  <c r="K74" i="6" s="1"/>
  <c r="J87" i="6"/>
  <c r="J93" i="6"/>
  <c r="J106" i="6" s="1"/>
  <c r="J99" i="6"/>
  <c r="J105" i="6"/>
  <c r="I87" i="6"/>
  <c r="I56" i="6" s="1"/>
  <c r="I93" i="6"/>
  <c r="I106" i="6" s="1"/>
  <c r="I99" i="6"/>
  <c r="I105" i="6"/>
  <c r="H106" i="6"/>
  <c r="G106" i="6"/>
  <c r="F106" i="6"/>
  <c r="E106" i="6"/>
  <c r="D106" i="6"/>
  <c r="M52" i="6"/>
  <c r="M53" i="6"/>
  <c r="M75" i="6" s="1"/>
  <c r="M54" i="6"/>
  <c r="M55" i="6"/>
  <c r="M58" i="6"/>
  <c r="M59" i="6"/>
  <c r="M60" i="6"/>
  <c r="M61" i="6"/>
  <c r="M64" i="6"/>
  <c r="M65" i="6"/>
  <c r="M66" i="6"/>
  <c r="M67" i="6"/>
  <c r="M70" i="6"/>
  <c r="M71" i="6"/>
  <c r="M72" i="6"/>
  <c r="M73" i="6"/>
  <c r="L52" i="6"/>
  <c r="L53" i="6"/>
  <c r="L75" i="6" s="1"/>
  <c r="L54" i="6"/>
  <c r="L55" i="6"/>
  <c r="L58" i="6"/>
  <c r="L59" i="6"/>
  <c r="L60" i="6"/>
  <c r="L61" i="6"/>
  <c r="L64" i="6"/>
  <c r="L65" i="6"/>
  <c r="L66" i="6"/>
  <c r="L67" i="6"/>
  <c r="L70" i="6"/>
  <c r="L71" i="6"/>
  <c r="L72" i="6"/>
  <c r="L73" i="6"/>
  <c r="K52" i="6"/>
  <c r="K53" i="6"/>
  <c r="K75" i="6" s="1"/>
  <c r="K54" i="6"/>
  <c r="K55" i="6"/>
  <c r="K58" i="6"/>
  <c r="K59" i="6"/>
  <c r="K60" i="6"/>
  <c r="K61" i="6"/>
  <c r="K64" i="6"/>
  <c r="K65" i="6"/>
  <c r="K66" i="6"/>
  <c r="K67" i="6"/>
  <c r="K70" i="6"/>
  <c r="K71" i="6"/>
  <c r="K72" i="6"/>
  <c r="K73" i="6"/>
  <c r="J52" i="6"/>
  <c r="J53" i="6"/>
  <c r="J54" i="6"/>
  <c r="J55" i="6"/>
  <c r="J58" i="6"/>
  <c r="J59" i="6"/>
  <c r="J60" i="6"/>
  <c r="J61" i="6"/>
  <c r="J64" i="6"/>
  <c r="J65" i="6"/>
  <c r="J66" i="6"/>
  <c r="J67" i="6"/>
  <c r="J70" i="6"/>
  <c r="J71" i="6"/>
  <c r="J72" i="6"/>
  <c r="J73" i="6"/>
  <c r="J75" i="6"/>
  <c r="I52" i="6"/>
  <c r="I53" i="6"/>
  <c r="I75" i="6" s="1"/>
  <c r="I54" i="6"/>
  <c r="I55" i="6"/>
  <c r="I58" i="6"/>
  <c r="I59" i="6"/>
  <c r="I60" i="6"/>
  <c r="I61" i="6"/>
  <c r="I64" i="6"/>
  <c r="I65" i="6"/>
  <c r="I66" i="6"/>
  <c r="I67" i="6"/>
  <c r="I70" i="6"/>
  <c r="I71" i="6"/>
  <c r="I72" i="6"/>
  <c r="I73" i="6"/>
  <c r="H52" i="6"/>
  <c r="H53" i="6"/>
  <c r="H75" i="6" s="1"/>
  <c r="H58" i="6"/>
  <c r="H59" i="6"/>
  <c r="H64" i="6"/>
  <c r="H65" i="6"/>
  <c r="H70" i="6"/>
  <c r="H71" i="6"/>
  <c r="G52" i="6"/>
  <c r="G53" i="6"/>
  <c r="G75" i="6" s="1"/>
  <c r="G58" i="6"/>
  <c r="G59" i="6"/>
  <c r="G64" i="6"/>
  <c r="G65" i="6"/>
  <c r="G70" i="6"/>
  <c r="G71" i="6"/>
  <c r="F52" i="6"/>
  <c r="F53" i="6"/>
  <c r="F58" i="6"/>
  <c r="F59" i="6"/>
  <c r="F64" i="6"/>
  <c r="F65" i="6"/>
  <c r="F70" i="6"/>
  <c r="F71" i="6"/>
  <c r="F75" i="6"/>
  <c r="E52" i="6"/>
  <c r="E53" i="6"/>
  <c r="E75" i="6" s="1"/>
  <c r="E58" i="6"/>
  <c r="E59" i="6"/>
  <c r="E64" i="6"/>
  <c r="E65" i="6"/>
  <c r="E70" i="6"/>
  <c r="E71" i="6"/>
  <c r="D52" i="6"/>
  <c r="D53" i="6"/>
  <c r="D75" i="6" s="1"/>
  <c r="D58" i="6"/>
  <c r="D59" i="6"/>
  <c r="D64" i="6"/>
  <c r="D65" i="6"/>
  <c r="D70" i="6"/>
  <c r="D71" i="6"/>
  <c r="M74" i="6"/>
  <c r="L74" i="6"/>
  <c r="J74" i="6"/>
  <c r="I74" i="6"/>
  <c r="H74" i="6"/>
  <c r="G74" i="6"/>
  <c r="F74" i="6"/>
  <c r="E74" i="6"/>
  <c r="D74" i="6"/>
  <c r="L68" i="6"/>
  <c r="K68" i="6"/>
  <c r="J68" i="6"/>
  <c r="H68" i="6"/>
  <c r="G68" i="6"/>
  <c r="F68" i="6"/>
  <c r="E68" i="6"/>
  <c r="D68" i="6"/>
  <c r="M62" i="6"/>
  <c r="L62" i="6"/>
  <c r="J62" i="6"/>
  <c r="I62" i="6"/>
  <c r="H62" i="6"/>
  <c r="G62" i="6"/>
  <c r="F62" i="6"/>
  <c r="E62" i="6"/>
  <c r="D62" i="6"/>
  <c r="L56" i="6"/>
  <c r="K56" i="6"/>
  <c r="J56" i="6"/>
  <c r="H56" i="6"/>
  <c r="G56" i="6"/>
  <c r="F56" i="6"/>
  <c r="E56" i="6"/>
  <c r="D56" i="6"/>
  <c r="D43" i="6"/>
  <c r="E43" i="6"/>
  <c r="O43" i="6" s="1"/>
  <c r="F43" i="6"/>
  <c r="G43" i="6"/>
  <c r="H43" i="6"/>
  <c r="P43" i="6" s="1"/>
  <c r="Q43" i="6"/>
  <c r="T43" i="6" s="1"/>
  <c r="I41" i="6"/>
  <c r="I42" i="6"/>
  <c r="I43" i="6"/>
  <c r="J41" i="6"/>
  <c r="J42" i="6"/>
  <c r="J43" i="6"/>
  <c r="K41" i="6"/>
  <c r="K43" i="6" s="1"/>
  <c r="K42" i="6"/>
  <c r="L41" i="6"/>
  <c r="L43" i="6" s="1"/>
  <c r="L42" i="6"/>
  <c r="M41" i="6"/>
  <c r="M42" i="6"/>
  <c r="M43" i="6"/>
  <c r="D39" i="6"/>
  <c r="Q39" i="6" s="1"/>
  <c r="T39" i="6" s="1"/>
  <c r="E39" i="6"/>
  <c r="F39" i="6"/>
  <c r="G39" i="6"/>
  <c r="H39" i="6"/>
  <c r="P39" i="6" s="1"/>
  <c r="I37" i="6"/>
  <c r="I39" i="6" s="1"/>
  <c r="I38" i="6"/>
  <c r="J37" i="6"/>
  <c r="J38" i="6"/>
  <c r="J39" i="6"/>
  <c r="K37" i="6"/>
  <c r="K38" i="6"/>
  <c r="K39" i="6"/>
  <c r="L37" i="6"/>
  <c r="L39" i="6" s="1"/>
  <c r="L38" i="6"/>
  <c r="M37" i="6"/>
  <c r="M39" i="6" s="1"/>
  <c r="M38" i="6"/>
  <c r="O39" i="6"/>
  <c r="D35" i="6"/>
  <c r="E35" i="6"/>
  <c r="O35" i="6" s="1"/>
  <c r="F35" i="6"/>
  <c r="Q35" i="6" s="1"/>
  <c r="T35" i="6" s="1"/>
  <c r="G35" i="6"/>
  <c r="H35" i="6"/>
  <c r="I33" i="6"/>
  <c r="I35" i="6" s="1"/>
  <c r="I34" i="6"/>
  <c r="J33" i="6"/>
  <c r="J35" i="6" s="1"/>
  <c r="J34" i="6"/>
  <c r="K33" i="6"/>
  <c r="K34" i="6"/>
  <c r="K35" i="6"/>
  <c r="L33" i="6"/>
  <c r="L34" i="6"/>
  <c r="L35" i="6"/>
  <c r="M33" i="6"/>
  <c r="M35" i="6" s="1"/>
  <c r="M34" i="6"/>
  <c r="P35" i="6"/>
  <c r="D31" i="6"/>
  <c r="E31" i="6"/>
  <c r="O31" i="6" s="1"/>
  <c r="F31" i="6"/>
  <c r="Q31" i="6" s="1"/>
  <c r="T31" i="6" s="1"/>
  <c r="G31" i="6"/>
  <c r="H31" i="6"/>
  <c r="P31" i="6" s="1"/>
  <c r="I29" i="6"/>
  <c r="I30" i="6"/>
  <c r="I31" i="6"/>
  <c r="J29" i="6"/>
  <c r="J31" i="6" s="1"/>
  <c r="S31" i="6" s="1"/>
  <c r="J30" i="6"/>
  <c r="K29" i="6"/>
  <c r="K31" i="6" s="1"/>
  <c r="K30" i="6"/>
  <c r="L29" i="6"/>
  <c r="L30" i="6"/>
  <c r="L31" i="6"/>
  <c r="M29" i="6"/>
  <c r="M30" i="6"/>
  <c r="M31" i="6"/>
  <c r="D22" i="6"/>
  <c r="E22" i="6"/>
  <c r="Q22" i="6" s="1"/>
  <c r="T22" i="6" s="1"/>
  <c r="F22" i="6"/>
  <c r="G22" i="6"/>
  <c r="H22" i="6"/>
  <c r="I22" i="6"/>
  <c r="J22" i="6"/>
  <c r="K22" i="6"/>
  <c r="S22" i="6" s="1"/>
  <c r="L22" i="6"/>
  <c r="M22" i="6"/>
  <c r="P22" i="6"/>
  <c r="Q21" i="6"/>
  <c r="T21" i="6"/>
  <c r="S21" i="6"/>
  <c r="P21" i="6"/>
  <c r="O21" i="6"/>
  <c r="Q20" i="6"/>
  <c r="T20" i="6"/>
  <c r="S20" i="6"/>
  <c r="P20" i="6"/>
  <c r="O20" i="6"/>
  <c r="M11" i="6"/>
  <c r="M13" i="6" s="1"/>
  <c r="M16" i="6" s="1"/>
  <c r="L11" i="6"/>
  <c r="L13" i="6" s="1"/>
  <c r="J11" i="6"/>
  <c r="I11" i="6"/>
  <c r="I13" i="6" s="1"/>
  <c r="I15" i="6" s="1"/>
  <c r="H11" i="6"/>
  <c r="H12" i="6"/>
  <c r="G11" i="6"/>
  <c r="G13" i="6" s="1"/>
  <c r="G16" i="6" s="1"/>
  <c r="G12" i="6"/>
  <c r="F11" i="6"/>
  <c r="F13" i="6" s="1"/>
  <c r="F12" i="6"/>
  <c r="E11" i="6"/>
  <c r="E13" i="6" s="1"/>
  <c r="E12" i="6"/>
  <c r="D11" i="6"/>
  <c r="D12" i="6"/>
  <c r="G15" i="6"/>
  <c r="M15" i="6"/>
  <c r="Q14" i="6"/>
  <c r="T14" i="6"/>
  <c r="S14" i="6"/>
  <c r="P14" i="6"/>
  <c r="O14" i="6"/>
  <c r="Q12" i="6"/>
  <c r="T12" i="6"/>
  <c r="S12" i="6"/>
  <c r="P12" i="6"/>
  <c r="O12" i="6"/>
  <c r="D10" i="6"/>
  <c r="O10" i="6" s="1"/>
  <c r="E10" i="6"/>
  <c r="F10" i="6"/>
  <c r="G10" i="6"/>
  <c r="H10" i="6"/>
  <c r="P10" i="6" s="1"/>
  <c r="A1" i="2"/>
  <c r="A1" i="1"/>
  <c r="B22" i="21"/>
  <c r="B23" i="21" s="1"/>
  <c r="C22" i="21"/>
  <c r="C23" i="21" s="1"/>
  <c r="S34" i="25" l="1"/>
  <c r="O34" i="25"/>
  <c r="P41" i="25"/>
  <c r="P29" i="25"/>
  <c r="Q29" i="25" s="1"/>
  <c r="R30" i="25" s="1"/>
  <c r="Q41" i="25"/>
  <c r="G66" i="25"/>
  <c r="AZ23" i="23"/>
  <c r="AI36" i="23"/>
  <c r="AI34" i="23"/>
  <c r="AI32" i="23"/>
  <c r="AI22" i="23"/>
  <c r="AI28" i="23"/>
  <c r="AI30" i="23"/>
  <c r="AZ32" i="23"/>
  <c r="AI38" i="23"/>
  <c r="F14" i="21"/>
  <c r="AZ36" i="23"/>
  <c r="AZ30" i="23"/>
  <c r="AZ22" i="23"/>
  <c r="E13" i="21"/>
  <c r="E22" i="21" s="1"/>
  <c r="E23" i="21" s="1"/>
  <c r="AX31" i="23" s="1"/>
  <c r="AZ34" i="23"/>
  <c r="AZ38" i="23"/>
  <c r="AZ28" i="23"/>
  <c r="I38" i="23"/>
  <c r="T38" i="23" s="1"/>
  <c r="W38" i="23"/>
  <c r="S38" i="23"/>
  <c r="V39" i="23"/>
  <c r="W39" i="23"/>
  <c r="T39" i="23"/>
  <c r="AM38" i="23"/>
  <c r="G100" i="19"/>
  <c r="I100" i="19" s="1"/>
  <c r="G96" i="19"/>
  <c r="I96" i="19" s="1"/>
  <c r="G92" i="19"/>
  <c r="I92" i="19" s="1"/>
  <c r="G101" i="19"/>
  <c r="I101" i="19" s="1"/>
  <c r="G97" i="19"/>
  <c r="I97" i="19" s="1"/>
  <c r="G93" i="19"/>
  <c r="I93" i="19" s="1"/>
  <c r="G108" i="19"/>
  <c r="I108" i="19" s="1"/>
  <c r="G85" i="19"/>
  <c r="I85" i="19" s="1"/>
  <c r="G81" i="19"/>
  <c r="I81" i="19" s="1"/>
  <c r="G109" i="19"/>
  <c r="I109" i="19" s="1"/>
  <c r="G105" i="19"/>
  <c r="I105" i="19" s="1"/>
  <c r="G84" i="19"/>
  <c r="I84" i="19" s="1"/>
  <c r="L5" i="22"/>
  <c r="L6" i="22"/>
  <c r="G95" i="19"/>
  <c r="I95" i="19" s="1"/>
  <c r="G86" i="19"/>
  <c r="I86" i="19" s="1"/>
  <c r="G41" i="19"/>
  <c r="I41" i="19" s="1"/>
  <c r="G58" i="19"/>
  <c r="I58" i="19" s="1"/>
  <c r="G74" i="19"/>
  <c r="I74" i="19" s="1"/>
  <c r="G80" i="19"/>
  <c r="I80" i="19" s="1"/>
  <c r="G148" i="19"/>
  <c r="I148" i="19" s="1"/>
  <c r="G152" i="19"/>
  <c r="I152" i="19" s="1"/>
  <c r="G82" i="19"/>
  <c r="I82" i="19" s="1"/>
  <c r="G40" i="19"/>
  <c r="I40" i="19" s="1"/>
  <c r="G57" i="19"/>
  <c r="I57" i="19" s="1"/>
  <c r="G73" i="19"/>
  <c r="I73" i="19" s="1"/>
  <c r="G79" i="19"/>
  <c r="I79" i="19" s="1"/>
  <c r="G147" i="19"/>
  <c r="I147" i="19" s="1"/>
  <c r="G151" i="19"/>
  <c r="I151" i="19" s="1"/>
  <c r="G155" i="19"/>
  <c r="I155" i="19" s="1"/>
  <c r="G106" i="19"/>
  <c r="I106" i="19" s="1"/>
  <c r="G99" i="19"/>
  <c r="I99" i="19" s="1"/>
  <c r="G90" i="19"/>
  <c r="I90" i="19" s="1"/>
  <c r="G83" i="19"/>
  <c r="I83" i="19" s="1"/>
  <c r="D12" i="25"/>
  <c r="D15" i="25" s="1"/>
  <c r="D28" i="25" s="1"/>
  <c r="G15" i="25"/>
  <c r="G28" i="25" s="1"/>
  <c r="V32" i="23"/>
  <c r="V34" i="23"/>
  <c r="V22" i="23"/>
  <c r="V38" i="23"/>
  <c r="V36" i="23"/>
  <c r="V28" i="23"/>
  <c r="V30" i="23"/>
  <c r="Q34" i="25"/>
  <c r="R41" i="25"/>
  <c r="N41" i="25" s="1"/>
  <c r="K13" i="6"/>
  <c r="S11" i="6"/>
  <c r="AI35" i="23"/>
  <c r="AI33" i="23"/>
  <c r="AI31" i="23"/>
  <c r="AI29" i="23"/>
  <c r="AI23" i="23"/>
  <c r="E16" i="6"/>
  <c r="E15" i="6"/>
  <c r="J13" i="6"/>
  <c r="S35" i="6"/>
  <c r="AZ39" i="23"/>
  <c r="AX38" i="23"/>
  <c r="AZ37" i="23"/>
  <c r="AX36" i="23"/>
  <c r="AZ35" i="23"/>
  <c r="AX34" i="23"/>
  <c r="AZ33" i="23"/>
  <c r="AX32" i="23"/>
  <c r="AZ31" i="23"/>
  <c r="AX30" i="23"/>
  <c r="AZ29" i="23"/>
  <c r="AX28" i="23"/>
  <c r="Q10" i="6"/>
  <c r="T10" i="6" s="1"/>
  <c r="O22" i="6"/>
  <c r="D266" i="6"/>
  <c r="B8" i="29"/>
  <c r="D13" i="6"/>
  <c r="Q11" i="6"/>
  <c r="T11" i="6" s="1"/>
  <c r="O11" i="6"/>
  <c r="F15" i="6"/>
  <c r="F16" i="6"/>
  <c r="H13" i="6"/>
  <c r="P11" i="6"/>
  <c r="L15" i="6"/>
  <c r="L16" i="6"/>
  <c r="S39" i="6"/>
  <c r="S43" i="6"/>
  <c r="AJ22" i="23"/>
  <c r="BA22" i="23"/>
  <c r="AJ23" i="23"/>
  <c r="BA23" i="23"/>
  <c r="AJ28" i="23"/>
  <c r="BA28" i="23"/>
  <c r="AJ29" i="23"/>
  <c r="BA29" i="23"/>
  <c r="AJ30" i="23"/>
  <c r="BA30" i="23"/>
  <c r="AJ31" i="23"/>
  <c r="BA31" i="23"/>
  <c r="AJ32" i="23"/>
  <c r="BA32" i="23"/>
  <c r="AJ33" i="23"/>
  <c r="BA33" i="23"/>
  <c r="AJ34" i="23"/>
  <c r="BA34" i="23"/>
  <c r="AJ35" i="23"/>
  <c r="BA35" i="23"/>
  <c r="AJ36" i="23"/>
  <c r="BA36" i="23"/>
  <c r="AJ37" i="23"/>
  <c r="BA37" i="23"/>
  <c r="AJ38" i="23"/>
  <c r="BA38" i="23"/>
  <c r="AJ39" i="23"/>
  <c r="BA39" i="23"/>
  <c r="S13" i="6"/>
  <c r="I16" i="6"/>
  <c r="AI39" i="23"/>
  <c r="AI37" i="23"/>
  <c r="S178" i="6"/>
  <c r="K62" i="6"/>
  <c r="S169" i="6"/>
  <c r="T231" i="6"/>
  <c r="S231" i="6"/>
  <c r="S240" i="6" s="1"/>
  <c r="F13" i="21"/>
  <c r="F22" i="21" s="1"/>
  <c r="F23" i="21" s="1"/>
  <c r="C75" i="22"/>
  <c r="W22" i="23"/>
  <c r="W28" i="23"/>
  <c r="W30" i="23"/>
  <c r="W32" i="23"/>
  <c r="W34" i="23"/>
  <c r="W36" i="23"/>
  <c r="T36" i="23"/>
  <c r="T34" i="23"/>
  <c r="T32" i="23"/>
  <c r="T30" i="23"/>
  <c r="T28" i="23"/>
  <c r="T22" i="23"/>
  <c r="AM34" i="23"/>
  <c r="AN34" i="23"/>
  <c r="AM30" i="23"/>
  <c r="AN30" i="23"/>
  <c r="AN33" i="23"/>
  <c r="I33" i="23"/>
  <c r="AN29" i="23"/>
  <c r="I29" i="23"/>
  <c r="AN23" i="23"/>
  <c r="I23" i="23"/>
  <c r="D13" i="21"/>
  <c r="D22" i="21" s="1"/>
  <c r="D23" i="21" s="1"/>
  <c r="G70" i="25"/>
  <c r="E7" i="23"/>
  <c r="E40" i="23" s="1"/>
  <c r="S36" i="23"/>
  <c r="U36" i="23"/>
  <c r="S34" i="23"/>
  <c r="U34" i="23"/>
  <c r="S32" i="23"/>
  <c r="U32" i="23"/>
  <c r="S30" i="23"/>
  <c r="U30" i="23"/>
  <c r="S28" i="23"/>
  <c r="U28" i="23"/>
  <c r="S22" i="23"/>
  <c r="U22" i="23"/>
  <c r="AM23" i="23"/>
  <c r="AN36" i="23"/>
  <c r="AM36" i="23"/>
  <c r="AN32" i="23"/>
  <c r="AM32" i="23"/>
  <c r="AN28" i="23"/>
  <c r="AM28" i="23"/>
  <c r="AM22" i="23"/>
  <c r="AN22" i="23"/>
  <c r="K217" i="6"/>
  <c r="K10" i="6" s="1"/>
  <c r="S10" i="6" s="1"/>
  <c r="U39" i="23"/>
  <c r="S39" i="23"/>
  <c r="AM33" i="23"/>
  <c r="AN35" i="23"/>
  <c r="I35" i="23"/>
  <c r="AN31" i="23"/>
  <c r="I31" i="23"/>
  <c r="R29" i="25"/>
  <c r="I11" i="23"/>
  <c r="B13" i="29"/>
  <c r="G10" i="20"/>
  <c r="B10" i="29"/>
  <c r="G9" i="20"/>
  <c r="AM8" i="23"/>
  <c r="AN25" i="23"/>
  <c r="AN19" i="23"/>
  <c r="AN15" i="23"/>
  <c r="I27" i="23"/>
  <c r="I21" i="23"/>
  <c r="I17" i="23"/>
  <c r="I13" i="23"/>
  <c r="I12" i="23"/>
  <c r="I10" i="23"/>
  <c r="C48" i="25"/>
  <c r="G8" i="20"/>
  <c r="B7" i="29"/>
  <c r="G7" i="20"/>
  <c r="B6" i="29"/>
  <c r="G6" i="20"/>
  <c r="B12" i="29"/>
  <c r="D40" i="23"/>
  <c r="I15" i="25"/>
  <c r="I28" i="25" s="1"/>
  <c r="E12" i="25"/>
  <c r="E15" i="25" s="1"/>
  <c r="E8" i="23"/>
  <c r="I8" i="23" s="1"/>
  <c r="B11" i="29"/>
  <c r="F7" i="23"/>
  <c r="F40" i="23" s="1"/>
  <c r="I40" i="22"/>
  <c r="I41" i="22"/>
  <c r="F40" i="22"/>
  <c r="H7" i="23"/>
  <c r="G6" i="22"/>
  <c r="F50" i="22"/>
  <c r="I50" i="22" s="1"/>
  <c r="J53" i="22" s="1"/>
  <c r="F51" i="22"/>
  <c r="I51" i="22" s="1"/>
  <c r="G10" i="22"/>
  <c r="G9" i="22"/>
  <c r="A1" i="26"/>
  <c r="P65" i="25"/>
  <c r="P68" i="25" s="1"/>
  <c r="J75" i="25" s="1"/>
  <c r="P75" i="25" s="1"/>
  <c r="P77" i="25" s="1"/>
  <c r="A1" i="23"/>
  <c r="Q30" i="25" l="1"/>
  <c r="O35" i="25"/>
  <c r="D10" i="25" s="1"/>
  <c r="D22" i="25" s="1"/>
  <c r="P69" i="25"/>
  <c r="AG34" i="23"/>
  <c r="AX35" i="23"/>
  <c r="AG38" i="23"/>
  <c r="AX37" i="23"/>
  <c r="AX22" i="23"/>
  <c r="AG23" i="23"/>
  <c r="AG29" i="23"/>
  <c r="AG31" i="23"/>
  <c r="AG36" i="23"/>
  <c r="AX23" i="23"/>
  <c r="AX29" i="23"/>
  <c r="AG32" i="23"/>
  <c r="AX33" i="23"/>
  <c r="AG28" i="23"/>
  <c r="AG30" i="23"/>
  <c r="AG22" i="23"/>
  <c r="AG37" i="23"/>
  <c r="AG35" i="23"/>
  <c r="AG33" i="23"/>
  <c r="AG39" i="23"/>
  <c r="AX39" i="23"/>
  <c r="AM40" i="23"/>
  <c r="U38" i="23"/>
  <c r="AN40" i="23"/>
  <c r="AY28" i="23"/>
  <c r="AY32" i="23"/>
  <c r="AY36" i="23"/>
  <c r="AY38" i="23"/>
  <c r="AH28" i="23"/>
  <c r="AH30" i="23"/>
  <c r="AH36" i="23"/>
  <c r="AY39" i="23"/>
  <c r="AH22" i="23"/>
  <c r="AH32" i="23"/>
  <c r="AH38" i="23"/>
  <c r="AY23" i="23"/>
  <c r="AY29" i="23"/>
  <c r="AY31" i="23"/>
  <c r="AY33" i="23"/>
  <c r="AY35" i="23"/>
  <c r="AY37" i="23"/>
  <c r="AH23" i="23"/>
  <c r="AH29" i="23"/>
  <c r="AH31" i="23"/>
  <c r="AH33" i="23"/>
  <c r="AH35" i="23"/>
  <c r="AH37" i="23"/>
  <c r="AH39" i="23"/>
  <c r="AY22" i="23"/>
  <c r="AY30" i="23"/>
  <c r="AY34" i="23"/>
  <c r="AH34" i="23"/>
  <c r="G8" i="22"/>
  <c r="B15" i="29"/>
  <c r="B22" i="29" s="1"/>
  <c r="S30" i="25"/>
  <c r="S29" i="25"/>
  <c r="V23" i="23"/>
  <c r="U23" i="23"/>
  <c r="S23" i="23"/>
  <c r="T23" i="23"/>
  <c r="W23" i="23"/>
  <c r="U33" i="23"/>
  <c r="V33" i="23"/>
  <c r="S33" i="23"/>
  <c r="T33" i="23"/>
  <c r="W33" i="23"/>
  <c r="J16" i="6"/>
  <c r="J15" i="6"/>
  <c r="J50" i="22"/>
  <c r="J52" i="22"/>
  <c r="J49" i="22"/>
  <c r="J51" i="22"/>
  <c r="H40" i="23"/>
  <c r="I40" i="23" s="1"/>
  <c r="R35" i="25"/>
  <c r="Q35" i="25"/>
  <c r="P35" i="25"/>
  <c r="S35" i="25"/>
  <c r="V31" i="23"/>
  <c r="U31" i="23"/>
  <c r="S31" i="23"/>
  <c r="T31" i="23"/>
  <c r="W31" i="23"/>
  <c r="K16" i="6"/>
  <c r="K15" i="6"/>
  <c r="B23" i="29"/>
  <c r="U29" i="23"/>
  <c r="V29" i="23"/>
  <c r="S29" i="23"/>
  <c r="T29" i="23"/>
  <c r="W29" i="23"/>
  <c r="H16" i="6"/>
  <c r="P13" i="6"/>
  <c r="H15" i="6"/>
  <c r="P15" i="6" s="1"/>
  <c r="G7" i="22"/>
  <c r="H7" i="22" s="1"/>
  <c r="E17" i="24" s="1"/>
  <c r="O37" i="25"/>
  <c r="O38" i="25" s="1"/>
  <c r="E28" i="25"/>
  <c r="C49" i="25"/>
  <c r="G11" i="20"/>
  <c r="H6" i="20" s="1"/>
  <c r="V35" i="23"/>
  <c r="U35" i="23"/>
  <c r="S35" i="23"/>
  <c r="T35" i="23"/>
  <c r="W35" i="23"/>
  <c r="D16" i="6"/>
  <c r="O13" i="6"/>
  <c r="D15" i="6"/>
  <c r="Q13" i="6"/>
  <c r="T13" i="6" s="1"/>
  <c r="H9" i="20" l="1"/>
  <c r="H7" i="20"/>
  <c r="E22" i="24" s="1"/>
  <c r="B20" i="29"/>
  <c r="H9" i="22"/>
  <c r="H8" i="22"/>
  <c r="F17" i="24" s="1"/>
  <c r="H6" i="22"/>
  <c r="H10" i="22"/>
  <c r="D22" i="24"/>
  <c r="C22" i="24"/>
  <c r="Q37" i="25"/>
  <c r="Q38" i="25" s="1"/>
  <c r="G10" i="25"/>
  <c r="G22" i="25" s="1"/>
  <c r="H10" i="20"/>
  <c r="G22" i="24" s="1"/>
  <c r="R37" i="25"/>
  <c r="R38" i="25" s="1"/>
  <c r="H10" i="25"/>
  <c r="H22" i="25" s="1"/>
  <c r="G47" i="25"/>
  <c r="E7" i="26" s="1"/>
  <c r="G48" i="25"/>
  <c r="H8" i="20"/>
  <c r="F22" i="24" s="1"/>
  <c r="S37" i="25"/>
  <c r="S38" i="25" s="1"/>
  <c r="I10" i="25"/>
  <c r="I22" i="25" s="1"/>
  <c r="B21" i="29"/>
  <c r="S15" i="6"/>
  <c r="P37" i="25"/>
  <c r="P38" i="25" s="1"/>
  <c r="S39" i="25" s="1"/>
  <c r="E10" i="25"/>
  <c r="E22" i="25" s="1"/>
  <c r="N11" i="23"/>
  <c r="U11" i="23" s="1"/>
  <c r="AB11" i="23" s="1"/>
  <c r="N16" i="23"/>
  <c r="U16" i="23" s="1"/>
  <c r="AB16" i="23" s="1"/>
  <c r="N20" i="23"/>
  <c r="U20" i="23" s="1"/>
  <c r="AB20" i="23" s="1"/>
  <c r="N24" i="23"/>
  <c r="U24" i="23" s="1"/>
  <c r="AB24" i="23" s="1"/>
  <c r="N10" i="23"/>
  <c r="U10" i="23" s="1"/>
  <c r="AB10" i="23" s="1"/>
  <c r="N15" i="23"/>
  <c r="U15" i="23" s="1"/>
  <c r="AB15" i="23" s="1"/>
  <c r="N19" i="23"/>
  <c r="U19" i="23" s="1"/>
  <c r="AB19" i="23" s="1"/>
  <c r="N27" i="23"/>
  <c r="U27" i="23" s="1"/>
  <c r="AB27" i="23" s="1"/>
  <c r="N7" i="23"/>
  <c r="U7" i="23" s="1"/>
  <c r="N9" i="23"/>
  <c r="U9" i="23" s="1"/>
  <c r="AB9" i="23" s="1"/>
  <c r="N14" i="23"/>
  <c r="U14" i="23" s="1"/>
  <c r="AB14" i="23" s="1"/>
  <c r="N18" i="23"/>
  <c r="U18" i="23" s="1"/>
  <c r="AB18" i="23" s="1"/>
  <c r="N26" i="23"/>
  <c r="U26" i="23" s="1"/>
  <c r="AB26" i="23" s="1"/>
  <c r="N25" i="23"/>
  <c r="U25" i="23" s="1"/>
  <c r="AB25" i="23" s="1"/>
  <c r="N21" i="23"/>
  <c r="U21" i="23" s="1"/>
  <c r="AB21" i="23" s="1"/>
  <c r="N12" i="23"/>
  <c r="U12" i="23" s="1"/>
  <c r="AB12" i="23" s="1"/>
  <c r="N17" i="23"/>
  <c r="U17" i="23" s="1"/>
  <c r="AB17" i="23" s="1"/>
  <c r="N8" i="23"/>
  <c r="U8" i="23" s="1"/>
  <c r="AB8" i="23" s="1"/>
  <c r="N13" i="23"/>
  <c r="U13" i="23" s="1"/>
  <c r="AB13" i="23" s="1"/>
  <c r="O15" i="6"/>
  <c r="Q15" i="6"/>
  <c r="T15" i="6" s="1"/>
  <c r="D30" i="25"/>
  <c r="D23" i="25"/>
  <c r="D24" i="25" s="1"/>
  <c r="H47" i="25"/>
  <c r="D7" i="26" s="1"/>
  <c r="H48" i="25"/>
  <c r="H11" i="20" l="1"/>
  <c r="G17" i="24"/>
  <c r="E48" i="25" s="1"/>
  <c r="D17" i="24"/>
  <c r="C17" i="24"/>
  <c r="L10" i="23"/>
  <c r="S10" i="23" s="1"/>
  <c r="Z10" i="23" s="1"/>
  <c r="L15" i="23"/>
  <c r="S15" i="23" s="1"/>
  <c r="Z15" i="23" s="1"/>
  <c r="L19" i="23"/>
  <c r="S19" i="23" s="1"/>
  <c r="Z19" i="23" s="1"/>
  <c r="L27" i="23"/>
  <c r="S27" i="23" s="1"/>
  <c r="Z27" i="23" s="1"/>
  <c r="L7" i="23"/>
  <c r="S7" i="23" s="1"/>
  <c r="L9" i="23"/>
  <c r="S9" i="23" s="1"/>
  <c r="Z9" i="23" s="1"/>
  <c r="L14" i="23"/>
  <c r="S14" i="23" s="1"/>
  <c r="Z14" i="23" s="1"/>
  <c r="L18" i="23"/>
  <c r="S18" i="23" s="1"/>
  <c r="Z18" i="23" s="1"/>
  <c r="L26" i="23"/>
  <c r="S26" i="23" s="1"/>
  <c r="Z26" i="23" s="1"/>
  <c r="L8" i="23"/>
  <c r="S8" i="23" s="1"/>
  <c r="Z8" i="23" s="1"/>
  <c r="L12" i="23"/>
  <c r="S12" i="23" s="1"/>
  <c r="Z12" i="23" s="1"/>
  <c r="L13" i="23"/>
  <c r="S13" i="23" s="1"/>
  <c r="Z13" i="23" s="1"/>
  <c r="L17" i="23"/>
  <c r="S17" i="23" s="1"/>
  <c r="Z17" i="23" s="1"/>
  <c r="L21" i="23"/>
  <c r="S21" i="23" s="1"/>
  <c r="Z21" i="23" s="1"/>
  <c r="L25" i="23"/>
  <c r="S25" i="23" s="1"/>
  <c r="Z25" i="23" s="1"/>
  <c r="L11" i="23"/>
  <c r="S11" i="23" s="1"/>
  <c r="Z11" i="23" s="1"/>
  <c r="L16" i="23"/>
  <c r="S16" i="23" s="1"/>
  <c r="Z16" i="23" s="1"/>
  <c r="L20" i="23"/>
  <c r="S20" i="23" s="1"/>
  <c r="Z20" i="23" s="1"/>
  <c r="L24" i="23"/>
  <c r="S24" i="23" s="1"/>
  <c r="Z24" i="23" s="1"/>
  <c r="AS14" i="23"/>
  <c r="AZ14" i="23" s="1"/>
  <c r="AI14" i="23"/>
  <c r="AS25" i="23"/>
  <c r="AZ25" i="23" s="1"/>
  <c r="AI25" i="23"/>
  <c r="AS15" i="23"/>
  <c r="AZ15" i="23" s="1"/>
  <c r="AI15" i="23"/>
  <c r="D6" i="26"/>
  <c r="M48" i="25"/>
  <c r="AS17" i="23"/>
  <c r="AZ17" i="23" s="1"/>
  <c r="AI17" i="23"/>
  <c r="AS26" i="23"/>
  <c r="AZ26" i="23" s="1"/>
  <c r="AI26" i="23"/>
  <c r="AB7" i="23"/>
  <c r="U40" i="23"/>
  <c r="AS11" i="23"/>
  <c r="AZ11" i="23" s="1"/>
  <c r="AI11" i="23"/>
  <c r="H30" i="25"/>
  <c r="H23" i="25"/>
  <c r="H24" i="25" s="1"/>
  <c r="O24" i="23"/>
  <c r="O25" i="23"/>
  <c r="O26" i="23"/>
  <c r="O27" i="23"/>
  <c r="O8" i="23"/>
  <c r="O9" i="23"/>
  <c r="O10" i="23"/>
  <c r="O11" i="23"/>
  <c r="O12" i="23"/>
  <c r="O7" i="23"/>
  <c r="O13" i="23"/>
  <c r="O14" i="23"/>
  <c r="O15" i="23"/>
  <c r="O16" i="23"/>
  <c r="O17" i="23"/>
  <c r="O18" i="23"/>
  <c r="O19" i="23"/>
  <c r="O20" i="23"/>
  <c r="O21" i="23"/>
  <c r="AS12" i="23"/>
  <c r="AZ12" i="23" s="1"/>
  <c r="AI12" i="23"/>
  <c r="AS18" i="23"/>
  <c r="AZ18" i="23" s="1"/>
  <c r="AI18" i="23"/>
  <c r="AS27" i="23"/>
  <c r="AZ27" i="23" s="1"/>
  <c r="AI27" i="23"/>
  <c r="AS24" i="23"/>
  <c r="AZ24" i="23" s="1"/>
  <c r="AI24" i="23"/>
  <c r="M7" i="23"/>
  <c r="T7" i="23" s="1"/>
  <c r="M9" i="23"/>
  <c r="T9" i="23" s="1"/>
  <c r="AA9" i="23" s="1"/>
  <c r="M14" i="23"/>
  <c r="T14" i="23" s="1"/>
  <c r="AA14" i="23" s="1"/>
  <c r="M8" i="23"/>
  <c r="T8" i="23" s="1"/>
  <c r="AA8" i="23" s="1"/>
  <c r="M12" i="23"/>
  <c r="T12" i="23" s="1"/>
  <c r="AA12" i="23" s="1"/>
  <c r="M13" i="23"/>
  <c r="T13" i="23" s="1"/>
  <c r="AA13" i="23" s="1"/>
  <c r="M17" i="23"/>
  <c r="T17" i="23" s="1"/>
  <c r="AA17" i="23" s="1"/>
  <c r="M21" i="23"/>
  <c r="T21" i="23" s="1"/>
  <c r="AA21" i="23" s="1"/>
  <c r="M25" i="23"/>
  <c r="T25" i="23" s="1"/>
  <c r="AA25" i="23" s="1"/>
  <c r="M11" i="23"/>
  <c r="T11" i="23" s="1"/>
  <c r="AA11" i="23" s="1"/>
  <c r="M16" i="23"/>
  <c r="T16" i="23" s="1"/>
  <c r="AA16" i="23" s="1"/>
  <c r="M20" i="23"/>
  <c r="T20" i="23" s="1"/>
  <c r="AA20" i="23" s="1"/>
  <c r="M24" i="23"/>
  <c r="T24" i="23" s="1"/>
  <c r="AA24" i="23" s="1"/>
  <c r="M10" i="23"/>
  <c r="T10" i="23" s="1"/>
  <c r="AA10" i="23" s="1"/>
  <c r="M15" i="23"/>
  <c r="T15" i="23" s="1"/>
  <c r="AA15" i="23" s="1"/>
  <c r="M19" i="23"/>
  <c r="T19" i="23" s="1"/>
  <c r="AA19" i="23" s="1"/>
  <c r="M27" i="23"/>
  <c r="T27" i="23" s="1"/>
  <c r="AA27" i="23" s="1"/>
  <c r="M18" i="23"/>
  <c r="T18" i="23" s="1"/>
  <c r="AA18" i="23" s="1"/>
  <c r="M26" i="23"/>
  <c r="T26" i="23" s="1"/>
  <c r="AA26" i="23" s="1"/>
  <c r="AS21" i="23"/>
  <c r="AZ21" i="23" s="1"/>
  <c r="AI21" i="23"/>
  <c r="AS20" i="23"/>
  <c r="AZ20" i="23" s="1"/>
  <c r="AI20" i="23"/>
  <c r="E30" i="25"/>
  <c r="E23" i="25"/>
  <c r="E24" i="25" s="1"/>
  <c r="E6" i="26"/>
  <c r="L48" i="25"/>
  <c r="G30" i="25"/>
  <c r="G23" i="25"/>
  <c r="G24" i="25" s="1"/>
  <c r="AB48" i="23"/>
  <c r="AS13" i="23"/>
  <c r="AZ13" i="23" s="1"/>
  <c r="AI13" i="23"/>
  <c r="AS8" i="23"/>
  <c r="AZ8" i="23" s="1"/>
  <c r="AI8" i="23"/>
  <c r="AS16" i="23"/>
  <c r="AZ16" i="23" s="1"/>
  <c r="AI16" i="23"/>
  <c r="I30" i="25"/>
  <c r="I23" i="25"/>
  <c r="I24" i="25" s="1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4" i="23"/>
  <c r="P27" i="23"/>
  <c r="P26" i="23"/>
  <c r="P25" i="23"/>
  <c r="H22" i="24"/>
  <c r="AS19" i="23"/>
  <c r="AZ19" i="23" s="1"/>
  <c r="AI19" i="23"/>
  <c r="AS9" i="23"/>
  <c r="AZ9" i="23" s="1"/>
  <c r="AI9" i="23"/>
  <c r="AS10" i="23"/>
  <c r="AZ10" i="23" s="1"/>
  <c r="AI10" i="23"/>
  <c r="C47" i="25" l="1"/>
  <c r="K47" i="25" s="1"/>
  <c r="E47" i="25"/>
  <c r="F7" i="26" s="1"/>
  <c r="C51" i="25"/>
  <c r="F6" i="26"/>
  <c r="K48" i="25"/>
  <c r="J48" i="25"/>
  <c r="J47" i="25"/>
  <c r="I48" i="25"/>
  <c r="I47" i="25"/>
  <c r="W13" i="23"/>
  <c r="AD13" i="23" s="1"/>
  <c r="W26" i="23"/>
  <c r="AD26" i="23" s="1"/>
  <c r="AU26" i="23" s="1"/>
  <c r="W20" i="23"/>
  <c r="AD20" i="23" s="1"/>
  <c r="AU20" i="23" s="1"/>
  <c r="W16" i="23"/>
  <c r="AD16" i="23" s="1"/>
  <c r="AU16" i="23" s="1"/>
  <c r="W12" i="23"/>
  <c r="AD12" i="23" s="1"/>
  <c r="AU12" i="23" s="1"/>
  <c r="W8" i="23"/>
  <c r="AD8" i="23" s="1"/>
  <c r="AU8" i="23" s="1"/>
  <c r="AR19" i="23"/>
  <c r="AY19" i="23" s="1"/>
  <c r="AH19" i="23"/>
  <c r="AR20" i="23"/>
  <c r="AY20" i="23" s="1"/>
  <c r="AH20" i="23"/>
  <c r="AR21" i="23"/>
  <c r="AY21" i="23" s="1"/>
  <c r="AH21" i="23"/>
  <c r="AR8" i="23"/>
  <c r="AY8" i="23" s="1"/>
  <c r="AH8" i="23"/>
  <c r="V21" i="23"/>
  <c r="AC21" i="23" s="1"/>
  <c r="V17" i="23"/>
  <c r="AC17" i="23" s="1"/>
  <c r="V13" i="23"/>
  <c r="AC13" i="23" s="1"/>
  <c r="V10" i="23"/>
  <c r="AC10" i="23" s="1"/>
  <c r="V26" i="23"/>
  <c r="AC26" i="23" s="1"/>
  <c r="AS7" i="23"/>
  <c r="AB47" i="23"/>
  <c r="AB49" i="23" s="1"/>
  <c r="D10" i="26" s="1"/>
  <c r="D29" i="29" s="1"/>
  <c r="AB41" i="23"/>
  <c r="AI7" i="23"/>
  <c r="AI41" i="23" s="1"/>
  <c r="AQ11" i="23"/>
  <c r="AX11" i="23" s="1"/>
  <c r="AG11" i="23"/>
  <c r="Z48" i="23"/>
  <c r="AQ13" i="23"/>
  <c r="AX13" i="23" s="1"/>
  <c r="AG13" i="23"/>
  <c r="AQ18" i="23"/>
  <c r="AX18" i="23" s="1"/>
  <c r="AG18" i="23"/>
  <c r="AQ27" i="23"/>
  <c r="AX27" i="23" s="1"/>
  <c r="AG27" i="23"/>
  <c r="W27" i="23"/>
  <c r="AD27" i="23" s="1"/>
  <c r="AU27" i="23" s="1"/>
  <c r="W19" i="23"/>
  <c r="AD19" i="23" s="1"/>
  <c r="AU19" i="23" s="1"/>
  <c r="W15" i="23"/>
  <c r="AD15" i="23" s="1"/>
  <c r="AU15" i="23" s="1"/>
  <c r="W11" i="23"/>
  <c r="AD11" i="23" s="1"/>
  <c r="AU11" i="23" s="1"/>
  <c r="W7" i="23"/>
  <c r="AD7" i="23" s="1"/>
  <c r="AR26" i="23"/>
  <c r="AY26" i="23" s="1"/>
  <c r="AH26" i="23"/>
  <c r="AR15" i="23"/>
  <c r="AY15" i="23" s="1"/>
  <c r="AH15" i="23"/>
  <c r="AR16" i="23"/>
  <c r="AY16" i="23" s="1"/>
  <c r="AH16" i="23"/>
  <c r="AR17" i="23"/>
  <c r="AY17" i="23" s="1"/>
  <c r="AH17" i="23"/>
  <c r="AR14" i="23"/>
  <c r="AY14" i="23" s="1"/>
  <c r="AH14" i="23"/>
  <c r="V20" i="23"/>
  <c r="AC20" i="23" s="1"/>
  <c r="V16" i="23"/>
  <c r="AC16" i="23" s="1"/>
  <c r="V7" i="23"/>
  <c r="AC7" i="23" s="1"/>
  <c r="V9" i="23"/>
  <c r="AC9" i="23" s="1"/>
  <c r="V25" i="23"/>
  <c r="AC25" i="23" s="1"/>
  <c r="AQ24" i="23"/>
  <c r="AX24" i="23" s="1"/>
  <c r="AG24" i="23"/>
  <c r="AQ25" i="23"/>
  <c r="AX25" i="23" s="1"/>
  <c r="AG25" i="23"/>
  <c r="AQ12" i="23"/>
  <c r="AX12" i="23" s="1"/>
  <c r="AG12" i="23"/>
  <c r="AQ14" i="23"/>
  <c r="AX14" i="23" s="1"/>
  <c r="AG14" i="23"/>
  <c r="AQ19" i="23"/>
  <c r="AX19" i="23" s="1"/>
  <c r="AG19" i="23"/>
  <c r="W24" i="23"/>
  <c r="AD24" i="23" s="1"/>
  <c r="AU24" i="23" s="1"/>
  <c r="W18" i="23"/>
  <c r="AD18" i="23" s="1"/>
  <c r="AU18" i="23" s="1"/>
  <c r="W14" i="23"/>
  <c r="AD14" i="23" s="1"/>
  <c r="AU14" i="23" s="1"/>
  <c r="W10" i="23"/>
  <c r="AD10" i="23" s="1"/>
  <c r="AU10" i="23" s="1"/>
  <c r="AR18" i="23"/>
  <c r="AY18" i="23" s="1"/>
  <c r="AH18" i="23"/>
  <c r="AR10" i="23"/>
  <c r="AY10" i="23" s="1"/>
  <c r="AH10" i="23"/>
  <c r="AR11" i="23"/>
  <c r="AY11" i="23" s="1"/>
  <c r="AH11" i="23"/>
  <c r="AA48" i="23"/>
  <c r="AR13" i="23"/>
  <c r="AY13" i="23" s="1"/>
  <c r="AH13" i="23"/>
  <c r="AR9" i="23"/>
  <c r="AY9" i="23" s="1"/>
  <c r="AH9" i="23"/>
  <c r="V19" i="23"/>
  <c r="AC19" i="23" s="1"/>
  <c r="V15" i="23"/>
  <c r="AC15" i="23" s="1"/>
  <c r="V12" i="23"/>
  <c r="AC12" i="23" s="1"/>
  <c r="V8" i="23"/>
  <c r="AC8" i="23" s="1"/>
  <c r="V24" i="23"/>
  <c r="AC24" i="23" s="1"/>
  <c r="AQ20" i="23"/>
  <c r="AX20" i="23" s="1"/>
  <c r="AG20" i="23"/>
  <c r="AQ21" i="23"/>
  <c r="AX21" i="23" s="1"/>
  <c r="AG21" i="23"/>
  <c r="AQ8" i="23"/>
  <c r="AX8" i="23" s="1"/>
  <c r="AG8" i="23"/>
  <c r="AQ9" i="23"/>
  <c r="AX9" i="23" s="1"/>
  <c r="AG9" i="23"/>
  <c r="AQ15" i="23"/>
  <c r="AX15" i="23" s="1"/>
  <c r="AG15" i="23"/>
  <c r="W25" i="23"/>
  <c r="AD25" i="23" s="1"/>
  <c r="AU25" i="23" s="1"/>
  <c r="W21" i="23"/>
  <c r="AD21" i="23" s="1"/>
  <c r="AU21" i="23" s="1"/>
  <c r="W17" i="23"/>
  <c r="AD17" i="23" s="1"/>
  <c r="AU17" i="23" s="1"/>
  <c r="W9" i="23"/>
  <c r="AD9" i="23" s="1"/>
  <c r="AU9" i="23" s="1"/>
  <c r="AR27" i="23"/>
  <c r="AY27" i="23" s="1"/>
  <c r="AH27" i="23"/>
  <c r="AR24" i="23"/>
  <c r="AY24" i="23" s="1"/>
  <c r="AH24" i="23"/>
  <c r="AR25" i="23"/>
  <c r="AY25" i="23" s="1"/>
  <c r="AH25" i="23"/>
  <c r="AR12" i="23"/>
  <c r="AY12" i="23" s="1"/>
  <c r="AH12" i="23"/>
  <c r="AA7" i="23"/>
  <c r="T40" i="23"/>
  <c r="V18" i="23"/>
  <c r="AC18" i="23" s="1"/>
  <c r="V14" i="23"/>
  <c r="AC14" i="23" s="1"/>
  <c r="V11" i="23"/>
  <c r="AC11" i="23" s="1"/>
  <c r="V27" i="23"/>
  <c r="AC27" i="23" s="1"/>
  <c r="AQ16" i="23"/>
  <c r="AX16" i="23" s="1"/>
  <c r="AG16" i="23"/>
  <c r="AQ17" i="23"/>
  <c r="AX17" i="23" s="1"/>
  <c r="AG17" i="23"/>
  <c r="AQ26" i="23"/>
  <c r="AX26" i="23" s="1"/>
  <c r="AG26" i="23"/>
  <c r="Z7" i="23"/>
  <c r="S40" i="23"/>
  <c r="AQ10" i="23"/>
  <c r="AX10" i="23" s="1"/>
  <c r="AG10" i="23"/>
  <c r="L47" i="25" l="1"/>
  <c r="M47" i="25"/>
  <c r="AB50" i="23"/>
  <c r="B6" i="26"/>
  <c r="O47" i="25"/>
  <c r="O48" i="25"/>
  <c r="B7" i="26"/>
  <c r="C7" i="26"/>
  <c r="N47" i="25"/>
  <c r="C6" i="26"/>
  <c r="N48" i="25"/>
  <c r="AT12" i="23"/>
  <c r="BA12" i="23" s="1"/>
  <c r="AJ12" i="23"/>
  <c r="AT18" i="23"/>
  <c r="BA18" i="23" s="1"/>
  <c r="AJ18" i="23"/>
  <c r="AT24" i="23"/>
  <c r="BA24" i="23" s="1"/>
  <c r="AJ24" i="23"/>
  <c r="AT25" i="23"/>
  <c r="BA25" i="23" s="1"/>
  <c r="AJ25" i="23"/>
  <c r="AT16" i="23"/>
  <c r="BA16" i="23" s="1"/>
  <c r="AJ16" i="23"/>
  <c r="AT11" i="23"/>
  <c r="BA11" i="23" s="1"/>
  <c r="AJ11" i="23"/>
  <c r="AT9" i="23"/>
  <c r="BA9" i="23" s="1"/>
  <c r="AJ9" i="23"/>
  <c r="AT20" i="23"/>
  <c r="BA20" i="23" s="1"/>
  <c r="AJ20" i="23"/>
  <c r="AT19" i="23"/>
  <c r="BA19" i="23" s="1"/>
  <c r="AJ19" i="23"/>
  <c r="AD48" i="23"/>
  <c r="AU13" i="23"/>
  <c r="Z47" i="23"/>
  <c r="Z49" i="23" s="1"/>
  <c r="F10" i="26" s="1"/>
  <c r="AQ7" i="23"/>
  <c r="Z41" i="23"/>
  <c r="AG7" i="23"/>
  <c r="AG41" i="23" s="1"/>
  <c r="AT27" i="23"/>
  <c r="BA27" i="23" s="1"/>
  <c r="AJ27" i="23"/>
  <c r="AT14" i="23"/>
  <c r="BA14" i="23" s="1"/>
  <c r="AJ14" i="23"/>
  <c r="AR7" i="23"/>
  <c r="AA47" i="23"/>
  <c r="AA49" i="23" s="1"/>
  <c r="E10" i="26" s="1"/>
  <c r="E29" i="29" s="1"/>
  <c r="AA41" i="23"/>
  <c r="AH7" i="23"/>
  <c r="AH41" i="23" s="1"/>
  <c r="AT8" i="23"/>
  <c r="BA8" i="23" s="1"/>
  <c r="AJ8" i="23"/>
  <c r="AT15" i="23"/>
  <c r="BA15" i="23" s="1"/>
  <c r="AJ15" i="23"/>
  <c r="V40" i="23"/>
  <c r="AT26" i="23"/>
  <c r="BA26" i="23" s="1"/>
  <c r="AJ26" i="23"/>
  <c r="AC48" i="23"/>
  <c r="AT13" i="23"/>
  <c r="BA13" i="23" s="1"/>
  <c r="AJ13" i="23"/>
  <c r="AT21" i="23"/>
  <c r="BA21" i="23" s="1"/>
  <c r="AJ21" i="23"/>
  <c r="AA50" i="23"/>
  <c r="AT7" i="23"/>
  <c r="AC47" i="23"/>
  <c r="AC41" i="23"/>
  <c r="AJ7" i="23"/>
  <c r="AU7" i="23"/>
  <c r="AU41" i="23" s="1"/>
  <c r="AD47" i="23"/>
  <c r="AD41" i="23"/>
  <c r="AS41" i="23"/>
  <c r="AZ7" i="23"/>
  <c r="AZ41" i="23" s="1"/>
  <c r="AT10" i="23"/>
  <c r="BA10" i="23" s="1"/>
  <c r="AJ10" i="23"/>
  <c r="AT17" i="23"/>
  <c r="BA17" i="23" s="1"/>
  <c r="AJ17" i="23"/>
  <c r="AC50" i="23" l="1"/>
  <c r="Z50" i="23"/>
  <c r="AD50" i="23"/>
  <c r="AJ41" i="23"/>
  <c r="AG40" i="23" s="1"/>
  <c r="AI42" i="23" s="1"/>
  <c r="Z40" i="23"/>
  <c r="AB42" i="23" s="1"/>
  <c r="AD49" i="23"/>
  <c r="B10" i="26" s="1"/>
  <c r="B29" i="29" s="1"/>
  <c r="AC49" i="23"/>
  <c r="C10" i="26" s="1"/>
  <c r="C29" i="29" s="1"/>
  <c r="AQ41" i="23"/>
  <c r="AX7" i="23"/>
  <c r="AX41" i="23" s="1"/>
  <c r="AT41" i="23"/>
  <c r="BA7" i="23"/>
  <c r="BA41" i="23" s="1"/>
  <c r="AR41" i="23"/>
  <c r="AY7" i="23"/>
  <c r="AY41" i="23" s="1"/>
  <c r="G29" i="29"/>
  <c r="C44" i="29" s="1"/>
  <c r="I29" i="29"/>
  <c r="E42" i="29" s="1"/>
  <c r="H29" i="29"/>
  <c r="F29" i="29"/>
  <c r="AA42" i="23" l="1"/>
  <c r="AX40" i="23"/>
  <c r="AZ42" i="23" s="1"/>
  <c r="Z42" i="23"/>
  <c r="AQ40" i="23"/>
  <c r="AQ42" i="23" s="1"/>
  <c r="E49" i="25" s="1"/>
  <c r="AH42" i="23"/>
  <c r="AC42" i="23"/>
  <c r="AJ42" i="23"/>
  <c r="AD42" i="23"/>
  <c r="AG42" i="23"/>
  <c r="AX42" i="23" l="1"/>
  <c r="AT42" i="23"/>
  <c r="I49" i="25" s="1"/>
  <c r="C5" i="26" s="1"/>
  <c r="F5" i="26"/>
  <c r="K49" i="25"/>
  <c r="K51" i="25" s="1"/>
  <c r="AS42" i="23"/>
  <c r="H49" i="25" s="1"/>
  <c r="AU42" i="23"/>
  <c r="J49" i="25" s="1"/>
  <c r="BA42" i="23"/>
  <c r="AR42" i="23"/>
  <c r="G49" i="25" s="1"/>
  <c r="AY42" i="23"/>
  <c r="N49" i="25" l="1"/>
  <c r="N51" i="25" s="1"/>
  <c r="B5" i="26"/>
  <c r="O49" i="25"/>
  <c r="O51" i="25" s="1"/>
  <c r="D5" i="26"/>
  <c r="M49" i="25"/>
  <c r="M51" i="25" s="1"/>
  <c r="E5" i="26"/>
  <c r="L49" i="25"/>
  <c r="L51" i="25" s="1"/>
  <c r="L52" i="25" l="1"/>
  <c r="E8" i="26" s="1"/>
  <c r="M52" i="25"/>
  <c r="D8" i="26" s="1"/>
  <c r="N52" i="25"/>
  <c r="C8" i="26" s="1"/>
  <c r="O52" i="25"/>
  <c r="B8" i="26" s="1"/>
  <c r="K52" i="25"/>
  <c r="G75" i="25" l="1"/>
  <c r="M75" i="25" s="1"/>
  <c r="M77" i="25" s="1"/>
  <c r="H75" i="25"/>
  <c r="N75" i="25" s="1"/>
  <c r="N77" i="25" s="1"/>
  <c r="F8" i="26"/>
  <c r="F75" i="25"/>
  <c r="I75" i="25"/>
  <c r="O75" i="25" s="1"/>
  <c r="O77" i="25" s="1"/>
  <c r="D75" i="25" l="1"/>
  <c r="L75" i="25"/>
  <c r="L77" i="25" s="1"/>
  <c r="R77" i="25" l="1"/>
  <c r="L81" i="25" s="1"/>
  <c r="F9" i="26" l="1"/>
  <c r="P81" i="25"/>
  <c r="G9" i="26" s="1"/>
  <c r="N81" i="25"/>
  <c r="D9" i="26" s="1"/>
  <c r="D28" i="29" s="1"/>
  <c r="M81" i="25"/>
  <c r="E9" i="26" s="1"/>
  <c r="E28" i="29" s="1"/>
  <c r="S81" i="25"/>
  <c r="B9" i="26" s="1"/>
  <c r="B28" i="29" s="1"/>
  <c r="O81" i="25"/>
  <c r="C9" i="26" s="1"/>
  <c r="C28" i="29" s="1"/>
  <c r="R81" i="25" l="1"/>
  <c r="G28" i="29"/>
  <c r="H28" i="29"/>
  <c r="F28" i="29"/>
  <c r="I28" i="29"/>
  <c r="C50" i="29" l="1"/>
  <c r="C59" i="29" s="1"/>
  <c r="D54" i="29"/>
  <c r="D63" i="29" s="1"/>
  <c r="D50" i="29"/>
  <c r="D59" i="29" s="1"/>
  <c r="B50" i="29"/>
  <c r="B59" i="29" s="1"/>
  <c r="E50" i="29"/>
  <c r="E59" i="29" s="1"/>
  <c r="E51" i="29"/>
  <c r="E60" i="29" s="1"/>
  <c r="E52" i="29"/>
  <c r="E61" i="29" s="1"/>
  <c r="E53" i="29"/>
  <c r="E62" i="29" s="1"/>
  <c r="E54" i="29"/>
  <c r="E63" i="29" s="1"/>
  <c r="D53" i="29"/>
  <c r="D62" i="29" s="1"/>
  <c r="B54" i="29"/>
  <c r="B63" i="29" s="1"/>
  <c r="C54" i="29"/>
  <c r="C63" i="29" s="1"/>
  <c r="D52" i="29"/>
  <c r="D61" i="29" s="1"/>
  <c r="B52" i="29"/>
  <c r="B61" i="29" s="1"/>
  <c r="B51" i="29"/>
  <c r="B60" i="29" s="1"/>
  <c r="C53" i="29"/>
  <c r="C62" i="29" s="1"/>
  <c r="D51" i="29"/>
  <c r="D60" i="29" s="1"/>
  <c r="B53" i="29"/>
  <c r="B62" i="29" s="1"/>
  <c r="C51" i="29"/>
  <c r="C60" i="29" s="1"/>
  <c r="C52" i="29"/>
  <c r="C61" i="29" s="1"/>
</calcChain>
</file>

<file path=xl/sharedStrings.xml><?xml version="1.0" encoding="utf-8"?>
<sst xmlns="http://schemas.openxmlformats.org/spreadsheetml/2006/main" count="3865" uniqueCount="1033">
  <si>
    <t>Description / instructions</t>
  </si>
  <si>
    <t>Inputs</t>
  </si>
  <si>
    <t>Enter input data in blue shaded areas</t>
  </si>
  <si>
    <t>Allowed revenue -DPCR4</t>
  </si>
  <si>
    <t>Use copy-paste to replace the entire contents of this sheet with your input data</t>
  </si>
  <si>
    <t>FBPQ T4</t>
  </si>
  <si>
    <t>FBPQ LR1</t>
  </si>
  <si>
    <t>FBPQ LR1 - V5 opt3</t>
  </si>
  <si>
    <t>FBPQ LR4</t>
  </si>
  <si>
    <t>FBPQ LR6</t>
  </si>
  <si>
    <t>FBPQ NL1</t>
  </si>
  <si>
    <t>NL9 - Legal &amp; Safety</t>
  </si>
  <si>
    <t>FBPQ C2</t>
  </si>
  <si>
    <t>Reductions to net capex</t>
  </si>
  <si>
    <t>RRP 1.3</t>
  </si>
  <si>
    <t>RRP 2.3</t>
  </si>
  <si>
    <t>RRP 2.4</t>
  </si>
  <si>
    <t>RRP 2.6</t>
  </si>
  <si>
    <t>RRP 5.1</t>
  </si>
  <si>
    <t>Summary of revenue</t>
  </si>
  <si>
    <t>Data-MEAV</t>
  </si>
  <si>
    <t>Calc-MEAV</t>
  </si>
  <si>
    <t>Do not change anything in this calculation sheet</t>
  </si>
  <si>
    <t>Calc-Units</t>
  </si>
  <si>
    <t>Calc-Net capex</t>
  </si>
  <si>
    <t>Calc-Drivers</t>
  </si>
  <si>
    <t>Company, charging year, data version</t>
  </si>
  <si>
    <t>Company</t>
  </si>
  <si>
    <t>Charging year</t>
  </si>
  <si>
    <t>Data version</t>
  </si>
  <si>
    <t>Choice of data source for connections-related capital expenditure</t>
  </si>
  <si>
    <t>'LR1 opt 3' is an extended version of LR1, which contains all information from LR1, but breaks down certain lines into more detail.</t>
  </si>
  <si>
    <t>You can use the buttons below to select a LR1 data source.</t>
  </si>
  <si>
    <t>Alternatively, use the cell below to make your selection, using the following coding: 1 for LR1, or 2 for LR1 opt 3.</t>
  </si>
  <si>
    <t>Discount rate used to convert between price control presentations</t>
  </si>
  <si>
    <t>Discount rate</t>
  </si>
  <si>
    <t>132kV/EHV</t>
  </si>
  <si>
    <t>EHV/HV</t>
  </si>
  <si>
    <t>HV/LV</t>
  </si>
  <si>
    <t>2004/05</t>
  </si>
  <si>
    <t>2005/6</t>
  </si>
  <si>
    <t>2006/7</t>
  </si>
  <si>
    <t>2007/8</t>
  </si>
  <si>
    <t>2008/9</t>
  </si>
  <si>
    <t>2009/10</t>
  </si>
  <si>
    <t>(£M)</t>
  </si>
  <si>
    <t>Opening asset value</t>
  </si>
  <si>
    <t xml:space="preserve"> </t>
  </si>
  <si>
    <t>Total capex</t>
  </si>
  <si>
    <t>Depreciation</t>
  </si>
  <si>
    <t>Closing asset value</t>
  </si>
  <si>
    <t>Present value of opening / closing RAV</t>
  </si>
  <si>
    <t>5 Year movement in closing RAV</t>
  </si>
  <si>
    <t>ALLOWED ITEMS</t>
  </si>
  <si>
    <t>Operating costs (excluding pensions)</t>
  </si>
  <si>
    <t>Capital expenditure (excluding pensions)</t>
  </si>
  <si>
    <t>Pensions allowance</t>
  </si>
  <si>
    <t>Tax allowance</t>
  </si>
  <si>
    <t>Capex incentive scheme</t>
  </si>
  <si>
    <t>Sliding scale additional income</t>
  </si>
  <si>
    <t>Opex incentive / Other adjustments</t>
  </si>
  <si>
    <t>Quality award</t>
  </si>
  <si>
    <t>DPCR3 costs</t>
  </si>
  <si>
    <t>Total allowed items</t>
  </si>
  <si>
    <t>Present value of allowed items</t>
  </si>
  <si>
    <t>5 year movement in closing RAV</t>
  </si>
  <si>
    <t>TOTAL PRESENT VALUE OVER 5 YEARS</t>
  </si>
  <si>
    <t>REVENUE</t>
  </si>
  <si>
    <t>Revenue index</t>
  </si>
  <si>
    <t>Discounted revenue index</t>
  </si>
  <si>
    <t>Price control revenue</t>
  </si>
  <si>
    <t>Excluded service revenue</t>
  </si>
  <si>
    <t>Total revenue</t>
  </si>
  <si>
    <t>Present value of total revenue</t>
  </si>
  <si>
    <t>Main Forecast Business Plan DPCR5</t>
  </si>
  <si>
    <t>T4 - Volume Summary</t>
  </si>
  <si>
    <t>Total Asset Register Movement</t>
  </si>
  <si>
    <t>Asset categories</t>
  </si>
  <si>
    <t>Opening Balance DCPR4</t>
  </si>
  <si>
    <t>2005/06</t>
  </si>
  <si>
    <t>2006/07</t>
  </si>
  <si>
    <t>2007/08</t>
  </si>
  <si>
    <t>2008/09</t>
  </si>
  <si>
    <t xml:space="preserve">Assets removed </t>
  </si>
  <si>
    <t>Assets Installed</t>
  </si>
  <si>
    <t>Closing Balance</t>
  </si>
  <si>
    <t>Closing Balance DPCR4</t>
  </si>
  <si>
    <t>LRE</t>
  </si>
  <si>
    <t>NLRE</t>
  </si>
  <si>
    <t>LV Network</t>
  </si>
  <si>
    <t>Overhead lines - Conductor</t>
  </si>
  <si>
    <t>LV Main (OHL)</t>
  </si>
  <si>
    <t>LV Service (OHL)</t>
  </si>
  <si>
    <t>Overhead lines - Support</t>
  </si>
  <si>
    <t>LV Support</t>
  </si>
  <si>
    <t>Underground cables</t>
  </si>
  <si>
    <t>LV Main (UG Consac)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</si>
  <si>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</si>
  <si>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</si>
  <si>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</si>
  <si>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</si>
  <si>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</si>
  <si>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</si>
  <si>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LV Board (WM)</t>
  </si>
  <si>
    <t>LV UGB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</si>
  <si>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</si>
  <si>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</si>
  <si>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</si>
  <si>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</si>
  <si>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</si>
  <si>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</si>
  <si>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20 kV OHL (Covered)</t>
  </si>
  <si>
    <t>6.6/11 kV Support</t>
  </si>
  <si>
    <t>20 kV Support</t>
  </si>
  <si>
    <t>Underground cables (kms)</t>
  </si>
  <si>
    <t>6.6/11kV UG Cable</t>
  </si>
  <si>
    <t>20kV UG Cable</t>
  </si>
  <si>
    <t>Submarine cables (kms)</t>
  </si>
  <si>
    <t>HV Sub Cable</t>
  </si>
  <si>
    <t>6.6/11 kV CB (PM)</t>
  </si>
  <si>
    <t>6.6/11 kV CB (GM)</t>
  </si>
  <si>
    <t>6.6/11 kV Switch (PM)</t>
  </si>
  <si>
    <t>6.6/11 kV Switch (GM)</t>
  </si>
  <si>
    <t>6.6/11 kV RMU</t>
  </si>
  <si>
    <t>6.6/11 kV Switchgear - Other (PM)</t>
  </si>
  <si>
    <t>6.6/11 kV Switchgear - Other (GM)</t>
  </si>
  <si>
    <t>20 kV CB (PM)</t>
  </si>
  <si>
    <t>20 kV CB (GM)</t>
  </si>
  <si>
    <t>20 kV Switch (PM)</t>
  </si>
  <si>
    <t>20 kV Switch (GM)</t>
  </si>
  <si>
    <t>20 kV RMU</t>
  </si>
  <si>
    <t>20 kV Switchgear - Other (PM)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</si>
  <si>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</si>
  <si>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</si>
  <si>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</si>
  <si>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</si>
  <si>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</si>
  <si>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</si>
  <si>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</si>
  <si>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</si>
  <si>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</si>
  <si>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</si>
  <si>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</si>
  <si>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</si>
  <si>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</si>
  <si>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</si>
  <si>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</si>
  <si>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33kV UG Cable (Non Pressurised)</t>
  </si>
  <si>
    <t>33kV UG Cable (Oil)</t>
  </si>
  <si>
    <t>33kV UG Cable (Gas)</t>
  </si>
  <si>
    <t>66kV UG Cable (Non Pressurised)</t>
  </si>
  <si>
    <t>66kV UG Cable (Oil)</t>
  </si>
  <si>
    <t>66kV UG Cable (Gas)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</si>
  <si>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</si>
  <si>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</si>
  <si>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</si>
  <si>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</si>
  <si>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</si>
  <si>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</si>
  <si>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</si>
  <si>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</si>
  <si>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</si>
  <si>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</si>
  <si>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</si>
  <si>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</si>
  <si>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</si>
  <si>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</si>
  <si>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</si>
  <si>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</si>
  <si>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</si>
  <si>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</si>
  <si>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</si>
  <si>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132kV Fittings (Tower Line)</t>
  </si>
  <si>
    <t>132kV UG Cable (Non Pressurised)</t>
  </si>
  <si>
    <t>132kV UG Cable (Oil)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</si>
  <si>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</si>
  <si>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</si>
  <si>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</si>
  <si>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</si>
  <si>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</si>
  <si>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</si>
  <si>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Tele-control / SCADA</t>
  </si>
  <si>
    <t>Primary substation</t>
  </si>
  <si>
    <t>132 kV/EHV RTU (PM)</t>
  </si>
  <si>
    <t>132 kV/EHV RTU (GM)</t>
  </si>
  <si>
    <t>Secondary substation</t>
  </si>
  <si>
    <t>HV RTU (PM)</t>
  </si>
  <si>
    <t>HV RTU (GM)</t>
  </si>
  <si>
    <t>LR1 - Demand</t>
  </si>
  <si>
    <t>Demand Totals</t>
  </si>
  <si>
    <t>Units</t>
  </si>
  <si>
    <t>DPCR4</t>
  </si>
  <si>
    <t>DPCR5</t>
  </si>
  <si>
    <t>2010/11</t>
  </si>
  <si>
    <t>2011/12</t>
  </si>
  <si>
    <t>2012/13</t>
  </si>
  <si>
    <t>2013/14</t>
  </si>
  <si>
    <t>2014/15</t>
  </si>
  <si>
    <t>Actuals</t>
  </si>
  <si>
    <t>Forecast</t>
  </si>
  <si>
    <t>Total</t>
  </si>
  <si>
    <t>% change</t>
  </si>
  <si>
    <t>Gross direct costs</t>
  </si>
  <si>
    <t>£m</t>
  </si>
  <si>
    <t>Customer contributions directs</t>
  </si>
  <si>
    <t>Net (gross directs - customer contributions directs)</t>
  </si>
  <si>
    <t>Customer contributions indirects</t>
  </si>
  <si>
    <t>Net (gross directs - customer contributions directs and indirects)</t>
  </si>
  <si>
    <t>Demand trends</t>
  </si>
  <si>
    <t>Estimated system maximum demand</t>
  </si>
  <si>
    <t>MW</t>
  </si>
  <si>
    <t>Incremental increase in max demand due to new connections</t>
  </si>
  <si>
    <t>Incremental reduction in max demand due to disconnections</t>
  </si>
  <si>
    <t>Net change in max demand (not due to connections/disconnections)</t>
  </si>
  <si>
    <t>Estimated units distributed</t>
  </si>
  <si>
    <t>GWh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</si>
  <si>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</si>
  <si>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</si>
  <si>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</si>
  <si>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Units distributed offset by DSM</t>
  </si>
  <si>
    <t xml:space="preserve">Price impact on units distributed </t>
  </si>
  <si>
    <t xml:space="preserve">Economic downturn effect on units distributed </t>
  </si>
  <si>
    <t>LV</t>
  </si>
  <si>
    <t>HV</t>
  </si>
  <si>
    <t>EHV (inc. 132kV)</t>
  </si>
  <si>
    <t>Total units distributed</t>
  </si>
  <si>
    <t>Incremental increase in units distributed attributable to new connections</t>
  </si>
  <si>
    <t>MWh</t>
  </si>
  <si>
    <t>Total increase in units distributed due to new connections</t>
  </si>
  <si>
    <t>Connections/disconnections volume</t>
  </si>
  <si>
    <t>Connections/Disconnections</t>
  </si>
  <si>
    <t>Estimated number demand connections/disconnections at LV</t>
  </si>
  <si>
    <t>IDNO connections</t>
  </si>
  <si>
    <t>#</t>
  </si>
  <si>
    <t>Connections (excluding IDNOs)</t>
  </si>
  <si>
    <t>Disconnections</t>
  </si>
  <si>
    <t>Estimated number demand connections/disconnections at HV</t>
  </si>
  <si>
    <t>Estimated number demand connections/disconnections at EHV</t>
  </si>
  <si>
    <t>Estimated number demand connections/disconnections at 132kV</t>
  </si>
  <si>
    <t>Total number of demand connections</t>
  </si>
  <si>
    <t>Total number of demand disconnections</t>
  </si>
  <si>
    <t>Customer specific demand investment</t>
  </si>
  <si>
    <t>New connections &amp; customer specific reinforcement:</t>
  </si>
  <si>
    <t>Connections provided at LV</t>
  </si>
  <si>
    <t>Sole use</t>
  </si>
  <si>
    <t>Shared</t>
  </si>
  <si>
    <t>LV total</t>
  </si>
  <si>
    <t>Connections provided at HV</t>
  </si>
  <si>
    <t>HV total</t>
  </si>
  <si>
    <t>Connections provided at EHV</t>
  </si>
  <si>
    <t>EHV total</t>
  </si>
  <si>
    <t>Connections provided at 132kV</t>
  </si>
  <si>
    <t>132kV total</t>
  </si>
  <si>
    <t>Expenditure on DSM to avoid customer spec investment</t>
  </si>
  <si>
    <t>Total inc. expenditure on DSM to avoid customer spec investment</t>
  </si>
  <si>
    <t>Expenditure avoided due to DG</t>
  </si>
  <si>
    <t>Expenditure avoided due to DSM</t>
  </si>
  <si>
    <t>Customer contributions - customer specific demand investment</t>
  </si>
  <si>
    <t>Customer contributions (directs) for connections at LV</t>
  </si>
  <si>
    <t xml:space="preserve">Shared </t>
  </si>
  <si>
    <t>Customer contributions (directs) for connections at HV</t>
  </si>
  <si>
    <t>Customer contributions (directs) for connections at EHV</t>
  </si>
  <si>
    <t>Customer contributions (directs) for connections at 132kV</t>
  </si>
  <si>
    <t>Customer contributions (directs) total</t>
  </si>
  <si>
    <t>Customer contributions (indirects)</t>
  </si>
  <si>
    <t>Customer contributions total</t>
  </si>
  <si>
    <t>Total inc. exp on DSM to avoid customer spec investment (net of cust cont)</t>
  </si>
  <si>
    <t>Unapportioned part of shared LV</t>
  </si>
  <si>
    <t>Unapportioned part of shared HV</t>
  </si>
  <si>
    <t>Unapportioned part of shared EHV</t>
  </si>
  <si>
    <t>Unapportioned part of shared 132kV</t>
  </si>
  <si>
    <t>LR1a - Demand - metered connections</t>
  </si>
  <si>
    <t>Demand Totals - Table 1</t>
  </si>
  <si>
    <t>Gross all connections costs</t>
  </si>
  <si>
    <t>Gross direct connections costs subject to apportionment rule</t>
  </si>
  <si>
    <t>Customer contributions excluding margins</t>
  </si>
  <si>
    <t>Net (gross directs subject to apportionment rule - customer contributions directs)</t>
  </si>
  <si>
    <t>DUOS funded related party margin</t>
  </si>
  <si>
    <t>Net (gross directs subject to apportionment rule - customer contributions directs + DUOS funded related party margin)</t>
  </si>
  <si>
    <t>Check</t>
  </si>
  <si>
    <t>Pensions with total gross direct connections costs</t>
  </si>
  <si>
    <t>Pensions with direct connections costs subject to apportionment rule</t>
  </si>
  <si>
    <t>Connections expenditure recovered via DUoS - Table 2</t>
  </si>
  <si>
    <t>Connections expenditure recovered via DUoS</t>
  </si>
  <si>
    <t>Small scale LV domestic and one-off commercial</t>
  </si>
  <si>
    <t>All other LV (with only LV work)</t>
  </si>
  <si>
    <t>LV end connections involving HV work</t>
  </si>
  <si>
    <t>HV end connections involving only HV work</t>
  </si>
  <si>
    <t>HV end connections involving EHV work</t>
  </si>
  <si>
    <t>EHV end connections involving only EHV work</t>
  </si>
  <si>
    <t xml:space="preserve"> HV or EHV connections involving 132kV work</t>
  </si>
  <si>
    <t>132kV end connections involving only 132kV work</t>
  </si>
  <si>
    <t>Metered connections volume - Table 3</t>
  </si>
  <si>
    <t>Metered connections</t>
  </si>
  <si>
    <t>Estimated number demand connections at LV</t>
  </si>
  <si>
    <t>Adopted connections</t>
  </si>
  <si>
    <t>Small scale LV domestic and one-off commercial connections</t>
  </si>
  <si>
    <t>All other LV connections (with only LV work)</t>
  </si>
  <si>
    <t>DNO total LV</t>
  </si>
  <si>
    <t>Estimated number demand connections at HV</t>
  </si>
  <si>
    <t>DNO total HV</t>
  </si>
  <si>
    <t>Estimated number demand connections at EHV</t>
  </si>
  <si>
    <t>DNO total EHV</t>
  </si>
  <si>
    <t>Estimated number demand connections at 132kV</t>
  </si>
  <si>
    <t>DNO total 132kV</t>
  </si>
  <si>
    <t>Metered connections volume - Sole use connections where there is no associated expenditure subject to the apportionment rule - Table 4</t>
  </si>
  <si>
    <t>Estimated number demand connections with HV work</t>
  </si>
  <si>
    <t>Estimated number demand connections with EHV work</t>
  </si>
  <si>
    <t>Estimated number demand connections with 132kV work</t>
  </si>
  <si>
    <t>Metered connections volume - Connections where there is associated expenditure subject to the apportionment rule - Table 5</t>
  </si>
  <si>
    <t>Customer specific demand investment - Sole use expenditure where there is no associated expenditure subject to the apportionment rule - Table 6</t>
  </si>
  <si>
    <t>Ratio - small scale LV domestic and one-off commercial - non-contestable</t>
  </si>
  <si>
    <t>%</t>
  </si>
  <si>
    <t>Ratio - small scale LV domestic and one-off commercial - contestable</t>
  </si>
  <si>
    <t>Ratio - all other LV (with only LV work) - non-contestable</t>
  </si>
  <si>
    <t>Ratio - all other LV (with only LV work) - contestable</t>
  </si>
  <si>
    <t>Connections with HV work</t>
  </si>
  <si>
    <t>Ratio - LV end connections involving HV work - non-contestable</t>
  </si>
  <si>
    <t>Ratio - LV end connections involving HV work - contestable</t>
  </si>
  <si>
    <t>Ratio - HV end connections involving only HV work - non-contestable</t>
  </si>
  <si>
    <t>Ratio - HV end connections involving only HV work - contestable</t>
  </si>
  <si>
    <t>Connections with EHV work</t>
  </si>
  <si>
    <t>Ratio - HV end connections involving EHV work - non-contestable</t>
  </si>
  <si>
    <t>Ratio - HV end connections involving EHV work - contestable</t>
  </si>
  <si>
    <t>Ratio - EHV end connections involving only EHV work - non-contestable</t>
  </si>
  <si>
    <t>Ratio - EHV end connections involving only EHV work - contestable</t>
  </si>
  <si>
    <t>Connections with 132kV work</t>
  </si>
  <si>
    <t>Ratio - HV or EHV connections involving 132kV work - non-contestable</t>
  </si>
  <si>
    <t>Ratio - HV or EHV connections involving 132kV work - contestable</t>
  </si>
  <si>
    <t>Ratio - 132kV end connections involving only 132kV work - non-contestable</t>
  </si>
  <si>
    <t>Ratio - 132kV end connections involving only 132kV work - contestable</t>
  </si>
  <si>
    <t>Total sole use expenditure where there is no expenditure subject to the apportionment rule</t>
  </si>
  <si>
    <t>Customer specific demand investment - sole use expenditure where there is also associated expenditure subject to the apportionment rule - Table 7</t>
  </si>
  <si>
    <t>Total sole use expenditure where there is also expenditure subject to the apportionment rule</t>
  </si>
  <si>
    <t>Customer specific demand investment - all expenditure subject to the apportionment rule - Table 8</t>
  </si>
  <si>
    <t>Total connections expenditure subject to the apportionment rule</t>
  </si>
  <si>
    <t>Customer contributions - customer specific demand investment - contributions associated with apportionment rule - Table 9</t>
  </si>
  <si>
    <t>Customer contributions (directs) for connections with HV work</t>
  </si>
  <si>
    <t>Customer contributions (directs) for connections with EHV work</t>
  </si>
  <si>
    <t>Customer contributions (directs) for connections with 132kV work</t>
  </si>
  <si>
    <t>Total customer contributions associated with apportionment rule</t>
  </si>
  <si>
    <t>June Forecast Business Plan DPCR5</t>
  </si>
  <si>
    <t>LR4 - General reinforcement</t>
  </si>
  <si>
    <t>General reinforcement expenditure</t>
  </si>
  <si>
    <t>(£m)</t>
  </si>
  <si>
    <t>General reinforcement:</t>
  </si>
  <si>
    <t>LV System</t>
  </si>
  <si>
    <t>HV System</t>
  </si>
  <si>
    <t>EHV System</t>
  </si>
  <si>
    <t>132kV System</t>
  </si>
  <si>
    <t>General reinforcement outputs</t>
  </si>
  <si>
    <t>Changes in general utilisation due to projected expenditure levels</t>
  </si>
  <si>
    <t>At 31st March 2010</t>
  </si>
  <si>
    <t>At 31st March 2015</t>
  </si>
  <si>
    <t>132kV-EHV</t>
  </si>
  <si>
    <t>132kV - HV</t>
  </si>
  <si>
    <t>EHV - EHV</t>
  </si>
  <si>
    <t>EHV - HV</t>
  </si>
  <si>
    <t>Total number substations (operated by DNO)</t>
  </si>
  <si>
    <t>Σ substation maximum demands</t>
  </si>
  <si>
    <t xml:space="preserve">Σ substation firm capacities </t>
  </si>
  <si>
    <t xml:space="preserve">Σ substation maximum demands / Σ substation firm capacities </t>
  </si>
  <si>
    <t>Changes in utilisation of highly loaded substations due to projected expenditure levels</t>
  </si>
  <si>
    <t>Number of substations loaded &gt;=80% of firm capacity</t>
  </si>
  <si>
    <t>Σ substation maximum demands for substations loaded &gt;=80% of firm capacity</t>
  </si>
  <si>
    <t>Σ substation firm capacities for substations loaded &gt;=80% of firm capacity</t>
  </si>
  <si>
    <t xml:space="preserve">% Loading of substations which are operating at &gt;=80% of firm capacity  = Σ demand /Σ firm capacity </t>
  </si>
  <si>
    <t>Number of substations loaded above 100% of firm capacity</t>
  </si>
  <si>
    <t>Number of DNO substations requiring reinforcement within 5 yrs</t>
  </si>
  <si>
    <t>General reinforcement projects</t>
  </si>
  <si>
    <t>Scheme details</t>
  </si>
  <si>
    <t>DPCR4 Expenditure</t>
  </si>
  <si>
    <t>DPCR5 Expenditure</t>
  </si>
  <si>
    <t>Utilisation</t>
  </si>
  <si>
    <t>(N-2) scheme?</t>
  </si>
  <si>
    <t>Scheme description</t>
  </si>
  <si>
    <t>Named scheme</t>
  </si>
  <si>
    <t>Primary Voltage</t>
  </si>
  <si>
    <t>Secondary Voltage</t>
  </si>
  <si>
    <t>Limiting 
Factor</t>
  </si>
  <si>
    <t>Forecast year in which substation demand will reach substation/group firm capacity</t>
  </si>
  <si>
    <t>MVA of additional firm capacity to be installed</t>
  </si>
  <si>
    <t>Total cost of project</t>
  </si>
  <si>
    <t>Total cost of project in DPCR5 period</t>
  </si>
  <si>
    <t>Historic and forecast max demand (MVA)</t>
  </si>
  <si>
    <t>Substation/Group Total
Capability</t>
  </si>
  <si>
    <t>Substation/group firm capacity under single circuit outage conditions</t>
  </si>
  <si>
    <t>Substation/Group Maximum Demand</t>
  </si>
  <si>
    <t>Season of critical loading condition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</si>
  <si>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</si>
  <si>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</si>
  <si>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</si>
  <si>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</si>
  <si>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</si>
  <si>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</si>
  <si>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Season</t>
  </si>
  <si>
    <t>(Y/N)</t>
  </si>
  <si>
    <t>(Description)</t>
  </si>
  <si>
    <t>LR6 - Fault levels</t>
  </si>
  <si>
    <t>Fault level system measures</t>
  </si>
  <si>
    <t>As at 31st March 2010</t>
  </si>
  <si>
    <t>As at 31st March 2015</t>
  </si>
  <si>
    <t>132kV</t>
  </si>
  <si>
    <t>EHV</t>
  </si>
  <si>
    <t>No. of switchboards</t>
  </si>
  <si>
    <t>No. of switchboards @ &gt;95% of F.L.</t>
  </si>
  <si>
    <t>No. of switchboards having fault level 'operational restrictions'</t>
  </si>
  <si>
    <t>Number of fault level schemes</t>
  </si>
  <si>
    <t>No. of schemes</t>
  </si>
  <si>
    <t>Switchboards</t>
  </si>
  <si>
    <t>Transformers</t>
  </si>
  <si>
    <t>Other</t>
  </si>
  <si>
    <t>Fault level reinforcement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</si>
  <si>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</si>
  <si>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</si>
  <si>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</si>
  <si>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</si>
  <si>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</si>
  <si>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NL1 - Condition based expenditure</t>
  </si>
  <si>
    <t>Total condition based replacement</t>
  </si>
  <si>
    <t>Asset Categories</t>
  </si>
  <si>
    <t>DPCR 4</t>
  </si>
  <si>
    <t>DPCR 5</t>
  </si>
  <si>
    <t>Metered LV Services</t>
  </si>
  <si>
    <t>Overhead</t>
  </si>
  <si>
    <t>Underground</t>
  </si>
  <si>
    <t>Un-metered LV Services</t>
  </si>
  <si>
    <t>Overhead mains</t>
  </si>
  <si>
    <t>Underground mains</t>
  </si>
  <si>
    <t>Switchgear (incl other plant &amp; equipment)</t>
  </si>
  <si>
    <t>Overhead lines</t>
  </si>
  <si>
    <t>Submarine</t>
  </si>
  <si>
    <t xml:space="preserve">Transformers </t>
  </si>
  <si>
    <t>Substation</t>
  </si>
  <si>
    <t>Submarine cables</t>
  </si>
  <si>
    <t>Total non-load replacement (£m)</t>
  </si>
  <si>
    <t>Proactive condition based replacement (non fault)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</si>
  <si>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</si>
  <si>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</si>
  <si>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</si>
  <si>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</si>
  <si>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</si>
  <si>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</si>
  <si>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</si>
  <si>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</si>
  <si>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</si>
  <si>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</si>
  <si>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</si>
  <si>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</si>
  <si>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</si>
  <si>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</si>
  <si>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</si>
  <si>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</si>
  <si>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</si>
  <si>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</si>
  <si>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</si>
  <si>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</si>
  <si>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132 kV Total</t>
  </si>
  <si>
    <t xml:space="preserve">LV Services - Split of activities </t>
  </si>
  <si>
    <t>LV Services - metered only</t>
  </si>
  <si>
    <t>OHL</t>
  </si>
  <si>
    <t>Service Replacement</t>
  </si>
  <si>
    <t>Cut out Replacement</t>
  </si>
  <si>
    <t>UG</t>
  </si>
  <si>
    <t>NL9 - Legal and safety</t>
  </si>
  <si>
    <t>Legal and Safety</t>
  </si>
  <si>
    <t>ESQCR</t>
  </si>
  <si>
    <t>ESQCR 43-8 Clearance</t>
  </si>
  <si>
    <t>ESQCR tree continuity</t>
  </si>
  <si>
    <t>ESQCR Other</t>
  </si>
  <si>
    <t>CNI</t>
  </si>
  <si>
    <t>Black Start</t>
  </si>
  <si>
    <t>Emergency Batteries</t>
  </si>
  <si>
    <t>Critical National Infrastructure</t>
  </si>
  <si>
    <t>Site Security</t>
  </si>
  <si>
    <t>Asbestos clearance</t>
  </si>
  <si>
    <t>Safety climbing devices</t>
  </si>
  <si>
    <t>Rising mains and laterals</t>
  </si>
  <si>
    <t>Retrofit ABSD &amp; Earthing theft &amp; Replace 0.025 OH conductor</t>
  </si>
  <si>
    <t>Fire Prevention</t>
  </si>
  <si>
    <t>ESQCR 43-8 Safety Clearance Expenditure</t>
  </si>
  <si>
    <t>Horizontal</t>
  </si>
  <si>
    <t>132 kV</t>
  </si>
  <si>
    <t>Vertical</t>
  </si>
  <si>
    <t>Horizontal - Detailed Information</t>
  </si>
  <si>
    <t>Sites affected as at April 2005</t>
  </si>
  <si>
    <t>No of sites resolved 05/06 - 07/08</t>
  </si>
  <si>
    <t>Sites affected as at April 2008</t>
  </si>
  <si>
    <t>No of sites to be resolved 08/09 - 09/10</t>
  </si>
  <si>
    <t>No of sites to be resolved in DPCR5</t>
  </si>
  <si>
    <t>Sites affected as at April 2015</t>
  </si>
  <si>
    <t>05/06 - 07/08</t>
  </si>
  <si>
    <t>08/09-09/10</t>
  </si>
  <si>
    <t>No of sites resolved</t>
  </si>
  <si>
    <t>Actual Solutions (#)</t>
  </si>
  <si>
    <t>Forecast Solutions (#)</t>
  </si>
  <si>
    <t>Shrouding</t>
  </si>
  <si>
    <t>Diversions</t>
  </si>
  <si>
    <t>Under-grounding</t>
  </si>
  <si>
    <t>Covered conductors</t>
  </si>
  <si>
    <t>As part of other planned work</t>
  </si>
  <si>
    <t>No of spans changed</t>
  </si>
  <si>
    <t>Total Cost £m</t>
  </si>
  <si>
    <t>Expenditure £m</t>
  </si>
  <si>
    <t>Forecast Solutions (£m)</t>
  </si>
  <si>
    <t>Total unit Cost £k/per span</t>
  </si>
  <si>
    <t>Unit cost £k/span</t>
  </si>
  <si>
    <t>Forecast Unit cost £k/span</t>
  </si>
  <si>
    <t>Vertical - Detailed Information</t>
  </si>
  <si>
    <t>Rebuild</t>
  </si>
  <si>
    <t>Derogation</t>
  </si>
  <si>
    <t>C2 - Unit costs</t>
  </si>
  <si>
    <t xml:space="preserve">New build </t>
  </si>
  <si>
    <t>Replacement</t>
  </si>
  <si>
    <t>Direct costs</t>
  </si>
  <si>
    <t>Cost including indirects (absorbed costs in T2A)</t>
  </si>
  <si>
    <t>(£k)</t>
  </si>
  <si>
    <t>km</t>
  </si>
  <si>
    <t>Each</t>
  </si>
  <si>
    <t>HV network switchgear</t>
  </si>
  <si>
    <t>Primary</t>
  </si>
  <si>
    <t>Distribution</t>
  </si>
  <si>
    <t>IP Appendix 6 Table 5 Reductions to EHV</t>
  </si>
  <si>
    <t>IP Appendix 7 Reductions to EHV</t>
  </si>
  <si>
    <t>Appendix 6 Table 5 EHV &amp; 132</t>
  </si>
  <si>
    <t>Appendix 7 Table 18</t>
  </si>
  <si>
    <t>LV/HV</t>
  </si>
  <si>
    <t>Regulatory Reporting Pack (RRP)</t>
  </si>
  <si>
    <t>Electricity Distribution Industry Activity Costs - individual DNO input</t>
  </si>
  <si>
    <t>Cash typical costs (excluding disallowed related party margins)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</si>
  <si>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</si>
  <si>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</si>
  <si>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</si>
  <si>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</si>
  <si>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</si>
  <si>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</si>
  <si>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</si>
  <si>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</si>
  <si>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</si>
  <si>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</si>
  <si>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</si>
  <si>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</si>
  <si>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Total Annual Operating &amp; Capital Expenditure per Regulatory Accounts</t>
  </si>
  <si>
    <t>Direct activities</t>
  </si>
  <si>
    <t>Indirect activities</t>
  </si>
  <si>
    <t>Year ended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</si>
  <si>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</si>
  <si>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</si>
  <si>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</si>
  <si>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</si>
  <si>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</si>
  <si>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</si>
  <si>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</si>
  <si>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</si>
  <si>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</si>
  <si>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</si>
  <si>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</si>
  <si>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</si>
  <si>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</si>
  <si>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</si>
  <si>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</si>
  <si>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</si>
  <si>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</si>
  <si>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</si>
  <si>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</si>
  <si>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</si>
  <si>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</si>
  <si>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£'m</t>
  </si>
  <si>
    <t>31 March 2008</t>
  </si>
  <si>
    <t>Adjustments on T4.3</t>
  </si>
  <si>
    <t>31 March 2007</t>
  </si>
  <si>
    <t>31 March 2006</t>
  </si>
  <si>
    <t>Notes</t>
  </si>
  <si>
    <t xml:space="preserve">The individual activities are defined in the Electricity Distribution Price Control Review Price control cost reporting rules: Instructions and Guidance April 2008 </t>
  </si>
  <si>
    <t>Pension deficit payments made by a related party and not charged in the regulatory accounts of the DNO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</si>
  <si>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</si>
  <si>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</si>
  <si>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</si>
  <si>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Inspections &amp; Maintenance, Tree Cutting and Fault Costs</t>
  </si>
  <si>
    <t>Inspections &amp; Maintenance</t>
  </si>
  <si>
    <t>Fault Costs</t>
  </si>
  <si>
    <t>Memorandum Information - Scottish DNOs 132kV</t>
  </si>
  <si>
    <t>Cash typicals</t>
  </si>
  <si>
    <t>Atypicals</t>
  </si>
  <si>
    <t>Inspection and Maintenance</t>
  </si>
  <si>
    <t xml:space="preserve">Inspections </t>
  </si>
  <si>
    <t xml:space="preserve">Maintenance </t>
  </si>
  <si>
    <t xml:space="preserve">Total </t>
  </si>
  <si>
    <t>LV Services</t>
  </si>
  <si>
    <t>Overhead Mains</t>
  </si>
  <si>
    <t>Underground Mains - Consac</t>
  </si>
  <si>
    <t>Underground Mains - Non Consac</t>
  </si>
  <si>
    <t xml:space="preserve">HV </t>
  </si>
  <si>
    <t>Underground Cables</t>
  </si>
  <si>
    <t>Switchgear, Transformers, Substation</t>
  </si>
  <si>
    <t>Underground - Pressure assisted</t>
  </si>
  <si>
    <t>Underground - Non Pressure assisted</t>
  </si>
  <si>
    <t>Submarine cables - all voltages</t>
  </si>
  <si>
    <t>Non-QoS Faults</t>
  </si>
  <si>
    <t>Substation electricity</t>
  </si>
  <si>
    <t>Diesel generation costs (permanent emergency back up on islands)</t>
  </si>
  <si>
    <t>Third party cable damage - recoveries</t>
  </si>
  <si>
    <t>Dismantlement</t>
  </si>
  <si>
    <t>Fault costs allocated to Opex and Capex</t>
  </si>
  <si>
    <t>Fault opex</t>
  </si>
  <si>
    <t>Fault capex</t>
  </si>
  <si>
    <t>Total Fault Costs</t>
  </si>
  <si>
    <t>Total Tree Cutting</t>
  </si>
  <si>
    <t>NEW AND REPLACEMENT ASSETS (EXCL. FAULTS)</t>
  </si>
  <si>
    <t>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</si>
  <si>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</si>
  <si>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</si>
  <si>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</si>
  <si>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</si>
  <si>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Customer Specific Reinforcement - Non Chargeable</t>
  </si>
  <si>
    <t>General Reinforcement</t>
  </si>
  <si>
    <t>Fault Level Reinforcement</t>
  </si>
  <si>
    <t>Non Relevant Distributed Generation</t>
  </si>
  <si>
    <t>New Connections &amp; Customer Specific Reinforcement:</t>
  </si>
  <si>
    <t>General Reinforcement: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</si>
  <si>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</si>
  <si>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</si>
  <si>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</si>
  <si>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</si>
  <si>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</si>
  <si>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Condition based</t>
  </si>
  <si>
    <t>Non-fault Related</t>
  </si>
  <si>
    <t>Fault Related</t>
  </si>
  <si>
    <t xml:space="preserve">Total
</t>
  </si>
  <si>
    <t>Underground Mains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</si>
  <si>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</si>
  <si>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</si>
  <si>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</si>
  <si>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</si>
  <si>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</si>
  <si>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</si>
  <si>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Environment</t>
  </si>
  <si>
    <t>Visual Amenity</t>
  </si>
  <si>
    <t>Resilience</t>
  </si>
  <si>
    <t>Operational IT &amp; Telecoms - BT 21CN</t>
  </si>
  <si>
    <t>Operational IT &amp; Telecoms - other</t>
  </si>
  <si>
    <t>Non - rechargeable diversions</t>
  </si>
  <si>
    <t>Total Non-load related (other non-fault)</t>
  </si>
  <si>
    <t>Total Net Non-load related (other non-fault)</t>
  </si>
  <si>
    <t>Total Non-load related expenditure (direct costs)</t>
  </si>
  <si>
    <t>Total Net Non-load replacement (Direct Costs)</t>
  </si>
  <si>
    <t xml:space="preserve">          Non-operational </t>
  </si>
  <si>
    <t>Owned by DNO</t>
  </si>
  <si>
    <t>Owned by related party</t>
  </si>
  <si>
    <t>Vehicles</t>
  </si>
  <si>
    <t>Plant &amp; Machinery</t>
  </si>
  <si>
    <t>Small Tools &amp; Equipment</t>
  </si>
  <si>
    <t>Office Equipment</t>
  </si>
  <si>
    <t>Non-operational property</t>
  </si>
  <si>
    <t>IT Non-operational Capital Expenditure</t>
  </si>
  <si>
    <t>Telecoms Non-operational Capital Expenditures</t>
  </si>
  <si>
    <t>Total Non-operational New Assets &amp; Replacement</t>
  </si>
  <si>
    <t>Regulatory Reporting Pack</t>
  </si>
  <si>
    <t>MISCELLANEOUS</t>
  </si>
  <si>
    <t>Non-activity based costs (excluded from Table 2.2)(enter as positive)</t>
  </si>
  <si>
    <t>Pass through Costs</t>
  </si>
  <si>
    <t>Transmission exit charges</t>
  </si>
  <si>
    <t>Wheeled units imported</t>
  </si>
  <si>
    <t>Network rates</t>
  </si>
  <si>
    <t>Ofgem licence fee</t>
  </si>
  <si>
    <t>Shetland Balancing Costs (SHEPD only)</t>
  </si>
  <si>
    <t>Scottish Electricity Settlements run-off (Scottish DNOs only)</t>
  </si>
  <si>
    <t>Costs inside scope of DPCR4 allowances</t>
  </si>
  <si>
    <t>Guaranteed standard of performance compensation payments</t>
  </si>
  <si>
    <t>Ex-gratia compensation payments</t>
  </si>
  <si>
    <t>Bad debt expense (net of recoveries)</t>
  </si>
  <si>
    <t>Costs outside scope of DPCR4 allowances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</si>
  <si>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</si>
  <si>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</si>
  <si>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</si>
  <si>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</si>
  <si>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</si>
  <si>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</si>
  <si>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</si>
  <si>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</si>
  <si>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</si>
  <si>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Non-operational assets (-ve)</t>
  </si>
  <si>
    <t>ANALYSIS OF ASSET DISPOSALS</t>
  </si>
  <si>
    <t>Cost</t>
  </si>
  <si>
    <t>Depn.</t>
  </si>
  <si>
    <t>Net Book Value</t>
  </si>
  <si>
    <t>Net Sales Proceeds</t>
  </si>
  <si>
    <t>(Profit) / Loss on Disposal</t>
  </si>
  <si>
    <t>Asset Owner</t>
  </si>
  <si>
    <t>Asset Type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</si>
  <si>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</si>
  <si>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</si>
  <si>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</si>
  <si>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</si>
  <si>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</si>
  <si>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</si>
  <si>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</si>
  <si>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</si>
  <si>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</si>
  <si>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</si>
  <si>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</si>
  <si>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</si>
  <si>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Additional employer pension contributions (+ve)</t>
  </si>
  <si>
    <t>Lane rentals analysis: including logged up costs (see below):</t>
  </si>
  <si>
    <t>Non-load non-fault new &amp; replacement assets</t>
  </si>
  <si>
    <t>Inspectns &amp; Maint. (exc. Tree Cutting)</t>
  </si>
  <si>
    <t>Fines and penalties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</si>
  <si>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</si>
  <si>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</si>
  <si>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</si>
  <si>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</si>
  <si>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</si>
  <si>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Road Occupation &amp; Permit Scheme Costs included within Lane Rentals, previously agreed in writing with Ofgem to be treated as logged up costs:</t>
  </si>
  <si>
    <t>Costs previously agreed with Ofgem in writing for additional security</t>
  </si>
  <si>
    <t>Miscellaneous costs (included in table 2.2 costs)</t>
  </si>
  <si>
    <t>Pension administration costs (reported in HR &amp; Non-op training)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</si>
  <si>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</si>
  <si>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</si>
  <si>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</si>
  <si>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</si>
  <si>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Total Undergrounding in National Parks / AONB</t>
  </si>
  <si>
    <t>Network Data</t>
  </si>
  <si>
    <t>QUALITY OF SERVICE</t>
  </si>
  <si>
    <t>Historical data</t>
  </si>
  <si>
    <t>For Future years</t>
  </si>
  <si>
    <t xml:space="preserve">Customer Numbers </t>
  </si>
  <si>
    <t>Millions</t>
  </si>
  <si>
    <t>Total CIs (Excluding EE)</t>
  </si>
  <si>
    <t>CIs</t>
  </si>
  <si>
    <t>Total CMLs (Excluding EE)</t>
  </si>
  <si>
    <t>CMLs</t>
  </si>
  <si>
    <t>NETWORK ACTIVITY INDICATORS</t>
  </si>
  <si>
    <t>CONNECTIONS</t>
  </si>
  <si>
    <t>Number of new connections</t>
  </si>
  <si>
    <t>EHV (Includes 132kV)</t>
  </si>
  <si>
    <t>No. Connections</t>
  </si>
  <si>
    <t>DG</t>
  </si>
  <si>
    <t xml:space="preserve">Total Connected Distributed Generation </t>
  </si>
  <si>
    <t>DEMANDS</t>
  </si>
  <si>
    <t xml:space="preserve">System Maximum Demand </t>
  </si>
  <si>
    <t>System Maximum Demand (Weather corrected)</t>
  </si>
  <si>
    <t>Units Distributed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</si>
  <si>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</si>
  <si>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</si>
  <si>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</si>
  <si>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</si>
  <si>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</si>
  <si>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</si>
  <si>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</si>
  <si>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</si>
  <si>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</si>
  <si>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</si>
  <si>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</si>
  <si>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</si>
  <si>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EHV ground mounted</t>
  </si>
  <si>
    <t>EHV pole mounted</t>
  </si>
  <si>
    <t>HV ground mounted</t>
  </si>
  <si>
    <t>HV pole mounted</t>
  </si>
  <si>
    <t>Summary of Revenue</t>
  </si>
  <si>
    <t>Allowed Demand Revenue (ADt)</t>
  </si>
  <si>
    <t>Base Demand Revenue  (BRt)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</si>
  <si>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</si>
  <si>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</si>
  <si>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</si>
  <si>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</si>
  <si>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</si>
  <si>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</si>
  <si>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</si>
  <si>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</si>
  <si>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</si>
  <si>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</si>
  <si>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</si>
  <si>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Network Generation Revenue (RGt)</t>
  </si>
  <si>
    <t>Metering Revenue</t>
  </si>
  <si>
    <t>Legacy Basic Meter Asset Provision Revenue</t>
  </si>
  <si>
    <t>Basic Meter Operation Revenue</t>
  </si>
  <si>
    <t>Excluded Services and Revenue Outside of Price Control</t>
  </si>
  <si>
    <t>Excluded Services</t>
  </si>
  <si>
    <t>Revenue Outside of Price Control</t>
  </si>
  <si>
    <t>De Minimis Revenue</t>
  </si>
  <si>
    <t>DNO reported Unit Cost (£)</t>
  </si>
  <si>
    <t>Unit cost used in MEAV calculation (£)</t>
  </si>
  <si>
    <t>Closing DCPR asset Balance (units)</t>
  </si>
  <si>
    <t>MEAV (£)</t>
  </si>
  <si>
    <t>Sum of direct and indriect replacement unit cost from FBPQ C2</t>
  </si>
  <si>
    <t>PB power numbers, if available</t>
  </si>
  <si>
    <t>Is DNO Unit cost if avaliable, otherwise PB power unit cost</t>
  </si>
  <si>
    <t>Closing asset balance from FBPQ V4</t>
  </si>
  <si>
    <t>Unit cost used in MEAV calculation*Closing DCPR asset Balance (units)</t>
  </si>
  <si>
    <t>DATA</t>
  </si>
  <si>
    <t>MEAV  - LV, LV/HV, HV, EHV, 132kV split</t>
  </si>
  <si>
    <t>Sum of MEAV of asset classified in voltage tier</t>
  </si>
  <si>
    <t>% of Total</t>
  </si>
  <si>
    <t>103. Units distributed (GWh) from RRP table 5.1</t>
  </si>
  <si>
    <t>Units distributed (GWh) from RRP table 5.1</t>
  </si>
  <si>
    <t>Units distributed at LV</t>
  </si>
  <si>
    <t>Units distributed at HV</t>
  </si>
  <si>
    <t>Units distributed at EHV+</t>
  </si>
  <si>
    <t>Losses</t>
  </si>
  <si>
    <t>104. Estimated line loss adjustment factors relative to LV</t>
  </si>
  <si>
    <t>LV services</t>
  </si>
  <si>
    <t>Units (GWh) flowing through each level, loss-adjusted to LV</t>
  </si>
  <si>
    <t>Units (kWh) flowing through each level, loss-adjusted to LV</t>
  </si>
  <si>
    <t>Choice of LR1 data source</t>
  </si>
  <si>
    <t>Total Net Capex 2005/06 -2014/15 LV, LV/HV, HV, EHV, 132kV split</t>
  </si>
  <si>
    <t>LR1</t>
  </si>
  <si>
    <t>LR1 opt 3</t>
  </si>
  <si>
    <t>Connection/Reinforcement/Replacement Capex LV, HV, EHV, 132kV split</t>
  </si>
  <si>
    <t>Connections Capex 2005/06 -2014/15 (£m)</t>
  </si>
  <si>
    <t>General reinforcement Capex 2005/06 -2014/15 (£m)</t>
  </si>
  <si>
    <t>Fault reinforcement Capex 2005/06 -2014/15 (£m)</t>
  </si>
  <si>
    <t>Connections spend minus customer contributions (from FBPQ LR1)</t>
  </si>
  <si>
    <t>(from FBPQ LR4)</t>
  </si>
  <si>
    <t>(from FBPQ LR6)</t>
  </si>
  <si>
    <t>Replacement Capex 2005/06 -2014/15 (£m)</t>
  </si>
  <si>
    <t>ESQCR 2005/06 -2014/15 (£m)</t>
  </si>
  <si>
    <t xml:space="preserve"> (from FBPQ NL1)</t>
  </si>
  <si>
    <t>(from FBPQ NL9)</t>
  </si>
  <si>
    <t>Connection/Reinforcement/Replacement Capex LV, LV/HV, HV, EHV, 132kV split</t>
  </si>
  <si>
    <t>allocated in proportion to repex</t>
  </si>
  <si>
    <t>NL1 + NL9</t>
  </si>
  <si>
    <t>HV/LV sub/trans costs</t>
  </si>
  <si>
    <t>LV/HV/(LV/HV+HV) %</t>
  </si>
  <si>
    <t>LR1 (opt3) variant</t>
  </si>
  <si>
    <t>Cell Ref: B16</t>
  </si>
  <si>
    <t>Connections spend minus customer contributions (from FBPQ LR1 v5 opt3)</t>
  </si>
  <si>
    <t>Cell Ref B36</t>
  </si>
  <si>
    <t>LR1 variant</t>
  </si>
  <si>
    <t>Step 1 - extract total activity costs from cost report</t>
  </si>
  <si>
    <t>Step 2. Identify costs included in price control revenues to be allocated by MEAV</t>
  </si>
  <si>
    <t>Step 3.  Allocate costs not directly atttibutable to network tiers to network tiers using MEAV</t>
  </si>
  <si>
    <t>Step 4.  Sum directly attributed and allocated costs</t>
  </si>
  <si>
    <t>Step 5. Divide cost by units flowing - effectively adjust the cost because of electricity lost as it flows through the network meaning that there is more cost in the lower tiers</t>
  </si>
  <si>
    <t>Step 6.   Adjust costs so that they are aligned with the definition of opex in the allowed price control revenues</t>
  </si>
  <si>
    <t>Costs extracted from RRP Tables</t>
  </si>
  <si>
    <t>Cost drivers - lookup from "Calc-Drivers"</t>
  </si>
  <si>
    <t>Allocation of "Unallocated" costs by cost driver to network tiers</t>
  </si>
  <si>
    <t>Sum of allocated and "unallocated" costs</t>
  </si>
  <si>
    <t>Sum of allocated and "unallocated" costs expressed per unit throughput (p/kWh)</t>
  </si>
  <si>
    <t>Proportion of costs allocated to Opex and Capex</t>
  </si>
  <si>
    <t>Operating costs = sum of allocated and unallocated multiplied by 1 minus capitalised proprtion</t>
  </si>
  <si>
    <t>Opex only on p/kWh throughput</t>
  </si>
  <si>
    <t>Total activity cost - from RRP 1.3</t>
  </si>
  <si>
    <t>Costs allocated to network tiers in RRP - from 2.3 and 2.4</t>
  </si>
  <si>
    <t>Unallocated costs = Total - costs allocated to network tiers</t>
  </si>
  <si>
    <t>Insert name of cost driver</t>
  </si>
  <si>
    <t>Proportion of cost allocated to each network tier</t>
  </si>
  <si>
    <t>% Cost capitalised (from DCPR settlement - same for all DNOs)</t>
  </si>
  <si>
    <t>Capex</t>
  </si>
  <si>
    <t>Opex</t>
  </si>
  <si>
    <t>LV Service</t>
  </si>
  <si>
    <t>Direct activities - From RRP 2.2 Detailed Cost Matrix</t>
  </si>
  <si>
    <t>MEAV</t>
  </si>
  <si>
    <t>Indirect activities - From RRP 2.2 Detailed Cost Matrix</t>
  </si>
  <si>
    <t>Do not allocate</t>
  </si>
  <si>
    <t>Other Costs from full activitty cost allocation</t>
  </si>
  <si>
    <t>Total all network tiers</t>
  </si>
  <si>
    <t>Total by network tiers</t>
  </si>
  <si>
    <t xml:space="preserve">% </t>
  </si>
  <si>
    <t>Vlookup Values:</t>
  </si>
  <si>
    <t>THESE % ARE USED TO ALLOCATE PRICE CONTROL OPEX</t>
  </si>
  <si>
    <t>Step 4.a. calculate proportion of cost classified as direct costs</t>
  </si>
  <si>
    <t>Total direct+other</t>
  </si>
  <si>
    <t>Total indirect</t>
  </si>
  <si>
    <t>% direct+other</t>
  </si>
  <si>
    <t>% indirect</t>
  </si>
  <si>
    <t>Drivers - LV, LV/HV, HV, EHV split</t>
  </si>
  <si>
    <t>Category</t>
  </si>
  <si>
    <t>Source</t>
  </si>
  <si>
    <t>Net Capex</t>
  </si>
  <si>
    <t>FBPQ capex - see "Calc Net capex"</t>
  </si>
  <si>
    <t>No. of Customers</t>
  </si>
  <si>
    <t>Assumption</t>
  </si>
  <si>
    <t>Network Length</t>
  </si>
  <si>
    <t>RRP table 5.1</t>
  </si>
  <si>
    <t>No. of Substations</t>
  </si>
  <si>
    <t>FBPQ capex - see "Calc MEAV"</t>
  </si>
  <si>
    <t>EHV only</t>
  </si>
  <si>
    <t>LV only</t>
  </si>
  <si>
    <t>HV only</t>
  </si>
  <si>
    <t>Step 1. Format price control allowed revenue data</t>
  </si>
  <si>
    <t>I) DPCR3 type presentation</t>
  </si>
  <si>
    <t>ii) DPCR4 type presentation</t>
  </si>
  <si>
    <t>Allowed revenue</t>
  </si>
  <si>
    <t>Opex (incl pensions after  57.7% capitalised)</t>
  </si>
  <si>
    <t>Quality Reward</t>
  </si>
  <si>
    <t>Present value of opening/closing RAV</t>
  </si>
  <si>
    <t>Total Opex</t>
  </si>
  <si>
    <t>Operating costs (excl pensions)</t>
  </si>
  <si>
    <t>Capital elements</t>
  </si>
  <si>
    <t>Capex (excl pensions)</t>
  </si>
  <si>
    <t>Pensions</t>
  </si>
  <si>
    <t>Capital incentive</t>
  </si>
  <si>
    <t>Capex incentive</t>
  </si>
  <si>
    <t>Sliding scale</t>
  </si>
  <si>
    <t>Sliding scale addn income</t>
  </si>
  <si>
    <t>Return</t>
  </si>
  <si>
    <t>Quality reward/Opex incentive &amp; Other Adjustments</t>
  </si>
  <si>
    <t>Total capital</t>
  </si>
  <si>
    <t>Total capital ex depreciation</t>
  </si>
  <si>
    <t>PV of allowed items</t>
  </si>
  <si>
    <t>Allocation of allowed revenue to:-</t>
  </si>
  <si>
    <t>TOTAL PV OVER 5 YEARS</t>
  </si>
  <si>
    <t>Excluded services revenue</t>
  </si>
  <si>
    <t>PV of total revenue</t>
  </si>
  <si>
    <t>PV of excluded service revenue</t>
  </si>
  <si>
    <t xml:space="preserve">Step 2. Allocate price control revenues to network tiers </t>
  </si>
  <si>
    <t>Hence DPCR4 revenue made up of</t>
  </si>
  <si>
    <t>Total DPCR4</t>
  </si>
  <si>
    <t>Basis of allocation</t>
  </si>
  <si>
    <t>% used</t>
  </si>
  <si>
    <t>Operating costs</t>
  </si>
  <si>
    <t>Overall Opex split</t>
  </si>
  <si>
    <t>NET CAPEX SPLIT FROM "CALC -NET CAPEX" SHEET</t>
  </si>
  <si>
    <t>OVERALL OPEX SPLIT FROM "CALC DNO OPEX ALLOCATION" SHEET</t>
  </si>
  <si>
    <t>Step 3. Remove incentive revenue and pension deficit payment from allocations</t>
  </si>
  <si>
    <t>2007/08 allowed revenue source from page "summary allowed revenue"</t>
  </si>
  <si>
    <t>Base revenue</t>
  </si>
  <si>
    <t>Allowed pass through items</t>
  </si>
  <si>
    <t>Incentive revenue</t>
  </si>
  <si>
    <t>Total allowed income</t>
  </si>
  <si>
    <t>Under/over recovery</t>
  </si>
  <si>
    <t>Excluded</t>
  </si>
  <si>
    <t>Less incentive revenue</t>
  </si>
  <si>
    <t>Total revenue not to share</t>
  </si>
  <si>
    <t>Total revenue to share</t>
  </si>
  <si>
    <t>Step 2.b. Divide cost by units flowing - effectively adjust the cost because of electricity lost as it flows thorugh the network meaning that there is more cost in the lower tiers</t>
  </si>
  <si>
    <t>Split of Tariffs</t>
  </si>
  <si>
    <t>p/kWh</t>
  </si>
  <si>
    <t>Not to be split</t>
  </si>
  <si>
    <t>Income</t>
  </si>
  <si>
    <t>All LV Tariffs</t>
  </si>
  <si>
    <t>HV Tariffs</t>
  </si>
  <si>
    <t>EHV Tariffs</t>
  </si>
  <si>
    <t xml:space="preserve">% by network tier </t>
  </si>
  <si>
    <t>Unallocated</t>
  </si>
  <si>
    <t>Opex and transmission exit charges</t>
  </si>
  <si>
    <t>N/A</t>
  </si>
  <si>
    <t>Weighted Average</t>
  </si>
  <si>
    <t>Weighted Average (after incentive and pension deficit costs removed and weighted by units flowing)</t>
  </si>
  <si>
    <t>Direct cost %</t>
  </si>
  <si>
    <t>Take these data from the February 2005 Ofgem document, not the November 2004 final proposals.</t>
  </si>
  <si>
    <t>The relevant Ofgem document was at http://www.ofgem.gov.uk/Markets/RetMkts/Metrng/Metering/Documents1/9745-5405.pdf</t>
  </si>
  <si>
    <t>Boundary HVplus</t>
  </si>
  <si>
    <t>Boundary EHV</t>
  </si>
  <si>
    <t>Boundary 132kV/EHV</t>
  </si>
  <si>
    <t>Boundary 132kV</t>
  </si>
  <si>
    <t>Boundary 0000</t>
  </si>
  <si>
    <t>HV generation end user</t>
  </si>
  <si>
    <t>HV demand or LV Sub generation end user</t>
  </si>
  <si>
    <t>LV Sub demand or LV generation end user</t>
  </si>
  <si>
    <t>LV demand end user</t>
  </si>
  <si>
    <t>Network levels provided or bypassed by the DNO</t>
  </si>
  <si>
    <t>Weighted by units flowing</t>
  </si>
  <si>
    <t>All EHV</t>
  </si>
  <si>
    <t>Currently 1 for EHV</t>
  </si>
  <si>
    <t>Currently 1 for 132 kV</t>
  </si>
  <si>
    <t>EHV and 132 kV splits</t>
  </si>
  <si>
    <t>Use of different network levels</t>
  </si>
  <si>
    <t>Mains usage percentage</t>
  </si>
  <si>
    <t>EDCM method M MEAV</t>
  </si>
  <si>
    <t>Percentage of all EHV</t>
  </si>
  <si>
    <t>MEAV calculations</t>
  </si>
  <si>
    <t>EHV MEAV proportions</t>
  </si>
  <si>
    <t>Summary of allocation showing separate EHV levels</t>
  </si>
  <si>
    <t>Enter input data in blue shaded areas; do not change anything in yellow shaded areas</t>
  </si>
  <si>
    <t>Calc-Opex</t>
  </si>
  <si>
    <t>Calc-Allocation</t>
  </si>
  <si>
    <t>Calc-Summary</t>
  </si>
  <si>
    <t>EDCM discounts</t>
  </si>
  <si>
    <t>Intermediate step (uncapped discounts)</t>
  </si>
  <si>
    <t>Network levels bypassed by the DNO (all zero)</t>
  </si>
  <si>
    <t>Input data sheets</t>
  </si>
  <si>
    <t>Intermediate calculation sheets</t>
  </si>
  <si>
    <t>Final processing and results sheets</t>
  </si>
  <si>
    <t>Less transmission exit charges</t>
  </si>
  <si>
    <t>Use copy-paste to replace the entire contents of this sheet with your input data if applicable</t>
  </si>
  <si>
    <t>LR1 and LR1 (opt3) formula references</t>
  </si>
  <si>
    <t>Use copy-paste to replace the entire contents of this sheet with your input data if applicable (data were previously in Calc-Net capex)</t>
  </si>
  <si>
    <t>This workbook has been adapted by Reckon LLP on the instructions of the DCUSA Panel or one of its working groups.  Only the DCUSA Panel</t>
  </si>
  <si>
    <t>and its working groups have authority to approve this material as meeting their requirements.  Reckon LLP makes no representation about</t>
  </si>
  <si>
    <t>the suitability of this material for the purposes of complying with any licence conditions or furthering any relevant objective.</t>
  </si>
  <si>
    <t>DCP 117 additional annual income</t>
  </si>
  <si>
    <t>South Wales</t>
  </si>
  <si>
    <t>Finals</t>
  </si>
  <si>
    <t>Index</t>
  </si>
  <si>
    <t>-</t>
  </si>
  <si>
    <t>Increase/Reduction in max demand</t>
  </si>
  <si>
    <t>Increase/Reduction in units distributed</t>
  </si>
  <si>
    <t>0</t>
  </si>
  <si>
    <t>EDFE SPN</t>
  </si>
  <si>
    <t>Expenditure on DSM to avoid general reinforcement</t>
  </si>
  <si>
    <t>Planned reinforce-ment Year</t>
  </si>
  <si>
    <t>33/11</t>
  </si>
  <si>
    <t>a</t>
  </si>
  <si>
    <t>Change 33/11 transformer units to 12/24 and replace 11kV switchboard</t>
  </si>
  <si>
    <t>c</t>
  </si>
  <si>
    <t>Establish new 33kV circuit into Tregaron site.</t>
  </si>
  <si>
    <t>11kV load transfer to Waterton 132/11</t>
  </si>
  <si>
    <t>d</t>
  </si>
  <si>
    <t>Establish 3rd 33kV circuit (cable) to s/s and additional 12/24 transformer &amp; 11kV Swbd Change</t>
  </si>
  <si>
    <t>b</t>
  </si>
  <si>
    <t>Establish 33kV switchboard and 2nd transformer unit.</t>
  </si>
  <si>
    <t>Install 2nd transformer, and 33kV circuit (o/h)</t>
  </si>
  <si>
    <t>a/b</t>
  </si>
  <si>
    <t>Increase 11kV Interconnection between  3 Tx Group</t>
  </si>
  <si>
    <t>Overlay 33kV circuits and install 19/38 MVA 33/11 units</t>
  </si>
  <si>
    <t>Establish new 33kV circuit to Gas Yard, to remove load from  Gas Yard/Nelson 33kV ring.</t>
  </si>
  <si>
    <t>j</t>
  </si>
  <si>
    <t>Establish 66kV bar with bus-section breaker</t>
  </si>
  <si>
    <t>Reconductor front end of 66kV circuits Abergavenny to Crickhowell or apply higher operating Temp/increasing height</t>
  </si>
  <si>
    <t>Increase height to allow higher Op Temp, installation of 11kV Cap Bank Brawdy</t>
  </si>
  <si>
    <t>Install addition 33/11 Tx capacity 11kV interconnection between sites</t>
  </si>
  <si>
    <t>Additional Grid Tx at Rhos or 33 kV circuit uprating</t>
  </si>
  <si>
    <t>f</t>
  </si>
  <si>
    <t>New 33kV tranformer circuit and 33/11kV transformer</t>
  </si>
  <si>
    <t>Transformer change to 19/38 MVA units &amp; 33/11kV Swbd Change</t>
  </si>
  <si>
    <t>Typically smaller schemes. Unidentified larger scheme(s) 2014/15.</t>
  </si>
  <si>
    <t>132/11</t>
  </si>
  <si>
    <t>Establish 132/11kV susbstaion at Abergavenny</t>
  </si>
  <si>
    <t>Establish 132/11kV substation near Pentrebach to deload existing 33kV ccts</t>
  </si>
  <si>
    <t>132/33</t>
  </si>
  <si>
    <t>Establish a second 132/33 transformer</t>
  </si>
  <si>
    <t>Establish second 132/33kv unit and break parallel.</t>
  </si>
  <si>
    <t>Establish new 132/11kV site</t>
  </si>
  <si>
    <t>Unidentified</t>
  </si>
  <si>
    <t>CAUTION - THIS PACK DOES NOT BALANCE</t>
  </si>
  <si>
    <t xml:space="preserve">          Load Related New Connections &amp; Reinforcement</t>
  </si>
  <si>
    <t xml:space="preserve">          Non-load related replacement (Condition based)</t>
  </si>
  <si>
    <t>Redundant operational assets</t>
  </si>
  <si>
    <t>Sales of scrap etc</t>
  </si>
  <si>
    <t>LV Control centre costs (where it remotely controls LV network)</t>
  </si>
  <si>
    <t>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</si>
</sst>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,&quot; m&quot;"/>
    <numFmt numFmtId="166" formatCode="_(??0.0%_);[Red]\(??0.0%\);"/>
    <numFmt numFmtId="167" formatCode="_-* #,##0_-;\-* #,##0_-;_-* &quot;-&quot;??_-;_-@_-"/>
    <numFmt numFmtId="168" formatCode="_(??0.000%_);[Red]\(??0.000%\);_(???_%_)"/>
    <numFmt numFmtId="169" formatCode="\ _(??0.0%_);[Red]\ \(??0.0%\);;@"/>
    <numFmt numFmtId="170" formatCode="0.0"/>
    <numFmt numFmtId="171" formatCode="#,##0_);[Red]\(#,##0\);\-"/>
    <numFmt numFmtId="172" formatCode="0.000"/>
    <numFmt numFmtId="173" formatCode="0;\(0\)"/>
    <numFmt numFmtId="174" formatCode="0;[Red]\(0\);\-"/>
    <numFmt numFmtId="175" formatCode="#,##0.0_);[Red]\(#,##0.0\);\-"/>
    <numFmt numFmtId="176" formatCode="_(* #,##0.0_);_(* \(#,##0.0\);_(* &quot;-&quot;?_);_(@_)"/>
  </numFmts>
  <fonts count="63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u/>
      <sz val="10"/>
      <color theme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G Omega"/>
      <family val="2"/>
    </font>
    <font>
      <b/>
      <sz val="10"/>
      <name val="CG Omega"/>
      <family val="2"/>
    </font>
    <font>
      <sz val="10"/>
      <name val="CG Omega"/>
      <family val="2"/>
    </font>
    <font>
      <sz val="10"/>
      <color indexed="12"/>
      <name val="CG Omega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Verdana"/>
      <family val="2"/>
    </font>
    <font>
      <b/>
      <sz val="16"/>
      <name val="Arial"/>
      <family val="2"/>
    </font>
    <font>
      <b/>
      <sz val="16"/>
      <name val="CG Omega"/>
      <family val="2"/>
    </font>
    <font>
      <b/>
      <sz val="20"/>
      <name val="CG Omega"/>
      <family val="2"/>
    </font>
    <font>
      <b/>
      <sz val="14"/>
      <name val="Arial"/>
      <family val="2"/>
    </font>
    <font>
      <b/>
      <sz val="14"/>
      <name val="CG Omeg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b/>
      <sz val="11"/>
      <name val="CG Omega"/>
      <family val="2"/>
    </font>
    <font>
      <sz val="11"/>
      <color indexed="12"/>
      <name val="CG Omega"/>
      <family val="2"/>
    </font>
    <font>
      <sz val="10"/>
      <color indexed="8"/>
      <name val="Verdana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10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0"/>
      <color indexed="8"/>
      <name val="CG Omega"/>
      <family val="2"/>
    </font>
    <font>
      <b/>
      <sz val="10"/>
      <name val="Verdana"/>
      <family val="2"/>
    </font>
    <font>
      <sz val="8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22"/>
      </patternFill>
    </fill>
  </fills>
  <borders count="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" fillId="0" borderId="0"/>
    <xf numFmtId="0" fontId="27" fillId="0" borderId="0">
      <alignment vertical="top"/>
    </xf>
    <xf numFmtId="0" fontId="40" fillId="0" borderId="0"/>
    <xf numFmtId="0" fontId="2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49" fillId="0" borderId="0" applyFont="0" applyFill="0" applyBorder="0" applyAlignment="0" applyProtection="0"/>
    <xf numFmtId="0" fontId="49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2" fillId="0" borderId="0"/>
    <xf numFmtId="0" fontId="2" fillId="0" borderId="0"/>
  </cellStyleXfs>
  <cellXfs count="1519">
    <xf numFmtId="0" fontId="0" fillId="0" borderId="0" xfId="0"/>
    <xf numFmtId="0" fontId="20" fillId="0" borderId="0" xfId="0" applyFont="1" applyAlignment="1"/>
    <xf numFmtId="0" fontId="22" fillId="0" borderId="0" xfId="0" applyFont="1" applyAlignment="1"/>
    <xf numFmtId="0" fontId="22" fillId="0" borderId="0" xfId="0" quotePrefix="1" applyFont="1" applyAlignment="1"/>
    <xf numFmtId="2" fontId="2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9" borderId="0" xfId="0" applyFont="1" applyFill="1" applyAlignment="1">
      <alignment horizontal="center" vertical="center" wrapText="1"/>
    </xf>
    <xf numFmtId="10" fontId="22" fillId="12" borderId="0" xfId="1" applyNumberFormat="1" applyFont="1" applyFill="1" applyAlignment="1" applyProtection="1">
      <alignment horizontal="center"/>
      <protection locked="0"/>
    </xf>
    <xf numFmtId="166" fontId="22" fillId="12" borderId="0" xfId="0" quotePrefix="1" applyNumberFormat="1" applyFont="1" applyFill="1" applyAlignment="1" applyProtection="1">
      <alignment horizontal="center"/>
      <protection locked="0"/>
    </xf>
    <xf numFmtId="166" fontId="22" fillId="12" borderId="0" xfId="0" applyNumberFormat="1" applyFont="1" applyFill="1" applyAlignment="1" applyProtection="1">
      <alignment horizontal="center"/>
      <protection locked="0"/>
    </xf>
    <xf numFmtId="0" fontId="22" fillId="11" borderId="0" xfId="2" applyNumberFormat="1" applyFont="1" applyFill="1" applyAlignment="1" applyProtection="1">
      <alignment horizontal="center" vertical="center"/>
      <protection locked="0"/>
    </xf>
    <xf numFmtId="167" fontId="22" fillId="11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68" fontId="22" fillId="11" borderId="0" xfId="0" applyNumberFormat="1" applyFont="1" applyFill="1" applyAlignment="1" applyProtection="1">
      <alignment horizontal="center" vertical="center"/>
      <protection locked="0"/>
    </xf>
    <xf numFmtId="0" fontId="20" fillId="9" borderId="0" xfId="0" applyFont="1" applyFill="1" applyAlignment="1">
      <alignment horizontal="left" vertical="center"/>
    </xf>
    <xf numFmtId="164" fontId="22" fillId="0" borderId="0" xfId="1" applyNumberFormat="1" applyFont="1" applyAlignment="1"/>
    <xf numFmtId="165" fontId="22" fillId="0" borderId="0" xfId="1" applyNumberFormat="1" applyFont="1" applyAlignment="1"/>
    <xf numFmtId="17" fontId="22" fillId="0" borderId="0" xfId="0" quotePrefix="1" applyNumberFormat="1" applyFont="1" applyAlignment="1"/>
    <xf numFmtId="0" fontId="20" fillId="9" borderId="0" xfId="0" applyFont="1" applyFill="1" applyAlignment="1">
      <alignment horizontal="center" vertic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22" fillId="0" borderId="0" xfId="0" applyFont="1" applyBorder="1" applyAlignment="1"/>
    <xf numFmtId="0" fontId="22" fillId="0" borderId="17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19" xfId="0" applyFont="1" applyBorder="1" applyAlignment="1"/>
    <xf numFmtId="0" fontId="22" fillId="0" borderId="20" xfId="0" applyFont="1" applyBorder="1" applyAlignment="1"/>
    <xf numFmtId="0" fontId="0" fillId="13" borderId="0" xfId="0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13" xfId="0" applyFont="1" applyBorder="1" applyAlignment="1"/>
    <xf numFmtId="0" fontId="22" fillId="0" borderId="14" xfId="0" applyFont="1" applyBorder="1" applyAlignment="1"/>
    <xf numFmtId="0" fontId="22" fillId="0" borderId="15" xfId="0" applyFont="1" applyBorder="1" applyAlignment="1"/>
    <xf numFmtId="0" fontId="22" fillId="0" borderId="15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49" fontId="22" fillId="10" borderId="0" xfId="0" applyNumberFormat="1" applyFont="1" applyFill="1" applyAlignment="1" applyProtection="1">
      <alignment horizontal="left" vertical="center"/>
      <protection locked="0"/>
    </xf>
    <xf numFmtId="169" fontId="22" fillId="14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165" fontId="22" fillId="14" borderId="0" xfId="1" applyNumberFormat="1" applyFont="1" applyFill="1" applyAlignment="1"/>
    <xf numFmtId="164" fontId="22" fillId="14" borderId="0" xfId="1" applyNumberFormat="1" applyFont="1" applyFill="1" applyAlignment="1"/>
    <xf numFmtId="0" fontId="22" fillId="0" borderId="0" xfId="0" applyFont="1"/>
    <xf numFmtId="0" fontId="20" fillId="15" borderId="0" xfId="0" applyFont="1" applyFill="1" applyAlignment="1">
      <alignment horizontal="left" vertical="center"/>
    </xf>
    <xf numFmtId="169" fontId="22" fillId="16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9" fontId="22" fillId="17" borderId="0" xfId="1" applyNumberFormat="1" applyFont="1" applyFill="1" applyAlignment="1" applyProtection="1">
      <alignment horizontal="center" vertical="center"/>
    </xf>
    <xf numFmtId="4" fontId="0" fillId="0" borderId="0" xfId="0" applyNumberFormat="1"/>
    <xf numFmtId="4" fontId="25" fillId="0" borderId="0" xfId="0" applyNumberFormat="1" applyFont="1"/>
    <xf numFmtId="4" fontId="25" fillId="0" borderId="0" xfId="0" applyNumberFormat="1" applyFont="1" applyFill="1"/>
    <xf numFmtId="0" fontId="25" fillId="0" borderId="0" xfId="0" applyFont="1" applyFill="1"/>
    <xf numFmtId="0" fontId="25" fillId="0" borderId="0" xfId="0" applyFont="1"/>
    <xf numFmtId="0" fontId="19" fillId="0" borderId="0" xfId="67" applyAlignment="1" applyProtection="1"/>
    <xf numFmtId="0" fontId="0" fillId="0" borderId="0" xfId="0" applyAlignment="1">
      <alignment vertical="center"/>
    </xf>
    <xf numFmtId="1" fontId="28" fillId="0" borderId="24" xfId="68" applyNumberFormat="1" applyFont="1" applyBorder="1" applyAlignment="1" applyProtection="1">
      <alignment horizontal="center" vertical="center" wrapText="1"/>
    </xf>
    <xf numFmtId="1" fontId="28" fillId="0" borderId="28" xfId="68" applyNumberFormat="1" applyFont="1" applyBorder="1" applyAlignment="1" applyProtection="1">
      <alignment horizontal="center" vertical="center" wrapText="1"/>
    </xf>
    <xf numFmtId="0" fontId="25" fillId="0" borderId="34" xfId="69" applyFont="1" applyBorder="1" applyAlignment="1" applyProtection="1">
      <alignment horizontal="center" vertical="center" wrapText="1"/>
    </xf>
    <xf numFmtId="0" fontId="25" fillId="0" borderId="35" xfId="69" applyFont="1" applyBorder="1" applyAlignment="1" applyProtection="1">
      <alignment horizontal="center" vertical="center" wrapText="1"/>
    </xf>
    <xf numFmtId="0" fontId="25" fillId="0" borderId="36" xfId="69" applyFont="1" applyBorder="1" applyAlignment="1" applyProtection="1">
      <alignment horizontal="center" vertical="center" wrapText="1"/>
    </xf>
    <xf numFmtId="0" fontId="25" fillId="0" borderId="37" xfId="69" applyFont="1" applyBorder="1" applyAlignment="1" applyProtection="1">
      <alignment horizontal="center" vertical="center" wrapText="1"/>
    </xf>
    <xf numFmtId="0" fontId="25" fillId="0" borderId="38" xfId="69" applyFont="1" applyBorder="1" applyAlignment="1" applyProtection="1">
      <alignment horizontal="center" vertical="center" wrapText="1"/>
    </xf>
    <xf numFmtId="0" fontId="25" fillId="0" borderId="39" xfId="69" applyFont="1" applyBorder="1" applyAlignment="1" applyProtection="1">
      <alignment horizontal="center" vertical="center" wrapText="1"/>
    </xf>
    <xf numFmtId="0" fontId="25" fillId="0" borderId="40" xfId="69" applyFont="1" applyBorder="1" applyAlignment="1" applyProtection="1">
      <alignment horizontal="center" vertical="center" wrapText="1"/>
    </xf>
    <xf numFmtId="1" fontId="29" fillId="0" borderId="27" xfId="68" applyNumberFormat="1" applyFont="1" applyFill="1" applyBorder="1" applyAlignment="1" applyProtection="1">
      <alignment vertical="center"/>
    </xf>
    <xf numFmtId="0" fontId="28" fillId="0" borderId="0" xfId="68" applyFont="1" applyBorder="1" applyAlignment="1" applyProtection="1">
      <alignment vertical="center"/>
    </xf>
    <xf numFmtId="0" fontId="29" fillId="0" borderId="0" xfId="68" applyFont="1" applyBorder="1" applyAlignment="1" applyProtection="1">
      <alignment vertical="center"/>
    </xf>
    <xf numFmtId="1" fontId="29" fillId="0" borderId="24" xfId="68" applyNumberFormat="1" applyFont="1" applyFill="1" applyBorder="1" applyAlignment="1" applyProtection="1">
      <alignment horizontal="center" vertical="center"/>
    </xf>
    <xf numFmtId="1" fontId="29" fillId="0" borderId="41" xfId="68" applyNumberFormat="1" applyFont="1" applyFill="1" applyBorder="1" applyAlignment="1" applyProtection="1">
      <alignment horizontal="center" vertical="center"/>
    </xf>
    <xf numFmtId="1" fontId="29" fillId="0" borderId="42" xfId="68" applyNumberFormat="1" applyFont="1" applyFill="1" applyBorder="1" applyAlignment="1" applyProtection="1">
      <alignment horizontal="center" vertical="center"/>
    </xf>
    <xf numFmtId="1" fontId="29" fillId="0" borderId="43" xfId="68" applyNumberFormat="1" applyFont="1" applyFill="1" applyBorder="1" applyAlignment="1" applyProtection="1">
      <alignment horizontal="center" vertical="center"/>
    </xf>
    <xf numFmtId="1" fontId="29" fillId="0" borderId="29" xfId="68" applyNumberFormat="1" applyFont="1" applyFill="1" applyBorder="1" applyAlignment="1" applyProtection="1">
      <alignment horizontal="center" vertical="center"/>
    </xf>
    <xf numFmtId="1" fontId="29" fillId="0" borderId="44" xfId="68" applyNumberFormat="1" applyFont="1" applyFill="1" applyBorder="1" applyAlignment="1" applyProtection="1">
      <alignment horizontal="center" vertical="center"/>
    </xf>
    <xf numFmtId="1" fontId="29" fillId="0" borderId="45" xfId="68" applyNumberFormat="1" applyFont="1" applyFill="1" applyBorder="1" applyAlignment="1" applyProtection="1">
      <alignment horizontal="center" vertical="center"/>
    </xf>
    <xf numFmtId="1" fontId="29" fillId="0" borderId="16" xfId="68" applyNumberFormat="1" applyFont="1" applyFill="1" applyBorder="1" applyAlignment="1" applyProtection="1">
      <alignment horizontal="center" vertical="center"/>
    </xf>
    <xf numFmtId="170" fontId="29" fillId="0" borderId="29" xfId="68" applyNumberFormat="1" applyFont="1" applyFill="1" applyBorder="1" applyAlignment="1" applyProtection="1">
      <alignment horizontal="center" vertical="center"/>
    </xf>
    <xf numFmtId="0" fontId="29" fillId="0" borderId="27" xfId="68" applyFont="1" applyBorder="1" applyAlignment="1" applyProtection="1">
      <alignment vertical="center"/>
    </xf>
    <xf numFmtId="171" fontId="28" fillId="18" borderId="38" xfId="68" applyNumberFormat="1" applyFont="1" applyFill="1" applyBorder="1" applyAlignment="1" applyProtection="1">
      <alignment horizontal="center"/>
    </xf>
    <xf numFmtId="171" fontId="29" fillId="0" borderId="46" xfId="68" applyNumberFormat="1" applyFont="1" applyFill="1" applyBorder="1" applyAlignment="1" applyProtection="1">
      <alignment horizontal="center"/>
    </xf>
    <xf numFmtId="171" fontId="29" fillId="0" borderId="47" xfId="68" applyNumberFormat="1" applyFont="1" applyFill="1" applyBorder="1" applyAlignment="1" applyProtection="1">
      <alignment horizontal="center"/>
    </xf>
    <xf numFmtId="170" fontId="30" fillId="19" borderId="38" xfId="68" applyNumberFormat="1" applyFont="1" applyFill="1" applyBorder="1" applyAlignment="1" applyProtection="1">
      <alignment horizontal="center"/>
      <protection locked="0"/>
    </xf>
    <xf numFmtId="171" fontId="29" fillId="0" borderId="10" xfId="68" applyNumberFormat="1" applyFont="1" applyFill="1" applyBorder="1" applyAlignment="1" applyProtection="1">
      <alignment horizontal="center"/>
    </xf>
    <xf numFmtId="171" fontId="28" fillId="0" borderId="29" xfId="68" applyNumberFormat="1" applyFont="1" applyFill="1" applyBorder="1" applyAlignment="1" applyProtection="1">
      <alignment horizontal="center"/>
    </xf>
    <xf numFmtId="171" fontId="29" fillId="0" borderId="44" xfId="68" applyNumberFormat="1" applyFont="1" applyFill="1" applyBorder="1" applyAlignment="1" applyProtection="1">
      <alignment horizontal="center"/>
    </xf>
    <xf numFmtId="171" fontId="29" fillId="0" borderId="45" xfId="68" applyNumberFormat="1" applyFont="1" applyFill="1" applyBorder="1" applyAlignment="1" applyProtection="1">
      <alignment horizontal="center"/>
    </xf>
    <xf numFmtId="171" fontId="29" fillId="0" borderId="16" xfId="68" applyNumberFormat="1" applyFont="1" applyFill="1" applyBorder="1" applyAlignment="1" applyProtection="1">
      <alignment horizontal="center"/>
    </xf>
    <xf numFmtId="170" fontId="29" fillId="0" borderId="29" xfId="68" applyNumberFormat="1" applyFont="1" applyFill="1" applyBorder="1" applyAlignment="1" applyProtection="1">
      <alignment horizontal="center"/>
      <protection locked="0"/>
    </xf>
    <xf numFmtId="1" fontId="28" fillId="0" borderId="30" xfId="68" applyNumberFormat="1" applyFont="1" applyBorder="1" applyAlignment="1" applyProtection="1">
      <alignment vertical="center"/>
    </xf>
    <xf numFmtId="1" fontId="28" fillId="0" borderId="31" xfId="68" applyNumberFormat="1" applyFont="1" applyBorder="1" applyAlignment="1" applyProtection="1">
      <alignment vertical="center"/>
    </xf>
    <xf numFmtId="171" fontId="30" fillId="0" borderId="33" xfId="68" applyNumberFormat="1" applyFont="1" applyFill="1" applyBorder="1" applyAlignment="1" applyProtection="1">
      <alignment horizontal="center"/>
    </xf>
    <xf numFmtId="171" fontId="29" fillId="0" borderId="48" xfId="68" applyNumberFormat="1" applyFont="1" applyFill="1" applyBorder="1" applyAlignment="1" applyProtection="1">
      <alignment horizontal="center"/>
    </xf>
    <xf numFmtId="171" fontId="29" fillId="0" borderId="49" xfId="68" applyNumberFormat="1" applyFont="1" applyFill="1" applyBorder="1" applyAlignment="1" applyProtection="1">
      <alignment horizontal="center"/>
    </xf>
    <xf numFmtId="171" fontId="29" fillId="0" borderId="50" xfId="68" applyNumberFormat="1" applyFont="1" applyFill="1" applyBorder="1" applyAlignment="1" applyProtection="1">
      <alignment horizontal="center"/>
    </xf>
    <xf numFmtId="171" fontId="29" fillId="0" borderId="33" xfId="68" applyNumberFormat="1" applyFont="1" applyFill="1" applyBorder="1" applyAlignment="1" applyProtection="1">
      <alignment horizontal="center"/>
    </xf>
    <xf numFmtId="170" fontId="30" fillId="0" borderId="33" xfId="68" applyNumberFormat="1" applyFont="1" applyFill="1" applyBorder="1" applyAlignment="1" applyProtection="1">
      <alignment horizontal="center"/>
      <protection locked="0"/>
    </xf>
    <xf numFmtId="0" fontId="29" fillId="0" borderId="21" xfId="68" applyFont="1" applyBorder="1" applyAlignment="1" applyProtection="1">
      <alignment vertical="center"/>
    </xf>
    <xf numFmtId="0" fontId="28" fillId="0" borderId="22" xfId="68" applyFont="1" applyBorder="1" applyAlignment="1" applyProtection="1">
      <alignment vertical="center"/>
    </xf>
    <xf numFmtId="0" fontId="29" fillId="0" borderId="0" xfId="70" applyFont="1" applyAlignment="1" applyProtection="1">
      <alignment vertical="center"/>
    </xf>
    <xf numFmtId="171" fontId="28" fillId="0" borderId="24" xfId="68" applyNumberFormat="1" applyFont="1" applyFill="1" applyBorder="1" applyAlignment="1" applyProtection="1">
      <alignment horizontal="center"/>
    </xf>
    <xf numFmtId="171" fontId="29" fillId="0" borderId="41" xfId="68" applyNumberFormat="1" applyFont="1" applyFill="1" applyBorder="1" applyAlignment="1" applyProtection="1">
      <alignment horizontal="center"/>
    </xf>
    <xf numFmtId="171" fontId="29" fillId="0" borderId="42" xfId="68" applyNumberFormat="1" applyFont="1" applyFill="1" applyBorder="1" applyAlignment="1" applyProtection="1">
      <alignment horizontal="center"/>
    </xf>
    <xf numFmtId="171" fontId="29" fillId="0" borderId="43" xfId="68" applyNumberFormat="1" applyFont="1" applyFill="1" applyBorder="1" applyAlignment="1" applyProtection="1">
      <alignment horizontal="center"/>
    </xf>
    <xf numFmtId="170" fontId="29" fillId="0" borderId="24" xfId="68" applyNumberFormat="1" applyFont="1" applyFill="1" applyBorder="1" applyAlignment="1" applyProtection="1">
      <alignment horizontal="center"/>
      <protection locked="0"/>
    </xf>
    <xf numFmtId="170" fontId="30" fillId="0" borderId="33" xfId="68" applyNumberFormat="1" applyFont="1" applyFill="1" applyBorder="1" applyAlignment="1" applyProtection="1">
      <alignment horizontal="center"/>
    </xf>
    <xf numFmtId="0" fontId="31" fillId="0" borderId="0" xfId="0" applyFont="1" applyAlignment="1">
      <alignment vertical="center"/>
    </xf>
    <xf numFmtId="0" fontId="19" fillId="0" borderId="0" xfId="67" applyAlignment="1" applyProtection="1">
      <alignment vertical="center"/>
    </xf>
    <xf numFmtId="0" fontId="32" fillId="0" borderId="0" xfId="0" applyFont="1" applyAlignment="1">
      <alignment vertical="center"/>
    </xf>
    <xf numFmtId="0" fontId="32" fillId="0" borderId="0" xfId="69" applyFont="1" applyAlignment="1" applyProtection="1">
      <alignment vertical="center"/>
    </xf>
    <xf numFmtId="0" fontId="31" fillId="0" borderId="0" xfId="69" applyFont="1" applyAlignment="1" applyProtection="1">
      <alignment vertical="center"/>
    </xf>
    <xf numFmtId="0" fontId="32" fillId="0" borderId="0" xfId="69" applyFont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0" fontId="31" fillId="0" borderId="52" xfId="69" applyFont="1" applyBorder="1" applyAlignment="1" applyProtection="1">
      <alignment horizontal="centerContinuous" vertical="center"/>
    </xf>
    <xf numFmtId="0" fontId="31" fillId="0" borderId="53" xfId="69" applyFont="1" applyBorder="1" applyAlignment="1" applyProtection="1">
      <alignment horizontal="centerContinuous" vertical="center"/>
    </xf>
    <xf numFmtId="0" fontId="32" fillId="0" borderId="54" xfId="69" applyFont="1" applyBorder="1" applyAlignment="1" applyProtection="1">
      <alignment horizontal="centerContinuous" vertical="center"/>
    </xf>
    <xf numFmtId="0" fontId="32" fillId="0" borderId="53" xfId="69" applyFont="1" applyBorder="1" applyAlignment="1" applyProtection="1">
      <alignment horizontal="centerContinuous" vertical="center"/>
    </xf>
    <xf numFmtId="0" fontId="31" fillId="0" borderId="55" xfId="69" applyFont="1" applyBorder="1" applyAlignment="1" applyProtection="1">
      <alignment horizontal="centerContinuous" vertical="center"/>
    </xf>
    <xf numFmtId="0" fontId="31" fillId="0" borderId="56" xfId="69" applyFont="1" applyBorder="1" applyAlignment="1" applyProtection="1">
      <alignment horizontal="centerContinuous" vertical="center"/>
    </xf>
    <xf numFmtId="0" fontId="31" fillId="0" borderId="57" xfId="69" applyFont="1" applyBorder="1" applyAlignment="1" applyProtection="1">
      <alignment horizontal="centerContinuous" vertical="center"/>
    </xf>
    <xf numFmtId="0" fontId="31" fillId="0" borderId="58" xfId="69" applyFont="1" applyBorder="1" applyAlignment="1" applyProtection="1">
      <alignment horizontal="center" vertical="center" wrapText="1"/>
    </xf>
    <xf numFmtId="0" fontId="31" fillId="0" borderId="60" xfId="69" applyFont="1" applyBorder="1" applyAlignment="1" applyProtection="1">
      <alignment horizontal="center" vertical="center" wrapText="1"/>
    </xf>
    <xf numFmtId="0" fontId="31" fillId="0" borderId="59" xfId="69" applyFont="1" applyBorder="1" applyAlignment="1" applyProtection="1">
      <alignment horizontal="center" vertical="center" wrapText="1"/>
    </xf>
    <xf numFmtId="0" fontId="31" fillId="0" borderId="20" xfId="69" applyFont="1" applyBorder="1" applyAlignment="1" applyProtection="1">
      <alignment horizontal="center" vertical="center" wrapText="1"/>
    </xf>
    <xf numFmtId="0" fontId="31" fillId="0" borderId="46" xfId="69" applyFont="1" applyBorder="1" applyAlignment="1" applyProtection="1">
      <alignment horizontal="center" vertical="center" wrapText="1"/>
    </xf>
    <xf numFmtId="0" fontId="31" fillId="0" borderId="47" xfId="69" applyFont="1" applyBorder="1" applyAlignment="1" applyProtection="1">
      <alignment horizontal="center" vertical="center" wrapText="1"/>
    </xf>
    <xf numFmtId="0" fontId="31" fillId="0" borderId="61" xfId="69" applyFont="1" applyBorder="1" applyAlignment="1" applyProtection="1">
      <alignment horizontal="center" vertical="center" wrapText="1"/>
    </xf>
    <xf numFmtId="0" fontId="32" fillId="0" borderId="27" xfId="69" applyFont="1" applyBorder="1" applyAlignment="1" applyProtection="1">
      <alignment vertical="center"/>
    </xf>
    <xf numFmtId="0" fontId="32" fillId="0" borderId="62" xfId="69" applyNumberFormat="1" applyFont="1" applyBorder="1" applyAlignment="1" applyProtection="1">
      <alignment horizontal="center" vertical="center" wrapText="1"/>
    </xf>
    <xf numFmtId="170" fontId="2" fillId="0" borderId="58" xfId="69" applyNumberFormat="1" applyFont="1" applyFill="1" applyBorder="1" applyAlignment="1" applyProtection="1">
      <alignment horizontal="center" vertical="center"/>
    </xf>
    <xf numFmtId="170" fontId="2" fillId="0" borderId="20" xfId="69" applyNumberFormat="1" applyFont="1" applyFill="1" applyBorder="1" applyAlignment="1" applyProtection="1">
      <alignment horizontal="center" vertical="center"/>
    </xf>
    <xf numFmtId="170" fontId="2" fillId="0" borderId="59" xfId="69" applyNumberFormat="1" applyFont="1" applyFill="1" applyBorder="1" applyAlignment="1" applyProtection="1">
      <alignment horizontal="center" vertical="center"/>
    </xf>
    <xf numFmtId="170" fontId="2" fillId="0" borderId="60" xfId="69" applyNumberFormat="1" applyFont="1" applyFill="1" applyBorder="1" applyAlignment="1" applyProtection="1">
      <alignment horizontal="center" vertical="center"/>
    </xf>
    <xf numFmtId="0" fontId="2" fillId="0" borderId="0" xfId="69" applyProtection="1"/>
    <xf numFmtId="170" fontId="2" fillId="18" borderId="46" xfId="69" applyNumberFormat="1" applyFill="1" applyBorder="1" applyAlignment="1" applyProtection="1">
      <alignment horizontal="center" vertical="center"/>
    </xf>
    <xf numFmtId="170" fontId="2" fillId="18" borderId="47" xfId="69" applyNumberFormat="1" applyFill="1" applyBorder="1" applyAlignment="1" applyProtection="1">
      <alignment horizontal="center" vertical="center"/>
    </xf>
    <xf numFmtId="170" fontId="2" fillId="18" borderId="61" xfId="69" applyNumberFormat="1" applyFill="1" applyBorder="1" applyAlignment="1" applyProtection="1">
      <alignment horizontal="center" vertical="center"/>
    </xf>
    <xf numFmtId="0" fontId="0" fillId="0" borderId="0" xfId="0" applyProtection="1"/>
    <xf numFmtId="164" fontId="2" fillId="18" borderId="61" xfId="1" applyNumberFormat="1" applyFont="1" applyFill="1" applyBorder="1" applyAlignment="1" applyProtection="1">
      <alignment horizontal="center" vertical="center"/>
    </xf>
    <xf numFmtId="170" fontId="2" fillId="0" borderId="46" xfId="69" applyNumberFormat="1" applyFont="1" applyFill="1" applyBorder="1" applyAlignment="1" applyProtection="1">
      <alignment horizontal="center" vertical="center"/>
    </xf>
    <xf numFmtId="170" fontId="2" fillId="0" borderId="12" xfId="69" applyNumberFormat="1" applyFont="1" applyFill="1" applyBorder="1" applyAlignment="1" applyProtection="1">
      <alignment horizontal="center" vertical="center"/>
    </xf>
    <xf numFmtId="170" fontId="2" fillId="0" borderId="61" xfId="69" applyNumberFormat="1" applyFont="1" applyFill="1" applyBorder="1" applyAlignment="1" applyProtection="1">
      <alignment horizontal="center" vertical="center"/>
    </xf>
    <xf numFmtId="170" fontId="2" fillId="0" borderId="47" xfId="69" applyNumberFormat="1" applyFont="1" applyFill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vertical="center" wrapText="1"/>
    </xf>
    <xf numFmtId="170" fontId="25" fillId="18" borderId="46" xfId="69" applyNumberFormat="1" applyFont="1" applyFill="1" applyBorder="1" applyAlignment="1" applyProtection="1">
      <alignment horizontal="center" vertical="center"/>
    </xf>
    <xf numFmtId="170" fontId="25" fillId="18" borderId="47" xfId="69" applyNumberFormat="1" applyFont="1" applyFill="1" applyBorder="1" applyAlignment="1" applyProtection="1">
      <alignment horizontal="center" vertical="center"/>
    </xf>
    <xf numFmtId="170" fontId="25" fillId="18" borderId="61" xfId="69" applyNumberFormat="1" applyFont="1" applyFill="1" applyBorder="1" applyAlignment="1" applyProtection="1">
      <alignment horizontal="center" vertical="center"/>
    </xf>
    <xf numFmtId="170" fontId="25" fillId="18" borderId="12" xfId="69" applyNumberFormat="1" applyFont="1" applyFill="1" applyBorder="1" applyAlignment="1" applyProtection="1">
      <alignment horizontal="center" vertical="center"/>
    </xf>
    <xf numFmtId="0" fontId="32" fillId="0" borderId="30" xfId="69" applyFont="1" applyBorder="1" applyAlignment="1" applyProtection="1">
      <alignment vertical="center" wrapText="1"/>
    </xf>
    <xf numFmtId="0" fontId="32" fillId="0" borderId="63" xfId="69" applyNumberFormat="1" applyFont="1" applyBorder="1" applyAlignment="1" applyProtection="1">
      <alignment horizontal="center" vertical="center" wrapText="1"/>
    </xf>
    <xf numFmtId="170" fontId="25" fillId="18" borderId="36" xfId="69" applyNumberFormat="1" applyFont="1" applyFill="1" applyBorder="1" applyAlignment="1" applyProtection="1">
      <alignment horizontal="center" vertical="center"/>
    </xf>
    <xf numFmtId="170" fontId="25" fillId="18" borderId="35" xfId="69" applyNumberFormat="1" applyFont="1" applyFill="1" applyBorder="1" applyAlignment="1" applyProtection="1">
      <alignment horizontal="center" vertical="center"/>
    </xf>
    <xf numFmtId="170" fontId="25" fillId="18" borderId="39" xfId="69" applyNumberFormat="1" applyFont="1" applyFill="1" applyBorder="1" applyAlignment="1" applyProtection="1">
      <alignment horizontal="center" vertical="center"/>
    </xf>
    <xf numFmtId="170" fontId="25" fillId="18" borderId="34" xfId="69" applyNumberFormat="1" applyFont="1" applyFill="1" applyBorder="1" applyAlignment="1" applyProtection="1">
      <alignment horizontal="center" vertical="center"/>
    </xf>
    <xf numFmtId="170" fontId="2" fillId="18" borderId="36" xfId="69" applyNumberFormat="1" applyFill="1" applyBorder="1" applyAlignment="1" applyProtection="1">
      <alignment horizontal="center" vertical="center"/>
    </xf>
    <xf numFmtId="170" fontId="2" fillId="18" borderId="35" xfId="69" applyNumberFormat="1" applyFill="1" applyBorder="1" applyAlignment="1" applyProtection="1">
      <alignment horizontal="center" vertical="center"/>
    </xf>
    <xf numFmtId="170" fontId="2" fillId="18" borderId="39" xfId="69" applyNumberFormat="1" applyFill="1" applyBorder="1" applyAlignment="1" applyProtection="1">
      <alignment horizontal="center" vertical="center"/>
    </xf>
    <xf numFmtId="164" fontId="2" fillId="18" borderId="39" xfId="1" applyNumberFormat="1" applyFont="1" applyFill="1" applyBorder="1" applyAlignment="1" applyProtection="1">
      <alignment horizontal="center" vertical="center"/>
    </xf>
    <xf numFmtId="0" fontId="2" fillId="0" borderId="0" xfId="69" applyAlignment="1" applyProtection="1">
      <alignment horizontal="center" vertical="center"/>
    </xf>
    <xf numFmtId="0" fontId="25" fillId="0" borderId="52" xfId="69" applyFont="1" applyBorder="1" applyAlignment="1" applyProtection="1">
      <alignment horizontal="centerContinuous" vertical="center"/>
    </xf>
    <xf numFmtId="0" fontId="25" fillId="0" borderId="53" xfId="69" applyFont="1" applyBorder="1" applyAlignment="1" applyProtection="1">
      <alignment horizontal="centerContinuous" vertical="center"/>
    </xf>
    <xf numFmtId="0" fontId="2" fillId="0" borderId="54" xfId="69" applyBorder="1" applyAlignment="1" applyProtection="1">
      <alignment horizontal="centerContinuous" vertical="center"/>
    </xf>
    <xf numFmtId="0" fontId="2" fillId="0" borderId="53" xfId="69" applyBorder="1" applyAlignment="1" applyProtection="1">
      <alignment horizontal="centerContinuous" vertical="center"/>
    </xf>
    <xf numFmtId="0" fontId="25" fillId="0" borderId="58" xfId="69" applyFont="1" applyBorder="1" applyAlignment="1" applyProtection="1">
      <alignment horizontal="center" vertical="center" wrapText="1"/>
    </xf>
    <xf numFmtId="0" fontId="25" fillId="0" borderId="60" xfId="69" applyFont="1" applyBorder="1" applyAlignment="1" applyProtection="1">
      <alignment horizontal="center" vertical="center" wrapText="1"/>
    </xf>
    <xf numFmtId="0" fontId="25" fillId="0" borderId="59" xfId="69" applyFont="1" applyBorder="1" applyAlignment="1" applyProtection="1">
      <alignment horizontal="center" vertical="center" wrapText="1"/>
    </xf>
    <xf numFmtId="0" fontId="25" fillId="0" borderId="20" xfId="69" applyFont="1" applyBorder="1" applyAlignment="1" applyProtection="1">
      <alignment horizontal="center" vertical="center" wrapText="1"/>
    </xf>
    <xf numFmtId="0" fontId="31" fillId="0" borderId="44" xfId="69" applyFont="1" applyBorder="1" applyAlignment="1" applyProtection="1">
      <alignment horizontal="left" vertical="center"/>
    </xf>
    <xf numFmtId="0" fontId="32" fillId="0" borderId="62" xfId="69" applyFont="1" applyFill="1" applyBorder="1" applyAlignment="1" applyProtection="1">
      <alignment horizontal="center" vertical="center"/>
    </xf>
    <xf numFmtId="0" fontId="2" fillId="0" borderId="64" xfId="69" applyFill="1" applyBorder="1" applyAlignment="1" applyProtection="1">
      <alignment horizontal="center" vertical="center"/>
    </xf>
    <xf numFmtId="0" fontId="2" fillId="0" borderId="19" xfId="69" applyFill="1" applyBorder="1" applyAlignment="1" applyProtection="1">
      <alignment horizontal="center" vertical="center"/>
    </xf>
    <xf numFmtId="0" fontId="2" fillId="0" borderId="65" xfId="69" applyFill="1" applyBorder="1" applyAlignment="1" applyProtection="1">
      <alignment horizontal="center" vertical="center"/>
    </xf>
    <xf numFmtId="0" fontId="31" fillId="0" borderId="44" xfId="69" applyFont="1" applyBorder="1" applyAlignment="1" applyProtection="1">
      <alignment horizontal="left" vertical="center" wrapText="1"/>
    </xf>
    <xf numFmtId="170" fontId="2" fillId="19" borderId="46" xfId="69" applyNumberFormat="1" applyFont="1" applyFill="1" applyBorder="1" applyAlignment="1" applyProtection="1">
      <alignment horizontal="center" vertical="center"/>
      <protection locked="0"/>
    </xf>
    <xf numFmtId="0" fontId="32" fillId="0" borderId="44" xfId="69" applyFont="1" applyBorder="1" applyAlignment="1" applyProtection="1">
      <alignment horizontal="left" vertical="center" wrapText="1"/>
    </xf>
    <xf numFmtId="170" fontId="33" fillId="19" borderId="46" xfId="69" applyNumberFormat="1" applyFont="1" applyFill="1" applyBorder="1" applyAlignment="1" applyProtection="1">
      <alignment horizontal="center" vertical="center"/>
      <protection locked="0"/>
    </xf>
    <xf numFmtId="170" fontId="33" fillId="19" borderId="12" xfId="69" applyNumberFormat="1" applyFont="1" applyFill="1" applyBorder="1" applyAlignment="1" applyProtection="1">
      <alignment horizontal="center" vertical="center"/>
      <protection locked="0"/>
    </xf>
    <xf numFmtId="170" fontId="33" fillId="19" borderId="61" xfId="69" applyNumberFormat="1" applyFont="1" applyFill="1" applyBorder="1" applyAlignment="1" applyProtection="1">
      <alignment horizontal="center" vertical="center"/>
      <protection locked="0"/>
    </xf>
    <xf numFmtId="170" fontId="33" fillId="19" borderId="47" xfId="69" applyNumberFormat="1" applyFont="1" applyFill="1" applyBorder="1" applyAlignment="1" applyProtection="1">
      <alignment horizontal="center" vertical="center"/>
      <protection locked="0"/>
    </xf>
    <xf numFmtId="0" fontId="32" fillId="0" borderId="62" xfId="69" applyNumberFormat="1" applyFont="1" applyBorder="1" applyAlignment="1" applyProtection="1">
      <alignment horizontal="center" vertical="center"/>
    </xf>
    <xf numFmtId="0" fontId="2" fillId="0" borderId="66" xfId="69" applyBorder="1" applyAlignment="1" applyProtection="1">
      <alignment horizontal="center" vertical="center"/>
    </xf>
    <xf numFmtId="0" fontId="2" fillId="0" borderId="14" xfId="69" applyBorder="1" applyAlignment="1" applyProtection="1">
      <alignment horizontal="center" vertical="center"/>
    </xf>
    <xf numFmtId="0" fontId="2" fillId="0" borderId="67" xfId="69" applyBorder="1" applyAlignment="1" applyProtection="1">
      <alignment horizontal="center" vertical="center"/>
    </xf>
    <xf numFmtId="0" fontId="31" fillId="0" borderId="27" xfId="69" applyFont="1" applyBorder="1" applyAlignment="1" applyProtection="1">
      <alignment horizontal="left" vertical="center" wrapText="1"/>
    </xf>
    <xf numFmtId="0" fontId="32" fillId="0" borderId="27" xfId="69" applyFont="1" applyBorder="1" applyAlignment="1" applyProtection="1">
      <alignment horizontal="left" vertical="center" wrapText="1"/>
    </xf>
    <xf numFmtId="0" fontId="2" fillId="0" borderId="27" xfId="69" applyBorder="1" applyAlignment="1" applyProtection="1">
      <alignment horizontal="center" vertical="center"/>
    </xf>
    <xf numFmtId="0" fontId="2" fillId="0" borderId="0" xfId="69" applyBorder="1" applyAlignment="1" applyProtection="1">
      <alignment horizontal="center" vertical="center"/>
    </xf>
    <xf numFmtId="0" fontId="2" fillId="0" borderId="28" xfId="69" applyBorder="1" applyAlignment="1" applyProtection="1">
      <alignment horizontal="center" vertical="center"/>
    </xf>
    <xf numFmtId="0" fontId="2" fillId="0" borderId="64" xfId="69" applyBorder="1" applyProtection="1"/>
    <xf numFmtId="0" fontId="2" fillId="0" borderId="19" xfId="69" applyBorder="1" applyProtection="1"/>
    <xf numFmtId="0" fontId="2" fillId="0" borderId="65" xfId="69" applyBorder="1" applyProtection="1"/>
    <xf numFmtId="0" fontId="31" fillId="0" borderId="30" xfId="69" applyFont="1" applyBorder="1" applyAlignment="1" applyProtection="1">
      <alignment horizontal="left" vertical="center" wrapText="1"/>
    </xf>
    <xf numFmtId="0" fontId="34" fillId="0" borderId="0" xfId="0" applyFont="1" applyProtection="1"/>
    <xf numFmtId="0" fontId="31" fillId="0" borderId="44" xfId="69" applyFont="1" applyBorder="1" applyAlignment="1" applyProtection="1">
      <alignment vertical="center"/>
    </xf>
    <xf numFmtId="0" fontId="31" fillId="0" borderId="16" xfId="69" applyFont="1" applyBorder="1" applyAlignment="1" applyProtection="1">
      <alignment horizontal="center" vertical="center"/>
    </xf>
    <xf numFmtId="0" fontId="25" fillId="0" borderId="66" xfId="69" applyFont="1" applyBorder="1" applyAlignment="1" applyProtection="1">
      <alignment horizontal="center" vertical="center"/>
    </xf>
    <xf numFmtId="0" fontId="25" fillId="0" borderId="14" xfId="69" applyFont="1" applyBorder="1" applyAlignment="1" applyProtection="1">
      <alignment horizontal="center" vertical="center"/>
    </xf>
    <xf numFmtId="0" fontId="25" fillId="0" borderId="67" xfId="69" applyFont="1" applyBorder="1" applyAlignment="1" applyProtection="1">
      <alignment horizontal="center" vertical="center"/>
    </xf>
    <xf numFmtId="0" fontId="0" fillId="0" borderId="0" xfId="0" applyBorder="1" applyProtection="1"/>
    <xf numFmtId="0" fontId="32" fillId="0" borderId="16" xfId="69" applyNumberFormat="1" applyFont="1" applyBorder="1" applyAlignment="1" applyProtection="1">
      <alignment horizontal="center" vertical="center" wrapText="1"/>
    </xf>
    <xf numFmtId="0" fontId="25" fillId="0" borderId="27" xfId="69" applyFont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horizontal="center" vertical="center"/>
    </xf>
    <xf numFmtId="0" fontId="25" fillId="0" borderId="28" xfId="69" applyFont="1" applyBorder="1" applyAlignment="1" applyProtection="1">
      <alignment horizontal="center" vertical="center"/>
    </xf>
    <xf numFmtId="1" fontId="33" fillId="19" borderId="46" xfId="69" applyNumberFormat="1" applyFont="1" applyFill="1" applyBorder="1" applyAlignment="1" applyProtection="1">
      <alignment horizontal="center" vertical="center"/>
      <protection locked="0"/>
    </xf>
    <xf numFmtId="1" fontId="33" fillId="19" borderId="12" xfId="69" applyNumberFormat="1" applyFont="1" applyFill="1" applyBorder="1" applyAlignment="1" applyProtection="1">
      <alignment horizontal="center" vertical="center"/>
      <protection locked="0"/>
    </xf>
    <xf numFmtId="1" fontId="33" fillId="19" borderId="61" xfId="69" applyNumberFormat="1" applyFont="1" applyFill="1" applyBorder="1" applyAlignment="1" applyProtection="1">
      <alignment horizontal="center" vertical="center"/>
      <protection locked="0"/>
    </xf>
    <xf numFmtId="1" fontId="33" fillId="19" borderId="47" xfId="69" applyNumberFormat="1" applyFont="1" applyFill="1" applyBorder="1" applyAlignment="1" applyProtection="1">
      <alignment horizontal="center" vertical="center"/>
      <protection locked="0"/>
    </xf>
    <xf numFmtId="1" fontId="25" fillId="0" borderId="27" xfId="69" applyNumberFormat="1" applyFont="1" applyBorder="1" applyAlignment="1" applyProtection="1">
      <alignment horizontal="center" vertical="center"/>
    </xf>
    <xf numFmtId="1" fontId="25" fillId="0" borderId="0" xfId="69" applyNumberFormat="1" applyFont="1" applyBorder="1" applyAlignment="1" applyProtection="1">
      <alignment horizontal="center" vertical="center"/>
    </xf>
    <xf numFmtId="1" fontId="25" fillId="0" borderId="28" xfId="69" applyNumberFormat="1" applyFont="1" applyBorder="1" applyAlignment="1" applyProtection="1">
      <alignment horizontal="center" vertical="center"/>
    </xf>
    <xf numFmtId="1" fontId="2" fillId="0" borderId="0" xfId="69" applyNumberFormat="1" applyBorder="1" applyAlignment="1" applyProtection="1">
      <alignment horizontal="center" vertical="center"/>
    </xf>
    <xf numFmtId="1" fontId="2" fillId="0" borderId="28" xfId="69" applyNumberFormat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/>
    </xf>
    <xf numFmtId="1" fontId="33" fillId="19" borderId="68" xfId="69" applyNumberFormat="1" applyFont="1" applyFill="1" applyBorder="1" applyAlignment="1" applyProtection="1">
      <alignment horizontal="center" vertical="center"/>
      <protection locked="0"/>
    </xf>
    <xf numFmtId="1" fontId="33" fillId="19" borderId="15" xfId="69" applyNumberFormat="1" applyFont="1" applyFill="1" applyBorder="1" applyAlignment="1" applyProtection="1">
      <alignment horizontal="center" vertical="center"/>
      <protection locked="0"/>
    </xf>
    <xf numFmtId="1" fontId="33" fillId="19" borderId="69" xfId="69" applyNumberFormat="1" applyFont="1" applyFill="1" applyBorder="1" applyAlignment="1" applyProtection="1">
      <alignment horizontal="center" vertical="center"/>
      <protection locked="0"/>
    </xf>
    <xf numFmtId="1" fontId="33" fillId="19" borderId="70" xfId="69" applyNumberFormat="1" applyFont="1" applyFill="1" applyBorder="1" applyAlignment="1" applyProtection="1">
      <alignment horizontal="center" vertical="center"/>
      <protection locked="0"/>
    </xf>
    <xf numFmtId="1" fontId="25" fillId="18" borderId="46" xfId="69" applyNumberFormat="1" applyFont="1" applyFill="1" applyBorder="1" applyAlignment="1" applyProtection="1">
      <alignment horizontal="center" vertical="center"/>
    </xf>
    <xf numFmtId="1" fontId="25" fillId="18" borderId="47" xfId="69" applyNumberFormat="1" applyFont="1" applyFill="1" applyBorder="1" applyAlignment="1" applyProtection="1">
      <alignment horizontal="center" vertical="center"/>
    </xf>
    <xf numFmtId="1" fontId="25" fillId="18" borderId="61" xfId="69" applyNumberFormat="1" applyFont="1" applyFill="1" applyBorder="1" applyAlignment="1" applyProtection="1">
      <alignment horizontal="center" vertical="center"/>
    </xf>
    <xf numFmtId="1" fontId="25" fillId="18" borderId="12" xfId="69" applyNumberFormat="1" applyFont="1" applyFill="1" applyBorder="1" applyAlignment="1" applyProtection="1">
      <alignment horizontal="center" vertical="center"/>
    </xf>
    <xf numFmtId="0" fontId="34" fillId="0" borderId="0" xfId="0" applyFont="1" applyBorder="1" applyProtection="1"/>
    <xf numFmtId="0" fontId="31" fillId="0" borderId="48" xfId="69" applyFont="1" applyBorder="1" applyAlignment="1" applyProtection="1">
      <alignment horizontal="left" vertical="center" wrapText="1"/>
    </xf>
    <xf numFmtId="0" fontId="32" fillId="0" borderId="50" xfId="69" applyNumberFormat="1" applyFont="1" applyBorder="1" applyAlignment="1" applyProtection="1">
      <alignment horizontal="center" vertical="center" wrapText="1"/>
    </xf>
    <xf numFmtId="1" fontId="25" fillId="18" borderId="36" xfId="69" applyNumberFormat="1" applyFont="1" applyFill="1" applyBorder="1" applyAlignment="1" applyProtection="1">
      <alignment horizontal="center" vertical="center"/>
    </xf>
    <xf numFmtId="1" fontId="25" fillId="18" borderId="35" xfId="69" applyNumberFormat="1" applyFont="1" applyFill="1" applyBorder="1" applyAlignment="1" applyProtection="1">
      <alignment horizontal="center" vertical="center"/>
    </xf>
    <xf numFmtId="1" fontId="25" fillId="18" borderId="39" xfId="69" applyNumberFormat="1" applyFont="1" applyFill="1" applyBorder="1" applyAlignment="1" applyProtection="1">
      <alignment horizontal="center" vertical="center"/>
    </xf>
    <xf numFmtId="1" fontId="25" fillId="18" borderId="34" xfId="69" applyNumberFormat="1" applyFont="1" applyFill="1" applyBorder="1" applyAlignment="1" applyProtection="1">
      <alignment horizontal="center" vertical="center"/>
    </xf>
    <xf numFmtId="0" fontId="31" fillId="0" borderId="0" xfId="69" applyFont="1" applyBorder="1" applyAlignment="1" applyProtection="1">
      <alignment horizontal="left" vertical="center" wrapText="1"/>
    </xf>
    <xf numFmtId="0" fontId="32" fillId="0" borderId="0" xfId="0" applyFont="1" applyAlignment="1" applyProtection="1">
      <alignment horizontal="center" vertical="center"/>
    </xf>
    <xf numFmtId="0" fontId="31" fillId="0" borderId="0" xfId="69" applyFont="1" applyAlignment="1" applyProtection="1">
      <alignment horizontal="left" vertical="center" wrapText="1"/>
    </xf>
    <xf numFmtId="0" fontId="32" fillId="0" borderId="0" xfId="69" applyNumberFormat="1" applyFont="1" applyAlignment="1" applyProtection="1">
      <alignment horizontal="center" vertical="center" wrapText="1"/>
    </xf>
    <xf numFmtId="0" fontId="2" fillId="0" borderId="0" xfId="69" applyFill="1" applyAlignment="1" applyProtection="1">
      <alignment horizontal="center" vertical="center"/>
    </xf>
    <xf numFmtId="0" fontId="25" fillId="0" borderId="55" xfId="69" applyFont="1" applyBorder="1" applyAlignment="1" applyProtection="1">
      <alignment horizontal="centerContinuous" vertical="center"/>
    </xf>
    <xf numFmtId="0" fontId="25" fillId="0" borderId="56" xfId="69" applyFont="1" applyBorder="1" applyAlignment="1" applyProtection="1">
      <alignment horizontal="centerContinuous" vertical="center"/>
    </xf>
    <xf numFmtId="0" fontId="25" fillId="0" borderId="57" xfId="69" applyFont="1" applyBorder="1" applyAlignment="1" applyProtection="1">
      <alignment horizontal="centerContinuous" vertical="center"/>
    </xf>
    <xf numFmtId="0" fontId="25" fillId="0" borderId="46" xfId="69" applyFont="1" applyBorder="1" applyAlignment="1" applyProtection="1">
      <alignment horizontal="center" vertical="center" wrapText="1"/>
    </xf>
    <xf numFmtId="0" fontId="25" fillId="0" borderId="47" xfId="69" applyFont="1" applyBorder="1" applyAlignment="1" applyProtection="1">
      <alignment horizontal="center" vertical="center" wrapText="1"/>
    </xf>
    <xf numFmtId="0" fontId="25" fillId="0" borderId="61" xfId="69" applyFont="1" applyBorder="1" applyAlignment="1" applyProtection="1">
      <alignment horizontal="center" vertical="center" wrapText="1"/>
    </xf>
    <xf numFmtId="0" fontId="31" fillId="0" borderId="27" xfId="69" applyFont="1" applyBorder="1" applyAlignment="1" applyProtection="1">
      <alignment vertical="center" wrapText="1"/>
    </xf>
    <xf numFmtId="0" fontId="31" fillId="0" borderId="13" xfId="69" applyFont="1" applyBorder="1" applyAlignment="1" applyProtection="1">
      <alignment horizontal="center" vertical="center"/>
    </xf>
    <xf numFmtId="0" fontId="31" fillId="0" borderId="27" xfId="69" applyFont="1" applyBorder="1" applyAlignment="1" applyProtection="1">
      <alignment horizontal="left" vertical="center"/>
    </xf>
    <xf numFmtId="0" fontId="32" fillId="0" borderId="16" xfId="69" applyFont="1" applyFill="1" applyBorder="1" applyAlignment="1" applyProtection="1">
      <alignment horizontal="center" vertical="center"/>
    </xf>
    <xf numFmtId="0" fontId="2" fillId="0" borderId="64" xfId="69" applyBorder="1" applyAlignment="1" applyProtection="1">
      <alignment horizontal="center" vertical="center"/>
    </xf>
    <xf numFmtId="0" fontId="2" fillId="0" borderId="19" xfId="69" applyBorder="1" applyAlignment="1" applyProtection="1">
      <alignment horizontal="center" vertical="center"/>
    </xf>
    <xf numFmtId="0" fontId="2" fillId="0" borderId="65" xfId="69" applyBorder="1" applyAlignment="1" applyProtection="1">
      <alignment horizontal="center" vertical="center"/>
    </xf>
    <xf numFmtId="170" fontId="2" fillId="18" borderId="12" xfId="69" applyNumberFormat="1" applyFill="1" applyBorder="1" applyAlignment="1" applyProtection="1">
      <alignment horizontal="center" vertical="center"/>
    </xf>
    <xf numFmtId="0" fontId="32" fillId="0" borderId="16" xfId="69" applyNumberFormat="1" applyFont="1" applyBorder="1" applyAlignment="1" applyProtection="1">
      <alignment horizontal="center" vertical="center"/>
    </xf>
    <xf numFmtId="0" fontId="2" fillId="0" borderId="71" xfId="69" applyBorder="1" applyAlignment="1" applyProtection="1">
      <alignment horizontal="center" vertical="center"/>
    </xf>
    <xf numFmtId="0" fontId="2" fillId="0" borderId="11" xfId="69" applyBorder="1" applyAlignment="1" applyProtection="1">
      <alignment horizontal="center" vertical="center"/>
    </xf>
    <xf numFmtId="0" fontId="2" fillId="0" borderId="40" xfId="69" applyBorder="1" applyAlignment="1" applyProtection="1">
      <alignment horizontal="center" vertical="center"/>
    </xf>
    <xf numFmtId="0" fontId="2" fillId="0" borderId="71" xfId="69" applyFill="1" applyBorder="1" applyAlignment="1" applyProtection="1">
      <alignment horizontal="center" vertical="center"/>
    </xf>
    <xf numFmtId="170" fontId="33" fillId="20" borderId="46" xfId="69" applyNumberFormat="1" applyFont="1" applyFill="1" applyBorder="1" applyAlignment="1" applyProtection="1">
      <alignment horizontal="center" vertical="center"/>
    </xf>
    <xf numFmtId="170" fontId="33" fillId="20" borderId="12" xfId="69" applyNumberFormat="1" applyFont="1" applyFill="1" applyBorder="1" applyAlignment="1" applyProtection="1">
      <alignment horizontal="center" vertical="center"/>
    </xf>
    <xf numFmtId="164" fontId="25" fillId="18" borderId="61" xfId="1" applyNumberFormat="1" applyFont="1" applyFill="1" applyBorder="1" applyAlignment="1" applyProtection="1">
      <alignment horizontal="center" vertical="center"/>
    </xf>
    <xf numFmtId="170" fontId="33" fillId="20" borderId="36" xfId="69" applyNumberFormat="1" applyFont="1" applyFill="1" applyBorder="1" applyAlignment="1" applyProtection="1">
      <alignment horizontal="center" vertical="center"/>
    </xf>
    <xf numFmtId="170" fontId="33" fillId="20" borderId="34" xfId="69" applyNumberFormat="1" applyFont="1" applyFill="1" applyBorder="1" applyAlignment="1" applyProtection="1">
      <alignment horizontal="center" vertical="center"/>
    </xf>
    <xf numFmtId="170" fontId="33" fillId="19" borderId="34" xfId="69" applyNumberFormat="1" applyFont="1" applyFill="1" applyBorder="1" applyAlignment="1" applyProtection="1">
      <alignment horizontal="center" vertical="center"/>
      <protection locked="0"/>
    </xf>
    <xf numFmtId="170" fontId="33" fillId="19" borderId="39" xfId="69" applyNumberFormat="1" applyFont="1" applyFill="1" applyBorder="1" applyAlignment="1" applyProtection="1">
      <alignment horizontal="center" vertical="center"/>
      <protection locked="0"/>
    </xf>
    <xf numFmtId="170" fontId="33" fillId="19" borderId="35" xfId="69" applyNumberFormat="1" applyFont="1" applyFill="1" applyBorder="1" applyAlignment="1" applyProtection="1">
      <alignment horizontal="center" vertical="center"/>
      <protection locked="0"/>
    </xf>
    <xf numFmtId="164" fontId="25" fillId="18" borderId="39" xfId="1" applyNumberFormat="1" applyFont="1" applyFill="1" applyBorder="1" applyAlignment="1" applyProtection="1">
      <alignment horizontal="center" vertical="center"/>
    </xf>
    <xf numFmtId="0" fontId="32" fillId="0" borderId="62" xfId="69" applyFont="1" applyBorder="1" applyAlignment="1" applyProtection="1">
      <alignment horizontal="center" vertical="center"/>
    </xf>
    <xf numFmtId="170" fontId="2" fillId="18" borderId="58" xfId="69" applyNumberFormat="1" applyFill="1" applyBorder="1" applyAlignment="1" applyProtection="1">
      <alignment horizontal="center" vertical="center"/>
    </xf>
    <xf numFmtId="170" fontId="2" fillId="18" borderId="60" xfId="69" applyNumberFormat="1" applyFill="1" applyBorder="1" applyAlignment="1" applyProtection="1">
      <alignment horizontal="center" vertical="center"/>
    </xf>
    <xf numFmtId="170" fontId="2" fillId="18" borderId="59" xfId="69" applyNumberFormat="1" applyFill="1" applyBorder="1" applyAlignment="1" applyProtection="1">
      <alignment horizontal="center" vertical="center"/>
    </xf>
    <xf numFmtId="164" fontId="2" fillId="18" borderId="59" xfId="1" applyNumberFormat="1" applyFont="1" applyFill="1" applyBorder="1" applyAlignment="1" applyProtection="1">
      <alignment horizontal="center" vertical="center"/>
    </xf>
    <xf numFmtId="0" fontId="32" fillId="0" borderId="30" xfId="69" applyFont="1" applyBorder="1" applyAlignment="1" applyProtection="1">
      <alignment horizontal="left" vertical="center" wrapText="1"/>
    </xf>
    <xf numFmtId="0" fontId="32" fillId="0" borderId="63" xfId="69" applyFont="1" applyBorder="1" applyAlignment="1" applyProtection="1">
      <alignment horizontal="center" vertical="center"/>
    </xf>
    <xf numFmtId="170" fontId="2" fillId="0" borderId="36" xfId="69" applyNumberFormat="1" applyFont="1" applyFill="1" applyBorder="1" applyAlignment="1" applyProtection="1">
      <alignment horizontal="center" vertical="center"/>
    </xf>
    <xf numFmtId="170" fontId="2" fillId="0" borderId="34" xfId="69" applyNumberFormat="1" applyFont="1" applyFill="1" applyBorder="1" applyAlignment="1" applyProtection="1">
      <alignment horizontal="center" vertical="center"/>
    </xf>
    <xf numFmtId="170" fontId="2" fillId="0" borderId="39" xfId="69" applyNumberFormat="1" applyFont="1" applyFill="1" applyBorder="1" applyAlignment="1" applyProtection="1">
      <alignment horizontal="center" vertical="center"/>
    </xf>
    <xf numFmtId="170" fontId="2" fillId="0" borderId="35" xfId="69" applyNumberFormat="1" applyFont="1" applyFill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vertical="center"/>
    </xf>
    <xf numFmtId="0" fontId="32" fillId="0" borderId="0" xfId="69" applyFont="1" applyBorder="1" applyAlignment="1" applyProtection="1">
      <alignment horizontal="center" vertical="center"/>
    </xf>
    <xf numFmtId="0" fontId="35" fillId="21" borderId="0" xfId="0" applyFont="1" applyFill="1" applyBorder="1" applyAlignment="1" applyProtection="1">
      <alignment vertical="center"/>
    </xf>
    <xf numFmtId="0" fontId="2" fillId="21" borderId="0" xfId="69" applyFill="1" applyBorder="1" applyAlignment="1" applyProtection="1">
      <alignment vertical="center"/>
    </xf>
    <xf numFmtId="0" fontId="36" fillId="21" borderId="0" xfId="0" applyFont="1" applyFill="1" applyBorder="1" applyAlignment="1" applyProtection="1">
      <alignment vertical="center"/>
    </xf>
    <xf numFmtId="0" fontId="27" fillId="21" borderId="0" xfId="69" applyFont="1" applyFill="1" applyBorder="1" applyAlignment="1" applyProtection="1">
      <alignment vertical="center"/>
    </xf>
    <xf numFmtId="0" fontId="37" fillId="21" borderId="0" xfId="69" applyFont="1" applyFill="1" applyBorder="1" applyAlignment="1" applyProtection="1">
      <alignment vertical="center"/>
    </xf>
    <xf numFmtId="0" fontId="38" fillId="21" borderId="0" xfId="69" applyFont="1" applyFill="1" applyBorder="1" applyAlignment="1" applyProtection="1">
      <alignment horizontal="left" vertical="center"/>
    </xf>
    <xf numFmtId="0" fontId="39" fillId="21" borderId="0" xfId="69" applyFont="1" applyFill="1" applyBorder="1" applyAlignment="1" applyProtection="1">
      <alignment horizontal="left" vertical="center"/>
    </xf>
    <xf numFmtId="0" fontId="38" fillId="21" borderId="31" xfId="69" applyFont="1" applyFill="1" applyBorder="1" applyAlignment="1" applyProtection="1">
      <alignment vertical="center"/>
    </xf>
    <xf numFmtId="0" fontId="2" fillId="21" borderId="31" xfId="69" applyFill="1" applyBorder="1" applyAlignment="1" applyProtection="1">
      <alignment vertical="center"/>
    </xf>
    <xf numFmtId="0" fontId="39" fillId="21" borderId="31" xfId="69" applyFont="1" applyFill="1" applyBorder="1" applyAlignment="1" applyProtection="1">
      <alignment horizontal="left" vertical="center"/>
    </xf>
    <xf numFmtId="0" fontId="2" fillId="0" borderId="0" xfId="69" applyAlignment="1" applyProtection="1">
      <alignment vertical="center"/>
    </xf>
    <xf numFmtId="0" fontId="25" fillId="0" borderId="0" xfId="69" applyFont="1" applyAlignment="1" applyProtection="1">
      <alignment vertical="center"/>
    </xf>
    <xf numFmtId="0" fontId="25" fillId="0" borderId="41" xfId="69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5" fillId="0" borderId="0" xfId="69" applyFont="1" applyBorder="1" applyAlignment="1" applyProtection="1">
      <alignment horizontal="centerContinuous" vertical="center"/>
    </xf>
    <xf numFmtId="0" fontId="2" fillId="0" borderId="44" xfId="69" applyBorder="1" applyAlignment="1" applyProtection="1">
      <alignment vertical="center"/>
    </xf>
    <xf numFmtId="0" fontId="25" fillId="0" borderId="12" xfId="69" applyFont="1" applyBorder="1" applyAlignment="1" applyProtection="1">
      <alignment horizontal="center" vertical="center" wrapText="1"/>
    </xf>
    <xf numFmtId="0" fontId="25" fillId="0" borderId="0" xfId="69" applyFont="1" applyBorder="1" applyAlignment="1" applyProtection="1">
      <alignment horizontal="center" vertical="center" wrapText="1"/>
    </xf>
    <xf numFmtId="0" fontId="2" fillId="0" borderId="58" xfId="69" applyBorder="1" applyAlignment="1" applyProtection="1">
      <alignment vertical="center"/>
    </xf>
    <xf numFmtId="0" fontId="25" fillId="0" borderId="58" xfId="69" applyFont="1" applyFill="1" applyBorder="1" applyAlignment="1" applyProtection="1">
      <alignment horizontal="center" vertical="center"/>
    </xf>
    <xf numFmtId="0" fontId="25" fillId="0" borderId="60" xfId="69" applyFont="1" applyFill="1" applyBorder="1" applyAlignment="1" applyProtection="1">
      <alignment horizontal="center" vertical="center"/>
    </xf>
    <xf numFmtId="0" fontId="25" fillId="0" borderId="59" xfId="69" applyFont="1" applyFill="1" applyBorder="1" applyAlignment="1" applyProtection="1">
      <alignment horizontal="center" vertical="center"/>
    </xf>
    <xf numFmtId="0" fontId="25" fillId="0" borderId="20" xfId="69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5" fillId="0" borderId="0" xfId="69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horizontal="left" vertical="center"/>
    </xf>
    <xf numFmtId="0" fontId="2" fillId="0" borderId="27" xfId="69" applyFill="1" applyBorder="1" applyAlignment="1" applyProtection="1">
      <alignment horizontal="center" vertical="center"/>
    </xf>
    <xf numFmtId="0" fontId="2" fillId="0" borderId="0" xfId="69" applyFill="1" applyBorder="1" applyAlignment="1" applyProtection="1">
      <alignment horizontal="center" vertical="center"/>
    </xf>
    <xf numFmtId="0" fontId="2" fillId="0" borderId="28" xfId="69" applyFill="1" applyBorder="1" applyAlignment="1" applyProtection="1">
      <alignment horizontal="center" vertical="center"/>
    </xf>
    <xf numFmtId="9" fontId="2" fillId="0" borderId="28" xfId="1" applyFont="1" applyBorder="1" applyAlignment="1" applyProtection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27" xfId="69" applyFont="1" applyBorder="1" applyAlignment="1" applyProtection="1">
      <alignment horizontal="left" vertical="center" wrapText="1" indent="1"/>
    </xf>
    <xf numFmtId="170" fontId="0" fillId="0" borderId="0" xfId="0" applyNumberFormat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horizontal="left" vertical="center" wrapText="1"/>
    </xf>
    <xf numFmtId="170" fontId="0" fillId="0" borderId="0" xfId="0" applyNumberFormat="1" applyAlignment="1" applyProtection="1">
      <alignment vertical="center"/>
    </xf>
    <xf numFmtId="170" fontId="34" fillId="0" borderId="0" xfId="0" applyNumberFormat="1" applyFont="1" applyAlignment="1" applyProtection="1">
      <alignment vertical="center"/>
    </xf>
    <xf numFmtId="164" fontId="25" fillId="18" borderId="61" xfId="69" applyNumberFormat="1" applyFont="1" applyFill="1" applyBorder="1" applyAlignment="1" applyProtection="1">
      <alignment horizontal="center" vertical="center"/>
    </xf>
    <xf numFmtId="164" fontId="25" fillId="0" borderId="0" xfId="69" applyNumberFormat="1" applyFont="1" applyFill="1" applyBorder="1" applyAlignment="1" applyProtection="1">
      <alignment horizontal="center" vertical="center"/>
    </xf>
    <xf numFmtId="170" fontId="2" fillId="0" borderId="27" xfId="69" applyNumberFormat="1" applyFill="1" applyBorder="1" applyAlignment="1" applyProtection="1">
      <alignment horizontal="center" vertical="center"/>
    </xf>
    <xf numFmtId="170" fontId="2" fillId="0" borderId="0" xfId="69" applyNumberFormat="1" applyFill="1" applyBorder="1" applyAlignment="1" applyProtection="1">
      <alignment horizontal="center" vertical="center"/>
    </xf>
    <xf numFmtId="170" fontId="2" fillId="0" borderId="28" xfId="69" applyNumberFormat="1" applyFill="1" applyBorder="1" applyAlignment="1" applyProtection="1">
      <alignment horizontal="center" vertical="center"/>
    </xf>
    <xf numFmtId="170" fontId="2" fillId="0" borderId="0" xfId="69" applyNumberFormat="1" applyBorder="1" applyAlignment="1" applyProtection="1">
      <alignment horizontal="center" vertical="center"/>
    </xf>
    <xf numFmtId="170" fontId="2" fillId="0" borderId="28" xfId="69" applyNumberForma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 wrapText="1"/>
    </xf>
    <xf numFmtId="0" fontId="2" fillId="0" borderId="0" xfId="69" applyFill="1" applyAlignment="1" applyProtection="1">
      <alignment vertical="center"/>
    </xf>
    <xf numFmtId="0" fontId="2" fillId="0" borderId="0" xfId="69" applyFont="1" applyAlignment="1" applyProtection="1">
      <alignment vertical="center"/>
    </xf>
    <xf numFmtId="0" fontId="25" fillId="0" borderId="54" xfId="69" applyFont="1" applyBorder="1" applyAlignment="1" applyProtection="1">
      <alignment horizontal="centerContinuous" vertical="center"/>
    </xf>
    <xf numFmtId="0" fontId="25" fillId="0" borderId="55" xfId="69" applyFont="1" applyBorder="1" applyAlignment="1" applyProtection="1">
      <alignment horizontal="centerContinuous" vertical="center" wrapText="1"/>
    </xf>
    <xf numFmtId="0" fontId="25" fillId="0" borderId="57" xfId="69" applyFont="1" applyBorder="1" applyAlignment="1" applyProtection="1">
      <alignment horizontal="centerContinuous" vertical="center" wrapText="1"/>
    </xf>
    <xf numFmtId="0" fontId="25" fillId="0" borderId="46" xfId="71" applyFont="1" applyFill="1" applyBorder="1" applyAlignment="1" applyProtection="1">
      <alignment horizontal="center" vertical="center"/>
    </xf>
    <xf numFmtId="0" fontId="25" fillId="0" borderId="47" xfId="72" applyFont="1" applyFill="1" applyBorder="1" applyAlignment="1" applyProtection="1">
      <alignment horizontal="center" vertical="center"/>
    </xf>
    <xf numFmtId="0" fontId="25" fillId="0" borderId="61" xfId="72" applyFont="1" applyBorder="1" applyAlignment="1" applyProtection="1">
      <alignment horizontal="center" vertical="center"/>
    </xf>
    <xf numFmtId="0" fontId="25" fillId="0" borderId="46" xfId="72" applyFont="1" applyBorder="1" applyAlignment="1" applyProtection="1">
      <alignment horizontal="center" vertical="center"/>
    </xf>
    <xf numFmtId="0" fontId="2" fillId="22" borderId="72" xfId="72" applyFont="1" applyFill="1" applyBorder="1" applyAlignment="1" applyProtection="1">
      <alignment horizontal="left" vertical="center"/>
    </xf>
    <xf numFmtId="170" fontId="33" fillId="19" borderId="46" xfId="72" applyNumberFormat="1" applyFont="1" applyFill="1" applyBorder="1" applyAlignment="1" applyProtection="1">
      <alignment horizontal="center" vertical="center"/>
      <protection locked="0"/>
    </xf>
    <xf numFmtId="170" fontId="33" fillId="19" borderId="47" xfId="72" applyNumberFormat="1" applyFont="1" applyFill="1" applyBorder="1" applyAlignment="1" applyProtection="1">
      <alignment horizontal="center" vertical="center"/>
      <protection locked="0"/>
    </xf>
    <xf numFmtId="170" fontId="33" fillId="19" borderId="61" xfId="72" applyNumberFormat="1" applyFont="1" applyFill="1" applyBorder="1" applyAlignment="1" applyProtection="1">
      <alignment horizontal="center" vertical="center"/>
      <protection locked="0"/>
    </xf>
    <xf numFmtId="170" fontId="2" fillId="18" borderId="46" xfId="72" applyNumberFormat="1" applyFont="1" applyFill="1" applyBorder="1" applyAlignment="1" applyProtection="1">
      <alignment horizontal="center" vertical="center"/>
    </xf>
    <xf numFmtId="170" fontId="2" fillId="18" borderId="61" xfId="72" applyNumberFormat="1" applyFont="1" applyFill="1" applyBorder="1" applyAlignment="1" applyProtection="1">
      <alignment horizontal="center" vertical="center"/>
    </xf>
    <xf numFmtId="0" fontId="2" fillId="0" borderId="38" xfId="72" applyFont="1" applyFill="1" applyBorder="1" applyAlignment="1" applyProtection="1">
      <alignment horizontal="left" vertical="center"/>
    </xf>
    <xf numFmtId="0" fontId="2" fillId="0" borderId="73" xfId="72" applyFont="1" applyFill="1" applyBorder="1" applyAlignment="1" applyProtection="1">
      <alignment horizontal="left" vertical="center" wrapText="1"/>
    </xf>
    <xf numFmtId="10" fontId="2" fillId="0" borderId="36" xfId="72" applyNumberFormat="1" applyFont="1" applyFill="1" applyBorder="1" applyAlignment="1" applyProtection="1">
      <alignment horizontal="center" vertical="center"/>
    </xf>
    <xf numFmtId="10" fontId="2" fillId="0" borderId="35" xfId="72" applyNumberFormat="1" applyFont="1" applyFill="1" applyBorder="1" applyAlignment="1" applyProtection="1">
      <alignment horizontal="center" vertical="center"/>
    </xf>
    <xf numFmtId="10" fontId="2" fillId="0" borderId="39" xfId="72" applyNumberFormat="1" applyFont="1" applyFill="1" applyBorder="1" applyAlignment="1" applyProtection="1">
      <alignment horizontal="center" vertical="center"/>
    </xf>
    <xf numFmtId="1" fontId="2" fillId="18" borderId="36" xfId="72" applyNumberFormat="1" applyFont="1" applyFill="1" applyBorder="1" applyAlignment="1" applyProtection="1">
      <alignment horizontal="center" vertical="center"/>
    </xf>
    <xf numFmtId="1" fontId="2" fillId="18" borderId="39" xfId="72" applyNumberFormat="1" applyFont="1" applyFill="1" applyBorder="1" applyAlignment="1" applyProtection="1">
      <alignment horizontal="center" vertical="center"/>
    </xf>
    <xf numFmtId="0" fontId="2" fillId="0" borderId="0" xfId="72" applyFont="1" applyFill="1" applyBorder="1" applyAlignment="1" applyProtection="1">
      <alignment horizontal="left" vertical="center"/>
    </xf>
    <xf numFmtId="0" fontId="2" fillId="0" borderId="0" xfId="73" applyFont="1" applyAlignment="1" applyProtection="1">
      <alignment vertical="center"/>
    </xf>
    <xf numFmtId="0" fontId="2" fillId="0" borderId="38" xfId="72" applyFont="1" applyFill="1" applyBorder="1" applyAlignment="1" applyProtection="1">
      <alignment horizontal="left" vertical="center" wrapText="1"/>
    </xf>
    <xf numFmtId="164" fontId="2" fillId="0" borderId="46" xfId="74" applyNumberFormat="1" applyFont="1" applyFill="1" applyBorder="1" applyAlignment="1" applyProtection="1">
      <alignment horizontal="center" vertical="center"/>
    </xf>
    <xf numFmtId="164" fontId="2" fillId="0" borderId="47" xfId="74" applyNumberFormat="1" applyFont="1" applyFill="1" applyBorder="1" applyAlignment="1" applyProtection="1">
      <alignment horizontal="center" vertical="center"/>
    </xf>
    <xf numFmtId="164" fontId="2" fillId="0" borderId="61" xfId="74" applyNumberFormat="1" applyFont="1" applyFill="1" applyBorder="1" applyAlignment="1" applyProtection="1">
      <alignment horizontal="center" vertical="center"/>
    </xf>
    <xf numFmtId="9" fontId="2" fillId="18" borderId="46" xfId="1" applyFont="1" applyFill="1" applyBorder="1" applyAlignment="1" applyProtection="1">
      <alignment horizontal="center" vertical="center"/>
    </xf>
    <xf numFmtId="9" fontId="2" fillId="18" borderId="61" xfId="1" applyFont="1" applyFill="1" applyBorder="1" applyAlignment="1" applyProtection="1">
      <alignment horizontal="center" vertical="center"/>
    </xf>
    <xf numFmtId="0" fontId="2" fillId="0" borderId="73" xfId="72" applyFont="1" applyBorder="1" applyAlignment="1" applyProtection="1">
      <alignment horizontal="left" vertical="center" wrapText="1"/>
    </xf>
    <xf numFmtId="170" fontId="33" fillId="19" borderId="36" xfId="72" applyNumberFormat="1" applyFont="1" applyFill="1" applyBorder="1" applyAlignment="1" applyProtection="1">
      <alignment horizontal="center" vertical="center"/>
      <protection locked="0"/>
    </xf>
    <xf numFmtId="170" fontId="33" fillId="19" borderId="35" xfId="72" applyNumberFormat="1" applyFont="1" applyFill="1" applyBorder="1" applyAlignment="1" applyProtection="1">
      <alignment horizontal="center" vertical="center"/>
      <protection locked="0"/>
    </xf>
    <xf numFmtId="170" fontId="41" fillId="19" borderId="39" xfId="72" applyNumberFormat="1" applyFont="1" applyFill="1" applyBorder="1" applyAlignment="1" applyProtection="1">
      <alignment horizontal="center" vertical="center"/>
      <protection locked="0"/>
    </xf>
    <xf numFmtId="170" fontId="2" fillId="18" borderId="36" xfId="72" applyNumberFormat="1" applyFont="1" applyFill="1" applyBorder="1" applyAlignment="1" applyProtection="1">
      <alignment horizontal="center" vertical="center"/>
    </xf>
    <xf numFmtId="170" fontId="2" fillId="18" borderId="39" xfId="72" applyNumberFormat="1" applyFont="1" applyFill="1" applyBorder="1" applyAlignment="1" applyProtection="1">
      <alignment horizontal="center" vertical="center"/>
    </xf>
    <xf numFmtId="0" fontId="2" fillId="0" borderId="21" xfId="69" applyBorder="1" applyAlignment="1" applyProtection="1">
      <alignment vertical="center"/>
    </xf>
    <xf numFmtId="0" fontId="25" fillId="0" borderId="75" xfId="69" applyFont="1" applyBorder="1" applyAlignment="1" applyProtection="1">
      <alignment horizontal="center" vertical="center" wrapText="1"/>
    </xf>
    <xf numFmtId="0" fontId="2" fillId="0" borderId="27" xfId="69" applyBorder="1" applyAlignment="1" applyProtection="1">
      <alignment vertical="center"/>
    </xf>
    <xf numFmtId="0" fontId="25" fillId="0" borderId="55" xfId="69" applyFont="1" applyBorder="1" applyAlignment="1" applyProtection="1">
      <alignment horizontal="center" vertical="center" wrapText="1"/>
    </xf>
    <xf numFmtId="0" fontId="25" fillId="0" borderId="56" xfId="69" applyFont="1" applyBorder="1" applyAlignment="1" applyProtection="1">
      <alignment horizontal="center" vertical="center" wrapText="1"/>
    </xf>
    <xf numFmtId="0" fontId="25" fillId="0" borderId="57" xfId="69" applyFont="1" applyBorder="1" applyAlignment="1" applyProtection="1">
      <alignment horizontal="center" vertical="center" wrapText="1"/>
    </xf>
    <xf numFmtId="0" fontId="25" fillId="0" borderId="72" xfId="69" applyFont="1" applyFill="1" applyBorder="1" applyAlignment="1" applyProtection="1">
      <alignment horizontal="center" vertical="center" wrapText="1"/>
    </xf>
    <xf numFmtId="0" fontId="2" fillId="0" borderId="64" xfId="69" applyBorder="1" applyAlignment="1" applyProtection="1">
      <alignment vertical="center"/>
    </xf>
    <xf numFmtId="0" fontId="25" fillId="0" borderId="46" xfId="69" applyFont="1" applyBorder="1" applyAlignment="1" applyProtection="1">
      <alignment horizontal="center" vertical="center"/>
    </xf>
    <xf numFmtId="0" fontId="25" fillId="0" borderId="47" xfId="69" applyNumberFormat="1" applyFont="1" applyFill="1" applyBorder="1" applyAlignment="1" applyProtection="1">
      <alignment horizontal="center" vertical="center" wrapText="1"/>
    </xf>
    <xf numFmtId="0" fontId="25" fillId="0" borderId="47" xfId="69" applyFont="1" applyBorder="1" applyAlignment="1" applyProtection="1">
      <alignment horizontal="center" vertical="center"/>
    </xf>
    <xf numFmtId="0" fontId="25" fillId="0" borderId="10" xfId="69" applyFont="1" applyBorder="1" applyAlignment="1" applyProtection="1">
      <alignment horizontal="center" vertical="center"/>
    </xf>
    <xf numFmtId="0" fontId="25" fillId="0" borderId="61" xfId="69" applyFont="1" applyBorder="1" applyAlignment="1" applyProtection="1">
      <alignment horizontal="center" vertical="center"/>
    </xf>
    <xf numFmtId="0" fontId="25" fillId="0" borderId="68" xfId="69" applyFont="1" applyFill="1" applyBorder="1" applyAlignment="1" applyProtection="1">
      <alignment horizontal="center" vertical="center" wrapText="1"/>
    </xf>
    <xf numFmtId="0" fontId="25" fillId="0" borderId="70" xfId="69" applyFont="1" applyFill="1" applyBorder="1" applyAlignment="1" applyProtection="1">
      <alignment horizontal="center" vertical="center" wrapText="1"/>
    </xf>
    <xf numFmtId="0" fontId="25" fillId="0" borderId="13" xfId="69" applyFont="1" applyFill="1" applyBorder="1" applyAlignment="1" applyProtection="1">
      <alignment horizontal="center" vertical="center" wrapText="1"/>
    </xf>
    <xf numFmtId="0" fontId="25" fillId="0" borderId="10" xfId="69" applyFont="1" applyFill="1" applyBorder="1" applyAlignment="1" applyProtection="1">
      <alignment horizontal="center" vertical="center"/>
    </xf>
    <xf numFmtId="0" fontId="28" fillId="0" borderId="70" xfId="72" applyFont="1" applyFill="1" applyBorder="1" applyAlignment="1" applyProtection="1">
      <alignment horizontal="center" vertical="center"/>
    </xf>
    <xf numFmtId="0" fontId="25" fillId="0" borderId="38" xfId="69" applyFont="1" applyFill="1" applyBorder="1" applyAlignment="1" applyProtection="1">
      <alignment horizontal="center" vertical="center"/>
    </xf>
    <xf numFmtId="0" fontId="25" fillId="0" borderId="38" xfId="69" applyFont="1" applyFill="1" applyBorder="1" applyAlignment="1" applyProtection="1">
      <alignment horizontal="center" vertical="center" wrapText="1"/>
    </xf>
    <xf numFmtId="0" fontId="2" fillId="0" borderId="0" xfId="69" applyAlignment="1" applyProtection="1">
      <alignment vertical="center"/>
      <protection locked="0"/>
    </xf>
    <xf numFmtId="0" fontId="2" fillId="0" borderId="66" xfId="69" applyBorder="1" applyAlignment="1" applyProtection="1">
      <alignment vertical="center"/>
      <protection locked="0"/>
    </xf>
    <xf numFmtId="0" fontId="33" fillId="19" borderId="46" xfId="69" applyFont="1" applyFill="1" applyBorder="1" applyAlignment="1" applyProtection="1">
      <alignment horizontal="center" vertical="center" wrapText="1"/>
      <protection locked="0"/>
    </xf>
    <xf numFmtId="0" fontId="33" fillId="19" borderId="47" xfId="69" applyFont="1" applyFill="1" applyBorder="1" applyAlignment="1" applyProtection="1">
      <alignment horizontal="center" vertical="center"/>
      <protection locked="0"/>
    </xf>
    <xf numFmtId="0" fontId="33" fillId="19" borderId="10" xfId="69" applyFont="1" applyFill="1" applyBorder="1" applyAlignment="1" applyProtection="1">
      <alignment horizontal="center" vertical="center"/>
      <protection locked="0"/>
    </xf>
    <xf numFmtId="172" fontId="33" fillId="19" borderId="46" xfId="69" applyNumberFormat="1" applyFont="1" applyFill="1" applyBorder="1" applyAlignment="1" applyProtection="1">
      <alignment horizontal="center" vertical="center"/>
      <protection locked="0"/>
    </xf>
    <xf numFmtId="170" fontId="2" fillId="18" borderId="61" xfId="69" applyNumberFormat="1" applyFill="1" applyBorder="1" applyAlignment="1" applyProtection="1">
      <alignment horizontal="center" vertical="center"/>
      <protection locked="0"/>
    </xf>
    <xf numFmtId="172" fontId="33" fillId="19" borderId="12" xfId="69" applyNumberFormat="1" applyFont="1" applyFill="1" applyBorder="1" applyAlignment="1" applyProtection="1">
      <alignment horizontal="center" vertical="center"/>
      <protection locked="0"/>
    </xf>
    <xf numFmtId="172" fontId="33" fillId="19" borderId="61" xfId="69" applyNumberFormat="1" applyFont="1" applyFill="1" applyBorder="1" applyAlignment="1" applyProtection="1">
      <alignment horizontal="center" vertical="center"/>
      <protection locked="0"/>
    </xf>
    <xf numFmtId="172" fontId="33" fillId="19" borderId="47" xfId="69" applyNumberFormat="1" applyFont="1" applyFill="1" applyBorder="1" applyAlignment="1" applyProtection="1">
      <alignment horizontal="center" vertical="center"/>
      <protection locked="0"/>
    </xf>
    <xf numFmtId="172" fontId="33" fillId="19" borderId="55" xfId="69" applyNumberFormat="1" applyFont="1" applyFill="1" applyBorder="1" applyAlignment="1" applyProtection="1">
      <alignment horizontal="center" vertical="center"/>
      <protection locked="0"/>
    </xf>
    <xf numFmtId="172" fontId="33" fillId="19" borderId="56" xfId="69" applyNumberFormat="1" applyFont="1" applyFill="1" applyBorder="1" applyAlignment="1" applyProtection="1">
      <alignment horizontal="center" vertical="center"/>
      <protection locked="0"/>
    </xf>
    <xf numFmtId="172" fontId="33" fillId="19" borderId="57" xfId="69" applyNumberFormat="1" applyFont="1" applyFill="1" applyBorder="1" applyAlignment="1" applyProtection="1">
      <alignment horizontal="center" vertical="center"/>
      <protection locked="0"/>
    </xf>
    <xf numFmtId="172" fontId="33" fillId="19" borderId="11" xfId="69" applyNumberFormat="1" applyFont="1" applyFill="1" applyBorder="1" applyAlignment="1" applyProtection="1">
      <alignment horizontal="center" vertical="center"/>
      <protection locked="0"/>
    </xf>
    <xf numFmtId="172" fontId="33" fillId="19" borderId="38" xfId="69" applyNumberFormat="1" applyFont="1" applyFill="1" applyBorder="1" applyAlignment="1" applyProtection="1">
      <alignment horizontal="center" vertical="center"/>
      <protection locked="0"/>
    </xf>
    <xf numFmtId="0" fontId="33" fillId="19" borderId="71" xfId="69" applyNumberFormat="1" applyFont="1" applyFill="1" applyBorder="1" applyAlignment="1" applyProtection="1">
      <alignment horizontal="left" vertical="center"/>
      <protection locked="0"/>
    </xf>
    <xf numFmtId="0" fontId="2" fillId="0" borderId="27" xfId="69" applyBorder="1" applyAlignment="1" applyProtection="1">
      <alignment vertical="center"/>
      <protection locked="0"/>
    </xf>
    <xf numFmtId="0" fontId="33" fillId="19" borderId="70" xfId="69" applyFont="1" applyFill="1" applyBorder="1" applyAlignment="1" applyProtection="1">
      <alignment horizontal="center" vertical="center"/>
      <protection locked="0"/>
    </xf>
    <xf numFmtId="0" fontId="33" fillId="19" borderId="13" xfId="69" applyFont="1" applyFill="1" applyBorder="1" applyAlignment="1" applyProtection="1">
      <alignment horizontal="center" vertical="center"/>
      <protection locked="0"/>
    </xf>
    <xf numFmtId="172" fontId="33" fillId="19" borderId="68" xfId="69" applyNumberFormat="1" applyFont="1" applyFill="1" applyBorder="1" applyAlignment="1" applyProtection="1">
      <alignment horizontal="center" vertical="center"/>
      <protection locked="0"/>
    </xf>
    <xf numFmtId="172" fontId="33" fillId="19" borderId="15" xfId="69" applyNumberFormat="1" applyFont="1" applyFill="1" applyBorder="1" applyAlignment="1" applyProtection="1">
      <alignment horizontal="center" vertical="center"/>
      <protection locked="0"/>
    </xf>
    <xf numFmtId="172" fontId="33" fillId="19" borderId="69" xfId="69" applyNumberFormat="1" applyFont="1" applyFill="1" applyBorder="1" applyAlignment="1" applyProtection="1">
      <alignment horizontal="center" vertical="center"/>
      <protection locked="0"/>
    </xf>
    <xf numFmtId="172" fontId="33" fillId="19" borderId="70" xfId="69" applyNumberFormat="1" applyFont="1" applyFill="1" applyBorder="1" applyAlignment="1" applyProtection="1">
      <alignment horizontal="center" vertical="center"/>
      <protection locked="0"/>
    </xf>
    <xf numFmtId="0" fontId="33" fillId="19" borderId="66" xfId="69" applyNumberFormat="1" applyFont="1" applyFill="1" applyBorder="1" applyAlignment="1" applyProtection="1">
      <alignment horizontal="left" vertical="center"/>
      <protection locked="0"/>
    </xf>
    <xf numFmtId="0" fontId="33" fillId="19" borderId="38" xfId="69" applyNumberFormat="1" applyFont="1" applyFill="1" applyBorder="1" applyAlignment="1" applyProtection="1">
      <alignment vertical="center" wrapText="1"/>
      <protection locked="0"/>
    </xf>
    <xf numFmtId="0" fontId="33" fillId="19" borderId="38" xfId="69" applyNumberFormat="1" applyFont="1" applyFill="1" applyBorder="1" applyAlignment="1" applyProtection="1">
      <alignment vertical="center"/>
      <protection locked="0"/>
    </xf>
    <xf numFmtId="0" fontId="33" fillId="19" borderId="46" xfId="69" applyFont="1" applyFill="1" applyBorder="1" applyAlignment="1" applyProtection="1">
      <alignment horizontal="center" vertical="center"/>
      <protection locked="0"/>
    </xf>
    <xf numFmtId="0" fontId="33" fillId="19" borderId="68" xfId="69" applyFont="1" applyFill="1" applyBorder="1" applyAlignment="1" applyProtection="1">
      <alignment horizontal="center" vertical="center"/>
      <protection locked="0"/>
    </xf>
    <xf numFmtId="172" fontId="33" fillId="19" borderId="36" xfId="69" applyNumberFormat="1" applyFont="1" applyFill="1" applyBorder="1" applyAlignment="1" applyProtection="1">
      <alignment horizontal="center" vertical="center"/>
      <protection locked="0"/>
    </xf>
    <xf numFmtId="172" fontId="33" fillId="19" borderId="35" xfId="69" applyNumberFormat="1" applyFont="1" applyFill="1" applyBorder="1" applyAlignment="1" applyProtection="1">
      <alignment horizontal="center" vertical="center"/>
      <protection locked="0"/>
    </xf>
    <xf numFmtId="172" fontId="33" fillId="19" borderId="39" xfId="69" applyNumberFormat="1" applyFont="1" applyFill="1" applyBorder="1" applyAlignment="1" applyProtection="1">
      <alignment horizontal="center" vertical="center"/>
      <protection locked="0"/>
    </xf>
    <xf numFmtId="0" fontId="2" fillId="18" borderId="76" xfId="69" applyFill="1" applyBorder="1" applyAlignment="1" applyProtection="1">
      <alignment vertical="center"/>
      <protection locked="0"/>
    </xf>
    <xf numFmtId="0" fontId="2" fillId="18" borderId="76" xfId="69" applyFill="1" applyBorder="1" applyAlignment="1" applyProtection="1">
      <alignment horizontal="center" vertical="center"/>
      <protection locked="0"/>
    </xf>
    <xf numFmtId="0" fontId="2" fillId="20" borderId="35" xfId="69" applyFill="1" applyBorder="1" applyAlignment="1" applyProtection="1">
      <alignment horizontal="center" vertical="center"/>
      <protection locked="0"/>
    </xf>
    <xf numFmtId="1" fontId="2" fillId="18" borderId="35" xfId="69" applyNumberFormat="1" applyFill="1" applyBorder="1" applyAlignment="1" applyProtection="1">
      <alignment horizontal="center" vertical="center"/>
      <protection locked="0"/>
    </xf>
    <xf numFmtId="170" fontId="2" fillId="18" borderId="35" xfId="69" applyNumberFormat="1" applyFill="1" applyBorder="1" applyAlignment="1" applyProtection="1">
      <alignment horizontal="center" vertical="center"/>
      <protection locked="0"/>
    </xf>
    <xf numFmtId="170" fontId="2" fillId="18" borderId="39" xfId="69" applyNumberFormat="1" applyFill="1" applyBorder="1" applyAlignment="1" applyProtection="1">
      <alignment horizontal="center" vertical="center"/>
      <protection locked="0"/>
    </xf>
    <xf numFmtId="2" fontId="2" fillId="18" borderId="34" xfId="69" applyNumberFormat="1" applyFill="1" applyBorder="1" applyAlignment="1" applyProtection="1">
      <alignment horizontal="center" vertical="center"/>
      <protection locked="0"/>
    </xf>
    <xf numFmtId="2" fontId="2" fillId="18" borderId="35" xfId="69" applyNumberFormat="1" applyFill="1" applyBorder="1" applyAlignment="1" applyProtection="1">
      <alignment horizontal="center" vertical="center"/>
      <protection locked="0"/>
    </xf>
    <xf numFmtId="2" fontId="2" fillId="18" borderId="77" xfId="69" applyNumberFormat="1" applyFill="1" applyBorder="1" applyAlignment="1" applyProtection="1">
      <alignment horizontal="center" vertical="center"/>
      <protection locked="0"/>
    </xf>
    <xf numFmtId="2" fontId="2" fillId="18" borderId="76" xfId="69" applyNumberFormat="1" applyFill="1" applyBorder="1" applyAlignment="1" applyProtection="1">
      <alignment horizontal="center" vertical="center"/>
      <protection locked="0"/>
    </xf>
    <xf numFmtId="2" fontId="0" fillId="18" borderId="35" xfId="0" applyNumberFormat="1" applyFill="1" applyBorder="1" applyAlignment="1" applyProtection="1">
      <alignment horizontal="center" vertical="center"/>
      <protection locked="0"/>
    </xf>
    <xf numFmtId="2" fontId="2" fillId="18" borderId="32" xfId="69" applyNumberFormat="1" applyFill="1" applyBorder="1" applyAlignment="1" applyProtection="1">
      <alignment horizontal="center" vertical="center"/>
      <protection locked="0"/>
    </xf>
    <xf numFmtId="2" fontId="2" fillId="20" borderId="78" xfId="69" applyNumberFormat="1" applyFill="1" applyBorder="1" applyAlignment="1" applyProtection="1">
      <alignment horizontal="center" vertical="center"/>
      <protection locked="0"/>
    </xf>
    <xf numFmtId="2" fontId="2" fillId="20" borderId="73" xfId="69" applyNumberFormat="1" applyFill="1" applyBorder="1" applyAlignment="1" applyProtection="1">
      <alignment horizontal="center" vertical="center"/>
      <protection locked="0"/>
    </xf>
    <xf numFmtId="0" fontId="2" fillId="20" borderId="73" xfId="69" applyFill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2" fillId="0" borderId="55" xfId="73" applyFont="1" applyBorder="1" applyAlignment="1" applyProtection="1">
      <alignment horizontal="centerContinuous" vertical="center"/>
    </xf>
    <xf numFmtId="0" fontId="2" fillId="0" borderId="56" xfId="73" applyFont="1" applyBorder="1" applyAlignment="1" applyProtection="1">
      <alignment horizontal="centerContinuous" vertical="center"/>
    </xf>
    <xf numFmtId="0" fontId="2" fillId="0" borderId="57" xfId="73" applyFont="1" applyBorder="1" applyAlignment="1" applyProtection="1">
      <alignment horizontal="centerContinuous" vertical="center"/>
    </xf>
    <xf numFmtId="0" fontId="2" fillId="0" borderId="46" xfId="73" applyFont="1" applyBorder="1" applyAlignment="1" applyProtection="1">
      <alignment horizontal="center" vertical="center"/>
    </xf>
    <xf numFmtId="0" fontId="2" fillId="0" borderId="47" xfId="73" applyFont="1" applyBorder="1" applyAlignment="1" applyProtection="1">
      <alignment horizontal="center" vertical="center"/>
    </xf>
    <xf numFmtId="0" fontId="2" fillId="0" borderId="61" xfId="73" applyFont="1" applyBorder="1" applyAlignment="1" applyProtection="1">
      <alignment horizontal="center" vertical="center"/>
    </xf>
    <xf numFmtId="1" fontId="33" fillId="19" borderId="58" xfId="73" applyNumberFormat="1" applyFont="1" applyFill="1" applyBorder="1" applyAlignment="1" applyProtection="1">
      <alignment horizontal="center"/>
      <protection locked="0"/>
    </xf>
    <xf numFmtId="1" fontId="33" fillId="19" borderId="20" xfId="73" applyNumberFormat="1" applyFont="1" applyFill="1" applyBorder="1" applyAlignment="1" applyProtection="1">
      <alignment horizontal="center"/>
      <protection locked="0"/>
    </xf>
    <xf numFmtId="1" fontId="33" fillId="19" borderId="59" xfId="73" applyNumberFormat="1" applyFont="1" applyFill="1" applyBorder="1" applyAlignment="1" applyProtection="1">
      <alignment horizontal="center"/>
      <protection locked="0"/>
    </xf>
    <xf numFmtId="1" fontId="33" fillId="19" borderId="46" xfId="73" applyNumberFormat="1" applyFont="1" applyFill="1" applyBorder="1" applyAlignment="1" applyProtection="1">
      <alignment horizontal="center"/>
      <protection locked="0"/>
    </xf>
    <xf numFmtId="1" fontId="33" fillId="19" borderId="12" xfId="73" applyNumberFormat="1" applyFont="1" applyFill="1" applyBorder="1" applyAlignment="1" applyProtection="1">
      <alignment horizontal="center"/>
      <protection locked="0"/>
    </xf>
    <xf numFmtId="1" fontId="33" fillId="19" borderId="40" xfId="73" applyNumberFormat="1" applyFont="1" applyFill="1" applyBorder="1" applyAlignment="1" applyProtection="1">
      <alignment horizontal="center"/>
      <protection locked="0"/>
    </xf>
    <xf numFmtId="1" fontId="33" fillId="19" borderId="36" xfId="73" applyNumberFormat="1" applyFont="1" applyFill="1" applyBorder="1" applyAlignment="1" applyProtection="1">
      <alignment horizontal="center"/>
      <protection locked="0"/>
    </xf>
    <xf numFmtId="1" fontId="33" fillId="19" borderId="35" xfId="73" applyNumberFormat="1" applyFont="1" applyFill="1" applyBorder="1" applyAlignment="1" applyProtection="1">
      <alignment horizontal="center"/>
      <protection locked="0"/>
    </xf>
    <xf numFmtId="1" fontId="33" fillId="19" borderId="39" xfId="73" applyNumberFormat="1" applyFont="1" applyFill="1" applyBorder="1" applyAlignment="1" applyProtection="1">
      <alignment horizontal="center"/>
      <protection locked="0"/>
    </xf>
    <xf numFmtId="0" fontId="2" fillId="0" borderId="79" xfId="73" applyFont="1" applyBorder="1" applyAlignment="1" applyProtection="1">
      <alignment horizontal="centerContinuous" vertical="center"/>
    </xf>
    <xf numFmtId="0" fontId="2" fillId="0" borderId="12" xfId="73" applyFont="1" applyBorder="1" applyAlignment="1" applyProtection="1">
      <alignment horizontal="center" vertical="center"/>
    </xf>
    <xf numFmtId="1" fontId="33" fillId="19" borderId="61" xfId="73" applyNumberFormat="1" applyFont="1" applyFill="1" applyBorder="1" applyAlignment="1" applyProtection="1">
      <alignment horizontal="center"/>
      <protection locked="0"/>
    </xf>
    <xf numFmtId="1" fontId="33" fillId="19" borderId="34" xfId="73" applyNumberFormat="1" applyFont="1" applyFill="1" applyBorder="1" applyAlignment="1" applyProtection="1">
      <alignment horizontal="center"/>
      <protection locked="0"/>
    </xf>
    <xf numFmtId="0" fontId="2" fillId="0" borderId="54" xfId="69" applyFont="1" applyBorder="1" applyAlignment="1" applyProtection="1">
      <alignment horizontal="centerContinuous" vertical="center"/>
    </xf>
    <xf numFmtId="0" fontId="2" fillId="0" borderId="53" xfId="69" applyFont="1" applyBorder="1" applyAlignment="1" applyProtection="1">
      <alignment horizontal="centerContinuous" vertical="center"/>
    </xf>
    <xf numFmtId="0" fontId="42" fillId="0" borderId="0" xfId="0" applyFont="1" applyAlignment="1" applyProtection="1">
      <alignment vertical="center"/>
    </xf>
    <xf numFmtId="0" fontId="42" fillId="0" borderId="0" xfId="0" applyFont="1" applyBorder="1" applyAlignment="1" applyProtection="1">
      <alignment vertical="center"/>
    </xf>
    <xf numFmtId="0" fontId="2" fillId="0" borderId="27" xfId="69" applyFont="1" applyFill="1" applyBorder="1" applyAlignment="1" applyProtection="1">
      <alignment horizontal="center" vertical="center"/>
    </xf>
    <xf numFmtId="0" fontId="2" fillId="0" borderId="0" xfId="69" applyFont="1" applyFill="1" applyBorder="1" applyAlignment="1" applyProtection="1">
      <alignment horizontal="center" vertical="center"/>
    </xf>
    <xf numFmtId="0" fontId="2" fillId="0" borderId="28" xfId="69" applyFont="1" applyFill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28" xfId="69" applyFont="1" applyBorder="1" applyAlignment="1" applyProtection="1">
      <alignment horizontal="center" vertical="center"/>
    </xf>
    <xf numFmtId="170" fontId="2" fillId="18" borderId="46" xfId="69" applyNumberFormat="1" applyFont="1" applyFill="1" applyBorder="1" applyAlignment="1" applyProtection="1">
      <alignment horizontal="center" vertical="center"/>
    </xf>
    <xf numFmtId="170" fontId="2" fillId="18" borderId="47" xfId="69" applyNumberFormat="1" applyFont="1" applyFill="1" applyBorder="1" applyAlignment="1" applyProtection="1">
      <alignment horizontal="center" vertical="center"/>
    </xf>
    <xf numFmtId="170" fontId="2" fillId="18" borderId="61" xfId="69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/>
    </xf>
    <xf numFmtId="0" fontId="43" fillId="0" borderId="0" xfId="0" applyFont="1" applyAlignment="1" applyProtection="1">
      <alignment vertical="center"/>
    </xf>
    <xf numFmtId="0" fontId="44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 applyProtection="1">
      <alignment vertical="center"/>
    </xf>
    <xf numFmtId="0" fontId="25" fillId="0" borderId="0" xfId="72" applyFont="1" applyFill="1" applyBorder="1" applyAlignment="1" applyProtection="1">
      <alignment horizontal="left" vertical="center"/>
    </xf>
    <xf numFmtId="0" fontId="2" fillId="0" borderId="0" xfId="75" applyFont="1" applyAlignment="1" applyProtection="1">
      <alignment vertical="center"/>
    </xf>
    <xf numFmtId="1" fontId="2" fillId="0" borderId="0" xfId="73" applyNumberFormat="1" applyFont="1" applyAlignment="1" applyProtection="1">
      <alignment vertical="center"/>
    </xf>
    <xf numFmtId="1" fontId="25" fillId="0" borderId="52" xfId="73" applyNumberFormat="1" applyFont="1" applyBorder="1" applyAlignment="1" applyProtection="1">
      <alignment horizontal="centerContinuous" vertical="center"/>
    </xf>
    <xf numFmtId="1" fontId="25" fillId="0" borderId="53" xfId="73" applyNumberFormat="1" applyFont="1" applyBorder="1" applyAlignment="1" applyProtection="1">
      <alignment horizontal="centerContinuous" vertical="center"/>
    </xf>
    <xf numFmtId="1" fontId="25" fillId="0" borderId="54" xfId="73" applyNumberFormat="1" applyFont="1" applyBorder="1" applyAlignment="1" applyProtection="1">
      <alignment horizontal="centerContinuous" vertical="center"/>
    </xf>
    <xf numFmtId="0" fontId="25" fillId="0" borderId="46" xfId="72" applyFont="1" applyFill="1" applyBorder="1" applyAlignment="1" applyProtection="1">
      <alignment horizontal="center" vertical="center"/>
    </xf>
    <xf numFmtId="0" fontId="25" fillId="0" borderId="61" xfId="72" applyFont="1" applyFill="1" applyBorder="1" applyAlignment="1" applyProtection="1">
      <alignment horizontal="center" vertical="center"/>
    </xf>
    <xf numFmtId="0" fontId="25" fillId="0" borderId="12" xfId="72" applyFont="1" applyFill="1" applyBorder="1" applyAlignment="1" applyProtection="1">
      <alignment horizontal="center" vertical="center"/>
    </xf>
    <xf numFmtId="0" fontId="2" fillId="0" borderId="64" xfId="69" applyFont="1" applyBorder="1" applyAlignment="1" applyProtection="1">
      <alignment horizontal="center" vertical="center"/>
    </xf>
    <xf numFmtId="0" fontId="2" fillId="0" borderId="19" xfId="69" applyFont="1" applyBorder="1" applyAlignment="1" applyProtection="1">
      <alignment horizontal="center" vertical="center"/>
    </xf>
    <xf numFmtId="0" fontId="2" fillId="0" borderId="65" xfId="69" applyFont="1" applyBorder="1" applyAlignment="1" applyProtection="1">
      <alignment horizontal="center" vertical="center"/>
    </xf>
    <xf numFmtId="0" fontId="2" fillId="0" borderId="64" xfId="69" applyFont="1" applyFill="1" applyBorder="1" applyAlignment="1" applyProtection="1">
      <alignment horizontal="center" vertical="center"/>
    </xf>
    <xf numFmtId="0" fontId="2" fillId="0" borderId="65" xfId="69" applyFont="1" applyFill="1" applyBorder="1" applyAlignment="1" applyProtection="1">
      <alignment horizontal="center" vertical="center"/>
    </xf>
    <xf numFmtId="0" fontId="2" fillId="0" borderId="59" xfId="76" applyFont="1" applyFill="1" applyBorder="1" applyAlignment="1" applyProtection="1">
      <alignment vertical="center"/>
    </xf>
    <xf numFmtId="170" fontId="45" fillId="0" borderId="58" xfId="72" applyNumberFormat="1" applyFont="1" applyFill="1" applyBorder="1" applyAlignment="1" applyProtection="1">
      <alignment horizontal="center" vertical="center"/>
    </xf>
    <xf numFmtId="170" fontId="45" fillId="0" borderId="60" xfId="72" applyNumberFormat="1" applyFont="1" applyFill="1" applyBorder="1" applyAlignment="1" applyProtection="1">
      <alignment horizontal="center" vertical="center"/>
    </xf>
    <xf numFmtId="170" fontId="45" fillId="0" borderId="59" xfId="72" applyNumberFormat="1" applyFont="1" applyFill="1" applyBorder="1" applyAlignment="1" applyProtection="1">
      <alignment horizontal="center" vertical="center"/>
    </xf>
    <xf numFmtId="0" fontId="27" fillId="0" borderId="0" xfId="72" applyFont="1" applyFill="1" applyBorder="1" applyAlignment="1" applyProtection="1">
      <alignment horizontal="left" vertical="center"/>
    </xf>
    <xf numFmtId="0" fontId="2" fillId="0" borderId="61" xfId="76" applyFont="1" applyFill="1" applyBorder="1" applyAlignment="1" applyProtection="1">
      <alignment vertical="center"/>
    </xf>
    <xf numFmtId="170" fontId="45" fillId="0" borderId="46" xfId="72" applyNumberFormat="1" applyFont="1" applyFill="1" applyBorder="1" applyAlignment="1" applyProtection="1">
      <alignment horizontal="center" vertical="center"/>
    </xf>
    <xf numFmtId="170" fontId="45" fillId="0" borderId="47" xfId="72" applyNumberFormat="1" applyFont="1" applyFill="1" applyBorder="1" applyAlignment="1" applyProtection="1">
      <alignment horizontal="center" vertical="center"/>
    </xf>
    <xf numFmtId="170" fontId="45" fillId="0" borderId="61" xfId="72" applyNumberFormat="1" applyFont="1" applyFill="1" applyBorder="1" applyAlignment="1" applyProtection="1">
      <alignment horizontal="center" vertical="center"/>
    </xf>
    <xf numFmtId="0" fontId="2" fillId="0" borderId="61" xfId="76" applyFont="1" applyBorder="1" applyAlignment="1" applyProtection="1">
      <alignment vertical="center"/>
    </xf>
    <xf numFmtId="170" fontId="46" fillId="18" borderId="36" xfId="72" applyNumberFormat="1" applyFont="1" applyFill="1" applyBorder="1" applyAlignment="1" applyProtection="1">
      <alignment horizontal="center" vertical="center"/>
    </xf>
    <xf numFmtId="170" fontId="46" fillId="18" borderId="35" xfId="72" applyNumberFormat="1" applyFont="1" applyFill="1" applyBorder="1" applyAlignment="1" applyProtection="1">
      <alignment horizontal="center" vertical="center"/>
    </xf>
    <xf numFmtId="170" fontId="46" fillId="18" borderId="39" xfId="72" applyNumberFormat="1" applyFont="1" applyFill="1" applyBorder="1" applyAlignment="1" applyProtection="1">
      <alignment horizontal="center" vertical="center"/>
    </xf>
    <xf numFmtId="0" fontId="25" fillId="0" borderId="0" xfId="76" applyFont="1" applyBorder="1" applyAlignment="1" applyProtection="1">
      <alignment vertical="center"/>
    </xf>
    <xf numFmtId="0" fontId="45" fillId="0" borderId="0" xfId="72" applyFont="1" applyFill="1" applyBorder="1" applyAlignment="1" applyProtection="1">
      <alignment horizontal="center" vertical="center"/>
    </xf>
    <xf numFmtId="1" fontId="27" fillId="0" borderId="0" xfId="73" applyNumberFormat="1" applyFont="1" applyProtection="1"/>
    <xf numFmtId="1" fontId="47" fillId="0" borderId="53" xfId="73" applyNumberFormat="1" applyFont="1" applyBorder="1" applyAlignment="1" applyProtection="1">
      <alignment horizontal="centerContinuous"/>
    </xf>
    <xf numFmtId="1" fontId="47" fillId="0" borderId="54" xfId="73" applyNumberFormat="1" applyFont="1" applyBorder="1" applyAlignment="1" applyProtection="1">
      <alignment horizontal="centerContinuous"/>
    </xf>
    <xf numFmtId="1" fontId="47" fillId="0" borderId="52" xfId="73" applyNumberFormat="1" applyFont="1" applyBorder="1" applyAlignment="1" applyProtection="1">
      <alignment horizontal="centerContinuous"/>
    </xf>
    <xf numFmtId="0" fontId="47" fillId="0" borderId="12" xfId="72" applyFont="1" applyFill="1" applyBorder="1" applyAlignment="1" applyProtection="1">
      <alignment horizontal="center" vertical="center"/>
    </xf>
    <xf numFmtId="0" fontId="47" fillId="0" borderId="47" xfId="72" applyFont="1" applyFill="1" applyBorder="1" applyAlignment="1" applyProtection="1">
      <alignment horizontal="center" vertical="center"/>
    </xf>
    <xf numFmtId="0" fontId="47" fillId="0" borderId="61" xfId="72" applyFont="1" applyFill="1" applyBorder="1" applyAlignment="1" applyProtection="1">
      <alignment horizontal="center" vertical="center"/>
    </xf>
    <xf numFmtId="0" fontId="47" fillId="0" borderId="46" xfId="72" applyFont="1" applyFill="1" applyBorder="1" applyAlignment="1" applyProtection="1">
      <alignment horizontal="center" vertical="center"/>
    </xf>
    <xf numFmtId="170" fontId="48" fillId="19" borderId="20" xfId="72" applyNumberFormat="1" applyFont="1" applyFill="1" applyBorder="1" applyAlignment="1" applyProtection="1">
      <alignment horizontal="center" vertical="center"/>
      <protection locked="0"/>
    </xf>
    <xf numFmtId="170" fontId="48" fillId="19" borderId="65" xfId="72" applyNumberFormat="1" applyFont="1" applyFill="1" applyBorder="1" applyAlignment="1" applyProtection="1">
      <alignment horizontal="center" vertical="center"/>
      <protection locked="0"/>
    </xf>
    <xf numFmtId="170" fontId="48" fillId="19" borderId="58" xfId="72" applyNumberFormat="1" applyFont="1" applyFill="1" applyBorder="1" applyAlignment="1" applyProtection="1">
      <alignment horizontal="center" vertical="center"/>
      <protection locked="0"/>
    </xf>
    <xf numFmtId="170" fontId="48" fillId="19" borderId="60" xfId="72" applyNumberFormat="1" applyFont="1" applyFill="1" applyBorder="1" applyAlignment="1" applyProtection="1">
      <alignment horizontal="center" vertical="center"/>
      <protection locked="0"/>
    </xf>
    <xf numFmtId="170" fontId="48" fillId="19" borderId="59" xfId="72" applyNumberFormat="1" applyFont="1" applyFill="1" applyBorder="1" applyAlignment="1" applyProtection="1">
      <alignment horizontal="center" vertical="center"/>
      <protection locked="0"/>
    </xf>
    <xf numFmtId="170" fontId="48" fillId="19" borderId="12" xfId="72" applyNumberFormat="1" applyFont="1" applyFill="1" applyBorder="1" applyAlignment="1" applyProtection="1">
      <alignment horizontal="center" vertical="center"/>
      <protection locked="0"/>
    </xf>
    <xf numFmtId="170" fontId="48" fillId="19" borderId="40" xfId="72" applyNumberFormat="1" applyFont="1" applyFill="1" applyBorder="1" applyAlignment="1" applyProtection="1">
      <alignment horizontal="center" vertical="center"/>
      <protection locked="0"/>
    </xf>
    <xf numFmtId="170" fontId="48" fillId="19" borderId="46" xfId="72" applyNumberFormat="1" applyFont="1" applyFill="1" applyBorder="1" applyAlignment="1" applyProtection="1">
      <alignment horizontal="center" vertical="center"/>
      <protection locked="0"/>
    </xf>
    <xf numFmtId="170" fontId="48" fillId="19" borderId="47" xfId="72" applyNumberFormat="1" applyFont="1" applyFill="1" applyBorder="1" applyAlignment="1" applyProtection="1">
      <alignment horizontal="center" vertical="center"/>
      <protection locked="0"/>
    </xf>
    <xf numFmtId="170" fontId="48" fillId="19" borderId="61" xfId="72" applyNumberFormat="1" applyFont="1" applyFill="1" applyBorder="1" applyAlignment="1" applyProtection="1">
      <alignment horizontal="center" vertical="center"/>
      <protection locked="0"/>
    </xf>
    <xf numFmtId="170" fontId="27" fillId="0" borderId="12" xfId="72" applyNumberFormat="1" applyFont="1" applyFill="1" applyBorder="1" applyAlignment="1" applyProtection="1">
      <alignment horizontal="center" vertical="center"/>
    </xf>
    <xf numFmtId="170" fontId="27" fillId="0" borderId="47" xfId="72" applyNumberFormat="1" applyFont="1" applyFill="1" applyBorder="1" applyAlignment="1" applyProtection="1">
      <alignment horizontal="center" vertical="center"/>
    </xf>
    <xf numFmtId="170" fontId="27" fillId="0" borderId="61" xfId="72" applyNumberFormat="1" applyFont="1" applyFill="1" applyBorder="1" applyAlignment="1" applyProtection="1">
      <alignment horizontal="center" vertical="center"/>
    </xf>
    <xf numFmtId="170" fontId="27" fillId="0" borderId="46" xfId="72" applyNumberFormat="1" applyFont="1" applyFill="1" applyBorder="1" applyAlignment="1" applyProtection="1">
      <alignment horizontal="center" vertical="center"/>
    </xf>
    <xf numFmtId="0" fontId="27" fillId="0" borderId="0" xfId="72" applyFont="1" applyFill="1" applyBorder="1" applyAlignment="1" applyProtection="1">
      <alignment horizontal="left" vertical="center"/>
      <protection locked="0"/>
    </xf>
    <xf numFmtId="0" fontId="2" fillId="0" borderId="69" xfId="76" applyFont="1" applyBorder="1" applyAlignment="1" applyProtection="1">
      <alignment vertical="center"/>
    </xf>
    <xf numFmtId="170" fontId="48" fillId="19" borderId="15" xfId="72" applyNumberFormat="1" applyFont="1" applyFill="1" applyBorder="1" applyAlignment="1" applyProtection="1">
      <alignment horizontal="center" vertical="center"/>
      <protection locked="0"/>
    </xf>
    <xf numFmtId="170" fontId="48" fillId="19" borderId="70" xfId="72" applyNumberFormat="1" applyFont="1" applyFill="1" applyBorder="1" applyAlignment="1" applyProtection="1">
      <alignment horizontal="center" vertical="center"/>
      <protection locked="0"/>
    </xf>
    <xf numFmtId="170" fontId="48" fillId="19" borderId="69" xfId="72" applyNumberFormat="1" applyFont="1" applyFill="1" applyBorder="1" applyAlignment="1" applyProtection="1">
      <alignment horizontal="center" vertical="center"/>
      <protection locked="0"/>
    </xf>
    <xf numFmtId="170" fontId="48" fillId="19" borderId="68" xfId="72" applyNumberFormat="1" applyFont="1" applyFill="1" applyBorder="1" applyAlignment="1" applyProtection="1">
      <alignment horizontal="center" vertical="center"/>
      <protection locked="0"/>
    </xf>
    <xf numFmtId="170" fontId="47" fillId="18" borderId="80" xfId="72" applyNumberFormat="1" applyFont="1" applyFill="1" applyBorder="1" applyAlignment="1" applyProtection="1">
      <alignment horizontal="center" vertical="center"/>
    </xf>
    <xf numFmtId="170" fontId="47" fillId="18" borderId="81" xfId="72" applyNumberFormat="1" applyFont="1" applyFill="1" applyBorder="1" applyAlignment="1" applyProtection="1">
      <alignment horizontal="center" vertical="center"/>
    </xf>
    <xf numFmtId="170" fontId="47" fillId="18" borderId="82" xfId="72" applyNumberFormat="1" applyFont="1" applyFill="1" applyBorder="1" applyAlignment="1" applyProtection="1">
      <alignment horizontal="center" vertical="center"/>
    </xf>
    <xf numFmtId="170" fontId="47" fillId="18" borderId="83" xfId="72" applyNumberFormat="1" applyFont="1" applyFill="1" applyBorder="1" applyAlignment="1" applyProtection="1">
      <alignment horizontal="center" vertical="center"/>
    </xf>
    <xf numFmtId="170" fontId="47" fillId="18" borderId="34" xfId="72" applyNumberFormat="1" applyFont="1" applyFill="1" applyBorder="1" applyAlignment="1" applyProtection="1">
      <alignment horizontal="center" vertical="center"/>
    </xf>
    <xf numFmtId="170" fontId="47" fillId="18" borderId="35" xfId="72" applyNumberFormat="1" applyFont="1" applyFill="1" applyBorder="1" applyAlignment="1" applyProtection="1">
      <alignment horizontal="center" vertical="center"/>
    </xf>
    <xf numFmtId="170" fontId="47" fillId="18" borderId="39" xfId="72" applyNumberFormat="1" applyFont="1" applyFill="1" applyBorder="1" applyAlignment="1" applyProtection="1">
      <alignment horizontal="center" vertical="center"/>
    </xf>
    <xf numFmtId="170" fontId="47" fillId="18" borderId="36" xfId="72" applyNumberFormat="1" applyFont="1" applyFill="1" applyBorder="1" applyAlignment="1" applyProtection="1">
      <alignment horizontal="center" vertical="center"/>
    </xf>
    <xf numFmtId="0" fontId="2" fillId="0" borderId="61" xfId="72" applyFont="1" applyFill="1" applyBorder="1" applyAlignment="1" applyProtection="1">
      <alignment horizontal="left" vertical="center"/>
    </xf>
    <xf numFmtId="164" fontId="2" fillId="18" borderId="61" xfId="77" applyNumberFormat="1" applyFont="1" applyFill="1" applyBorder="1" applyAlignment="1" applyProtection="1">
      <alignment horizontal="center" vertical="center"/>
    </xf>
    <xf numFmtId="1" fontId="2" fillId="0" borderId="61" xfId="73" applyNumberFormat="1" applyFont="1" applyBorder="1" applyAlignment="1" applyProtection="1">
      <alignment vertical="center"/>
    </xf>
    <xf numFmtId="170" fontId="27" fillId="18" borderId="12" xfId="72" applyNumberFormat="1" applyFont="1" applyFill="1" applyBorder="1" applyAlignment="1" applyProtection="1">
      <alignment horizontal="center" vertical="center"/>
    </xf>
    <xf numFmtId="170" fontId="27" fillId="18" borderId="40" xfId="72" applyNumberFormat="1" applyFont="1" applyFill="1" applyBorder="1" applyAlignment="1" applyProtection="1">
      <alignment horizontal="center" vertical="center"/>
    </xf>
    <xf numFmtId="170" fontId="27" fillId="18" borderId="46" xfId="72" applyNumberFormat="1" applyFont="1" applyFill="1" applyBorder="1" applyAlignment="1" applyProtection="1">
      <alignment horizontal="center" vertical="center"/>
    </xf>
    <xf numFmtId="0" fontId="25" fillId="0" borderId="46" xfId="72" applyFont="1" applyFill="1" applyBorder="1" applyAlignment="1" applyProtection="1">
      <alignment vertical="center"/>
    </xf>
    <xf numFmtId="0" fontId="43" fillId="0" borderId="36" xfId="0" applyFont="1" applyBorder="1" applyAlignment="1" applyProtection="1">
      <alignment vertical="center"/>
    </xf>
    <xf numFmtId="1" fontId="2" fillId="0" borderId="39" xfId="73" applyNumberFormat="1" applyFont="1" applyBorder="1" applyAlignment="1" applyProtection="1">
      <alignment vertical="center"/>
    </xf>
    <xf numFmtId="170" fontId="27" fillId="18" borderId="34" xfId="72" applyNumberFormat="1" applyFont="1" applyFill="1" applyBorder="1" applyAlignment="1" applyProtection="1">
      <alignment horizontal="center" vertical="center"/>
    </xf>
    <xf numFmtId="170" fontId="27" fillId="18" borderId="77" xfId="72" applyNumberFormat="1" applyFont="1" applyFill="1" applyBorder="1" applyAlignment="1" applyProtection="1">
      <alignment horizontal="center" vertical="center"/>
    </xf>
    <xf numFmtId="170" fontId="27" fillId="18" borderId="36" xfId="72" applyNumberFormat="1" applyFont="1" applyFill="1" applyBorder="1" applyAlignment="1" applyProtection="1">
      <alignment horizontal="center" vertical="center"/>
    </xf>
    <xf numFmtId="164" fontId="2" fillId="18" borderId="39" xfId="77" applyNumberFormat="1" applyFont="1" applyFill="1" applyBorder="1" applyAlignment="1" applyProtection="1">
      <alignment horizontal="center" vertical="center"/>
    </xf>
    <xf numFmtId="0" fontId="25" fillId="0" borderId="27" xfId="68" applyFont="1" applyBorder="1" applyAlignment="1" applyProtection="1">
      <alignment vertical="center"/>
    </xf>
    <xf numFmtId="0" fontId="25" fillId="0" borderId="28" xfId="68" applyFont="1" applyBorder="1" applyAlignment="1" applyProtection="1">
      <alignment vertical="center"/>
    </xf>
    <xf numFmtId="1" fontId="2" fillId="0" borderId="27" xfId="73" applyNumberFormat="1" applyFont="1" applyBorder="1" applyAlignment="1" applyProtection="1">
      <alignment vertical="center"/>
    </xf>
    <xf numFmtId="0" fontId="2" fillId="0" borderId="28" xfId="72" applyFont="1" applyFill="1" applyBorder="1" applyAlignment="1" applyProtection="1">
      <alignment horizontal="left" vertical="center"/>
    </xf>
    <xf numFmtId="0" fontId="2" fillId="0" borderId="27" xfId="72" applyFont="1" applyFill="1" applyBorder="1" applyAlignment="1" applyProtection="1">
      <alignment horizontal="left" vertical="center"/>
    </xf>
    <xf numFmtId="1" fontId="2" fillId="0" borderId="28" xfId="73" applyNumberFormat="1" applyFont="1" applyBorder="1" applyAlignment="1" applyProtection="1">
      <alignment vertical="center"/>
    </xf>
    <xf numFmtId="0" fontId="2" fillId="0" borderId="28" xfId="68" applyFont="1" applyBorder="1" applyAlignment="1" applyProtection="1">
      <alignment horizontal="left" vertical="center"/>
    </xf>
    <xf numFmtId="170" fontId="2" fillId="0" borderId="46" xfId="72" applyNumberFormat="1" applyFont="1" applyFill="1" applyBorder="1" applyAlignment="1" applyProtection="1">
      <alignment horizontal="center" vertical="center"/>
      <protection locked="0"/>
    </xf>
    <xf numFmtId="170" fontId="2" fillId="0" borderId="47" xfId="72" applyNumberFormat="1" applyFont="1" applyFill="1" applyBorder="1" applyAlignment="1" applyProtection="1">
      <alignment horizontal="center" vertical="center"/>
      <protection locked="0"/>
    </xf>
    <xf numFmtId="170" fontId="2" fillId="0" borderId="61" xfId="72" applyNumberFormat="1" applyFont="1" applyFill="1" applyBorder="1" applyAlignment="1" applyProtection="1">
      <alignment horizontal="center" vertical="center"/>
      <protection locked="0"/>
    </xf>
    <xf numFmtId="0" fontId="50" fillId="19" borderId="28" xfId="68" applyFont="1" applyFill="1" applyBorder="1" applyAlignment="1" applyProtection="1">
      <alignment horizontal="left" vertical="center"/>
    </xf>
    <xf numFmtId="0" fontId="42" fillId="0" borderId="0" xfId="0" applyFont="1" applyFill="1" applyAlignment="1" applyProtection="1">
      <alignment vertical="center"/>
    </xf>
    <xf numFmtId="164" fontId="2" fillId="0" borderId="61" xfId="77" applyNumberFormat="1" applyFont="1" applyFill="1" applyBorder="1" applyAlignment="1" applyProtection="1">
      <alignment horizontal="center" vertical="center"/>
    </xf>
    <xf numFmtId="0" fontId="2" fillId="0" borderId="30" xfId="72" applyFont="1" applyFill="1" applyBorder="1" applyAlignment="1" applyProtection="1">
      <alignment horizontal="left" vertical="center"/>
    </xf>
    <xf numFmtId="0" fontId="50" fillId="19" borderId="32" xfId="68" applyFont="1" applyFill="1" applyBorder="1" applyAlignment="1" applyProtection="1">
      <alignment horizontal="left" vertical="center"/>
    </xf>
    <xf numFmtId="170" fontId="33" fillId="19" borderId="39" xfId="72" applyNumberFormat="1" applyFont="1" applyFill="1" applyBorder="1" applyAlignment="1" applyProtection="1">
      <alignment horizontal="center" vertical="center"/>
      <protection locked="0"/>
    </xf>
    <xf numFmtId="170" fontId="2" fillId="18" borderId="36" xfId="69" applyNumberFormat="1" applyFont="1" applyFill="1" applyBorder="1" applyAlignment="1" applyProtection="1">
      <alignment horizontal="center" vertical="center"/>
    </xf>
    <xf numFmtId="170" fontId="2" fillId="18" borderId="35" xfId="69" applyNumberFormat="1" applyFont="1" applyFill="1" applyBorder="1" applyAlignment="1" applyProtection="1">
      <alignment horizontal="center" vertical="center"/>
    </xf>
    <xf numFmtId="170" fontId="2" fillId="18" borderId="39" xfId="69" applyNumberFormat="1" applyFont="1" applyFill="1" applyBorder="1" applyAlignment="1" applyProtection="1">
      <alignment horizontal="center" vertical="center"/>
    </xf>
    <xf numFmtId="0" fontId="32" fillId="0" borderId="0" xfId="75" applyFont="1" applyAlignment="1" applyProtection="1">
      <alignment vertical="center"/>
    </xf>
    <xf numFmtId="0" fontId="32" fillId="0" borderId="0" xfId="72" applyFont="1" applyFill="1" applyBorder="1" applyAlignment="1" applyProtection="1">
      <alignment horizontal="left" vertical="center"/>
    </xf>
    <xf numFmtId="1" fontId="32" fillId="0" borderId="0" xfId="73" applyNumberFormat="1" applyFont="1" applyAlignment="1" applyProtection="1">
      <alignment vertical="center"/>
    </xf>
    <xf numFmtId="0" fontId="32" fillId="0" borderId="0" xfId="73" applyFont="1" applyAlignment="1" applyProtection="1">
      <alignment vertical="center"/>
    </xf>
    <xf numFmtId="0" fontId="35" fillId="21" borderId="0" xfId="78" applyFont="1" applyFill="1" applyBorder="1" applyAlignment="1" applyProtection="1">
      <alignment vertical="center"/>
    </xf>
    <xf numFmtId="0" fontId="38" fillId="21" borderId="0" xfId="79" applyFont="1" applyFill="1" applyBorder="1" applyAlignment="1" applyProtection="1">
      <alignment vertical="center"/>
    </xf>
    <xf numFmtId="0" fontId="32" fillId="21" borderId="0" xfId="79" applyFont="1" applyFill="1" applyBorder="1" applyAlignment="1" applyProtection="1">
      <alignment vertical="center"/>
    </xf>
    <xf numFmtId="0" fontId="51" fillId="21" borderId="0" xfId="79" applyFont="1" applyFill="1" applyBorder="1" applyAlignment="1" applyProtection="1">
      <alignment vertical="center"/>
    </xf>
    <xf numFmtId="0" fontId="2" fillId="21" borderId="0" xfId="79" applyFont="1" applyFill="1" applyBorder="1" applyAlignment="1" applyProtection="1">
      <alignment vertical="center"/>
    </xf>
    <xf numFmtId="0" fontId="38" fillId="21" borderId="0" xfId="79" applyFont="1" applyFill="1" applyBorder="1" applyAlignment="1" applyProtection="1">
      <alignment horizontal="left" vertical="center"/>
    </xf>
    <xf numFmtId="0" fontId="38" fillId="21" borderId="31" xfId="79" applyFont="1" applyFill="1" applyBorder="1" applyAlignment="1" applyProtection="1">
      <alignment vertical="center"/>
    </xf>
    <xf numFmtId="0" fontId="51" fillId="21" borderId="31" xfId="79" applyFont="1" applyFill="1" applyBorder="1" applyAlignment="1" applyProtection="1">
      <alignment horizontal="left" vertical="center"/>
    </xf>
    <xf numFmtId="0" fontId="2" fillId="21" borderId="31" xfId="79" applyFont="1" applyFill="1" applyBorder="1" applyAlignment="1" applyProtection="1">
      <alignment vertical="center"/>
    </xf>
    <xf numFmtId="0" fontId="2" fillId="0" borderId="0" xfId="79" applyFont="1" applyAlignment="1" applyProtection="1">
      <alignment vertical="center"/>
    </xf>
    <xf numFmtId="0" fontId="25" fillId="0" borderId="0" xfId="79" applyFont="1" applyAlignment="1" applyProtection="1">
      <alignment vertical="center"/>
    </xf>
    <xf numFmtId="0" fontId="25" fillId="0" borderId="52" xfId="80" applyFont="1" applyBorder="1" applyAlignment="1" applyProtection="1">
      <alignment horizontal="centerContinuous" vertical="center"/>
    </xf>
    <xf numFmtId="0" fontId="25" fillId="0" borderId="53" xfId="80" applyFont="1" applyBorder="1" applyAlignment="1" applyProtection="1">
      <alignment horizontal="centerContinuous" vertical="center"/>
    </xf>
    <xf numFmtId="0" fontId="2" fillId="0" borderId="54" xfId="80" applyFont="1" applyBorder="1" applyAlignment="1" applyProtection="1">
      <alignment horizontal="centerContinuous" vertical="center"/>
    </xf>
    <xf numFmtId="0" fontId="2" fillId="0" borderId="53" xfId="80" applyFont="1" applyBorder="1" applyAlignment="1" applyProtection="1">
      <alignment horizontal="centerContinuous" vertical="center"/>
    </xf>
    <xf numFmtId="0" fontId="25" fillId="0" borderId="46" xfId="80" applyFont="1" applyBorder="1" applyAlignment="1" applyProtection="1">
      <alignment horizontal="center" vertical="center" wrapText="1"/>
    </xf>
    <xf numFmtId="0" fontId="25" fillId="0" borderId="47" xfId="80" applyFont="1" applyBorder="1" applyAlignment="1" applyProtection="1">
      <alignment horizontal="center" vertical="center" wrapText="1"/>
    </xf>
    <xf numFmtId="0" fontId="25" fillId="0" borderId="61" xfId="80" applyFont="1" applyBorder="1" applyAlignment="1" applyProtection="1">
      <alignment horizontal="center" vertical="center" wrapText="1"/>
    </xf>
    <xf numFmtId="0" fontId="25" fillId="0" borderId="46" xfId="79" applyFont="1" applyBorder="1" applyAlignment="1" applyProtection="1">
      <alignment horizontal="left" vertical="center" wrapText="1"/>
    </xf>
    <xf numFmtId="0" fontId="2" fillId="0" borderId="61" xfId="79" applyNumberFormat="1" applyFont="1" applyBorder="1" applyAlignment="1" applyProtection="1">
      <alignment vertical="center" wrapText="1"/>
    </xf>
    <xf numFmtId="170" fontId="42" fillId="0" borderId="71" xfId="81" applyNumberFormat="1" applyFont="1" applyFill="1" applyBorder="1" applyAlignment="1" applyProtection="1">
      <alignment horizontal="center" vertical="center"/>
    </xf>
    <xf numFmtId="170" fontId="42" fillId="0" borderId="11" xfId="81" applyNumberFormat="1" applyFont="1" applyFill="1" applyBorder="1" applyAlignment="1" applyProtection="1">
      <alignment horizontal="center" vertical="center"/>
    </xf>
    <xf numFmtId="170" fontId="42" fillId="0" borderId="40" xfId="81" applyNumberFormat="1" applyFont="1" applyFill="1" applyBorder="1" applyAlignment="1" applyProtection="1">
      <alignment horizontal="center" vertical="center"/>
    </xf>
    <xf numFmtId="0" fontId="2" fillId="0" borderId="46" xfId="79" applyFont="1" applyBorder="1" applyAlignment="1" applyProtection="1">
      <alignment horizontal="left" vertical="center" wrapText="1"/>
    </xf>
    <xf numFmtId="170" fontId="42" fillId="0" borderId="46" xfId="81" applyNumberFormat="1" applyFont="1" applyFill="1" applyBorder="1" applyAlignment="1" applyProtection="1">
      <alignment horizontal="center" vertical="center"/>
    </xf>
    <xf numFmtId="170" fontId="42" fillId="0" borderId="12" xfId="81" applyNumberFormat="1" applyFont="1" applyFill="1" applyBorder="1" applyAlignment="1" applyProtection="1">
      <alignment horizontal="center" vertical="center"/>
    </xf>
    <xf numFmtId="170" fontId="42" fillId="0" borderId="47" xfId="81" applyNumberFormat="1" applyFont="1" applyFill="1" applyBorder="1" applyAlignment="1" applyProtection="1">
      <alignment horizontal="center" vertical="center"/>
    </xf>
    <xf numFmtId="170" fontId="42" fillId="0" borderId="61" xfId="81" applyNumberFormat="1" applyFont="1" applyFill="1" applyBorder="1" applyAlignment="1" applyProtection="1">
      <alignment horizontal="center" vertical="center"/>
    </xf>
    <xf numFmtId="170" fontId="33" fillId="19" borderId="12" xfId="81" applyNumberFormat="1" applyFont="1" applyFill="1" applyBorder="1" applyAlignment="1" applyProtection="1">
      <alignment horizontal="center" vertical="center"/>
      <protection locked="0"/>
    </xf>
    <xf numFmtId="170" fontId="33" fillId="19" borderId="40" xfId="81" applyNumberFormat="1" applyFont="1" applyFill="1" applyBorder="1" applyAlignment="1" applyProtection="1">
      <alignment horizontal="center" vertical="center"/>
      <protection locked="0"/>
    </xf>
    <xf numFmtId="170" fontId="33" fillId="19" borderId="46" xfId="81" applyNumberFormat="1" applyFont="1" applyFill="1" applyBorder="1" applyAlignment="1" applyProtection="1">
      <alignment horizontal="center" vertical="center"/>
      <protection locked="0"/>
    </xf>
    <xf numFmtId="170" fontId="33" fillId="19" borderId="47" xfId="81" applyNumberFormat="1" applyFont="1" applyFill="1" applyBorder="1" applyAlignment="1" applyProtection="1">
      <alignment horizontal="center" vertical="center"/>
      <protection locked="0"/>
    </xf>
    <xf numFmtId="170" fontId="33" fillId="19" borderId="61" xfId="81" applyNumberFormat="1" applyFont="1" applyFill="1" applyBorder="1" applyAlignment="1" applyProtection="1">
      <alignment horizontal="center" vertical="center"/>
      <protection locked="0"/>
    </xf>
    <xf numFmtId="0" fontId="33" fillId="19" borderId="46" xfId="79" applyFont="1" applyFill="1" applyBorder="1" applyAlignment="1" applyProtection="1">
      <alignment horizontal="left" vertical="center" wrapText="1"/>
      <protection locked="0"/>
    </xf>
    <xf numFmtId="0" fontId="2" fillId="0" borderId="61" xfId="79" applyNumberFormat="1" applyFont="1" applyBorder="1" applyAlignment="1" applyProtection="1">
      <alignment vertical="center" wrapText="1"/>
      <protection locked="0"/>
    </xf>
    <xf numFmtId="0" fontId="2" fillId="0" borderId="0" xfId="79" applyFont="1" applyAlignment="1" applyProtection="1">
      <alignment vertical="center"/>
      <protection locked="0"/>
    </xf>
    <xf numFmtId="170" fontId="33" fillId="19" borderId="15" xfId="81" applyNumberFormat="1" applyFont="1" applyFill="1" applyBorder="1" applyAlignment="1" applyProtection="1">
      <alignment horizontal="center" vertical="center"/>
      <protection locked="0"/>
    </xf>
    <xf numFmtId="170" fontId="33" fillId="19" borderId="14" xfId="81" applyNumberFormat="1" applyFont="1" applyFill="1" applyBorder="1" applyAlignment="1" applyProtection="1">
      <alignment horizontal="center" vertical="center"/>
      <protection locked="0"/>
    </xf>
    <xf numFmtId="170" fontId="33" fillId="19" borderId="68" xfId="81" applyNumberFormat="1" applyFont="1" applyFill="1" applyBorder="1" applyAlignment="1" applyProtection="1">
      <alignment horizontal="center" vertical="center"/>
      <protection locked="0"/>
    </xf>
    <xf numFmtId="170" fontId="33" fillId="19" borderId="70" xfId="81" applyNumberFormat="1" applyFont="1" applyFill="1" applyBorder="1" applyAlignment="1" applyProtection="1">
      <alignment horizontal="center" vertical="center"/>
      <protection locked="0"/>
    </xf>
    <xf numFmtId="170" fontId="33" fillId="19" borderId="69" xfId="81" applyNumberFormat="1" applyFont="1" applyFill="1" applyBorder="1" applyAlignment="1" applyProtection="1">
      <alignment horizontal="center" vertical="center"/>
      <protection locked="0"/>
    </xf>
    <xf numFmtId="0" fontId="25" fillId="0" borderId="76" xfId="79" applyFont="1" applyBorder="1" applyAlignment="1" applyProtection="1">
      <alignment horizontal="left" vertical="center"/>
      <protection locked="0"/>
    </xf>
    <xf numFmtId="0" fontId="2" fillId="0" borderId="39" xfId="79" applyNumberFormat="1" applyFont="1" applyBorder="1" applyAlignment="1" applyProtection="1">
      <alignment vertical="center" wrapText="1"/>
      <protection locked="0"/>
    </xf>
    <xf numFmtId="170" fontId="25" fillId="18" borderId="36" xfId="79" applyNumberFormat="1" applyFont="1" applyFill="1" applyBorder="1" applyAlignment="1" applyProtection="1">
      <alignment horizontal="center" vertical="center"/>
      <protection locked="0"/>
    </xf>
    <xf numFmtId="170" fontId="25" fillId="18" borderId="35" xfId="79" applyNumberFormat="1" applyFont="1" applyFill="1" applyBorder="1" applyAlignment="1" applyProtection="1">
      <alignment horizontal="center" vertical="center"/>
      <protection locked="0"/>
    </xf>
    <xf numFmtId="170" fontId="25" fillId="18" borderId="39" xfId="79" applyNumberFormat="1" applyFont="1" applyFill="1" applyBorder="1" applyAlignment="1" applyProtection="1">
      <alignment horizontal="center" vertical="center"/>
      <protection locked="0"/>
    </xf>
    <xf numFmtId="0" fontId="25" fillId="0" borderId="0" xfId="79" applyFont="1" applyAlignment="1" applyProtection="1">
      <alignment horizontal="left" vertical="center"/>
    </xf>
    <xf numFmtId="0" fontId="2" fillId="0" borderId="0" xfId="79" applyNumberFormat="1" applyFont="1" applyAlignment="1" applyProtection="1">
      <alignment vertical="center" wrapText="1"/>
    </xf>
    <xf numFmtId="0" fontId="2" fillId="0" borderId="0" xfId="79" applyFont="1" applyFill="1" applyAlignment="1" applyProtection="1">
      <alignment vertical="center"/>
    </xf>
    <xf numFmtId="0" fontId="43" fillId="0" borderId="0" xfId="78" applyFont="1" applyAlignment="1" applyProtection="1">
      <alignment vertical="center"/>
    </xf>
    <xf numFmtId="0" fontId="25" fillId="0" borderId="12" xfId="80" applyFont="1" applyBorder="1" applyAlignment="1" applyProtection="1">
      <alignment horizontal="center" vertical="center" wrapText="1"/>
    </xf>
    <xf numFmtId="0" fontId="2" fillId="0" borderId="69" xfId="79" applyNumberFormat="1" applyFont="1" applyBorder="1" applyAlignment="1" applyProtection="1">
      <alignment vertical="center" wrapText="1"/>
    </xf>
    <xf numFmtId="0" fontId="25" fillId="0" borderId="30" xfId="79" applyFont="1" applyBorder="1" applyAlignment="1" applyProtection="1">
      <alignment horizontal="left" vertical="center"/>
    </xf>
    <xf numFmtId="0" fontId="2" fillId="0" borderId="39" xfId="79" applyNumberFormat="1" applyFont="1" applyBorder="1" applyAlignment="1" applyProtection="1">
      <alignment vertical="center" wrapText="1"/>
    </xf>
    <xf numFmtId="170" fontId="25" fillId="18" borderId="34" xfId="79" applyNumberFormat="1" applyFont="1" applyFill="1" applyBorder="1" applyAlignment="1" applyProtection="1">
      <alignment horizontal="center" vertical="center"/>
    </xf>
    <xf numFmtId="170" fontId="25" fillId="18" borderId="35" xfId="79" applyNumberFormat="1" applyFont="1" applyFill="1" applyBorder="1" applyAlignment="1" applyProtection="1">
      <alignment horizontal="center" vertical="center"/>
    </xf>
    <xf numFmtId="170" fontId="25" fillId="18" borderId="39" xfId="79" applyNumberFormat="1" applyFont="1" applyFill="1" applyBorder="1" applyAlignment="1" applyProtection="1">
      <alignment horizontal="center" vertical="center"/>
    </xf>
    <xf numFmtId="170" fontId="25" fillId="18" borderId="36" xfId="79" applyNumberFormat="1" applyFont="1" applyFill="1" applyBorder="1" applyAlignment="1" applyProtection="1">
      <alignment horizontal="center" vertical="center"/>
    </xf>
    <xf numFmtId="170" fontId="33" fillId="19" borderId="12" xfId="81" applyNumberFormat="1" applyFont="1" applyFill="1" applyBorder="1" applyAlignment="1" applyProtection="1">
      <alignment vertical="center"/>
      <protection locked="0"/>
    </xf>
    <xf numFmtId="170" fontId="33" fillId="19" borderId="47" xfId="81" applyNumberFormat="1" applyFont="1" applyFill="1" applyBorder="1" applyAlignment="1" applyProtection="1">
      <alignment vertical="center"/>
      <protection locked="0"/>
    </xf>
    <xf numFmtId="0" fontId="2" fillId="0" borderId="52" xfId="79" applyFont="1" applyBorder="1" applyAlignment="1" applyProtection="1">
      <alignment vertical="center"/>
    </xf>
    <xf numFmtId="0" fontId="25" fillId="0" borderId="55" xfId="79" applyFont="1" applyBorder="1" applyAlignment="1" applyProtection="1">
      <alignment horizontal="center" vertical="center" wrapText="1"/>
    </xf>
    <xf numFmtId="0" fontId="25" fillId="0" borderId="56" xfId="79" applyFont="1" applyBorder="1" applyAlignment="1" applyProtection="1">
      <alignment horizontal="center" vertical="center" wrapText="1"/>
    </xf>
    <xf numFmtId="0" fontId="25" fillId="0" borderId="57" xfId="79" applyFont="1" applyBorder="1" applyAlignment="1" applyProtection="1">
      <alignment horizontal="center" vertical="center" wrapText="1"/>
    </xf>
    <xf numFmtId="0" fontId="2" fillId="0" borderId="71" xfId="79" applyFont="1" applyBorder="1" applyAlignment="1" applyProtection="1">
      <alignment horizontal="left" vertical="center" wrapText="1"/>
    </xf>
    <xf numFmtId="1" fontId="2" fillId="0" borderId="46" xfId="81" applyNumberFormat="1" applyFont="1" applyFill="1" applyBorder="1" applyAlignment="1" applyProtection="1">
      <alignment horizontal="center" vertical="center"/>
    </xf>
    <xf numFmtId="1" fontId="2" fillId="0" borderId="47" xfId="81" applyNumberFormat="1" applyFont="1" applyFill="1" applyBorder="1" applyAlignment="1" applyProtection="1">
      <alignment horizontal="center" vertical="center"/>
    </xf>
    <xf numFmtId="1" fontId="33" fillId="19" borderId="47" xfId="81" applyNumberFormat="1" applyFont="1" applyFill="1" applyBorder="1" applyAlignment="1" applyProtection="1">
      <alignment horizontal="center" vertical="center"/>
      <protection locked="0"/>
    </xf>
    <xf numFmtId="1" fontId="2" fillId="0" borderId="61" xfId="81" applyNumberFormat="1" applyFont="1" applyFill="1" applyBorder="1" applyAlignment="1" applyProtection="1">
      <alignment horizontal="center" vertical="center"/>
    </xf>
    <xf numFmtId="0" fontId="25" fillId="0" borderId="76" xfId="79" applyFont="1" applyBorder="1" applyAlignment="1" applyProtection="1">
      <alignment horizontal="left" vertical="center"/>
    </xf>
    <xf numFmtId="1" fontId="25" fillId="18" borderId="36" xfId="79" applyNumberFormat="1" applyFont="1" applyFill="1" applyBorder="1" applyAlignment="1" applyProtection="1">
      <alignment horizontal="center" vertical="center" wrapText="1"/>
    </xf>
    <xf numFmtId="1" fontId="25" fillId="18" borderId="35" xfId="79" applyNumberFormat="1" applyFont="1" applyFill="1" applyBorder="1" applyAlignment="1" applyProtection="1">
      <alignment horizontal="center" vertical="center" wrapText="1"/>
    </xf>
    <xf numFmtId="1" fontId="25" fillId="18" borderId="39" xfId="79" applyNumberFormat="1" applyFont="1" applyFill="1" applyBorder="1" applyAlignment="1" applyProtection="1">
      <alignment horizontal="center" vertical="center" wrapText="1"/>
    </xf>
    <xf numFmtId="0" fontId="25" fillId="0" borderId="0" xfId="79" applyFont="1" applyBorder="1" applyAlignment="1" applyProtection="1">
      <alignment vertical="center"/>
    </xf>
    <xf numFmtId="0" fontId="2" fillId="0" borderId="29" xfId="79" applyFont="1" applyBorder="1" applyAlignment="1" applyProtection="1">
      <alignment vertical="center"/>
    </xf>
    <xf numFmtId="0" fontId="25" fillId="0" borderId="18" xfId="79" applyFont="1" applyBorder="1" applyAlignment="1" applyProtection="1">
      <alignment vertical="center"/>
    </xf>
    <xf numFmtId="0" fontId="25" fillId="0" borderId="19" xfId="79" applyFont="1" applyBorder="1" applyAlignment="1" applyProtection="1">
      <alignment vertical="center"/>
    </xf>
    <xf numFmtId="0" fontId="25" fillId="0" borderId="65" xfId="79" applyFont="1" applyBorder="1" applyAlignment="1" applyProtection="1">
      <alignment vertical="center"/>
    </xf>
    <xf numFmtId="0" fontId="25" fillId="0" borderId="70" xfId="79" applyFont="1" applyFill="1" applyBorder="1" applyAlignment="1" applyProtection="1">
      <alignment horizontal="center" vertical="center" wrapText="1"/>
    </xf>
    <xf numFmtId="0" fontId="25" fillId="0" borderId="47" xfId="79" applyFont="1" applyFill="1" applyBorder="1" applyAlignment="1" applyProtection="1">
      <alignment horizontal="center" vertical="center" wrapText="1"/>
    </xf>
    <xf numFmtId="0" fontId="25" fillId="0" borderId="61" xfId="79" applyFont="1" applyFill="1" applyBorder="1" applyAlignment="1" applyProtection="1">
      <alignment horizontal="center" vertical="center" wrapText="1"/>
    </xf>
    <xf numFmtId="0" fontId="2" fillId="0" borderId="0" xfId="79" applyFont="1" applyFill="1" applyBorder="1" applyAlignment="1" applyProtection="1">
      <alignment vertical="center"/>
    </xf>
    <xf numFmtId="0" fontId="25" fillId="0" borderId="72" xfId="79" applyFont="1" applyBorder="1" applyAlignment="1" applyProtection="1">
      <alignment vertical="center"/>
    </xf>
    <xf numFmtId="1" fontId="33" fillId="19" borderId="12" xfId="81" applyNumberFormat="1" applyFont="1" applyFill="1" applyBorder="1" applyAlignment="1" applyProtection="1">
      <alignment horizontal="center" vertical="center"/>
      <protection locked="0"/>
    </xf>
    <xf numFmtId="1" fontId="33" fillId="19" borderId="61" xfId="81" applyNumberFormat="1" applyFont="1" applyFill="1" applyBorder="1" applyAlignment="1" applyProtection="1">
      <alignment horizontal="center" vertical="center"/>
      <protection locked="0"/>
    </xf>
    <xf numFmtId="0" fontId="2" fillId="0" borderId="64" xfId="79" applyFont="1" applyBorder="1" applyAlignment="1" applyProtection="1">
      <alignment horizontal="left" vertical="center" wrapText="1"/>
    </xf>
    <xf numFmtId="1" fontId="2" fillId="0" borderId="58" xfId="81" applyNumberFormat="1" applyFont="1" applyFill="1" applyBorder="1" applyAlignment="1" applyProtection="1">
      <alignment horizontal="center" vertical="center"/>
    </xf>
    <xf numFmtId="1" fontId="33" fillId="19" borderId="20" xfId="81" applyNumberFormat="1" applyFont="1" applyFill="1" applyBorder="1" applyAlignment="1" applyProtection="1">
      <alignment horizontal="center" vertical="center"/>
      <protection locked="0"/>
    </xf>
    <xf numFmtId="1" fontId="33" fillId="19" borderId="60" xfId="81" applyNumberFormat="1" applyFont="1" applyFill="1" applyBorder="1" applyAlignment="1" applyProtection="1">
      <alignment horizontal="center" vertical="center"/>
      <protection locked="0"/>
    </xf>
    <xf numFmtId="1" fontId="33" fillId="19" borderId="59" xfId="81" applyNumberFormat="1" applyFont="1" applyFill="1" applyBorder="1" applyAlignment="1" applyProtection="1">
      <alignment horizontal="center" vertical="center"/>
      <protection locked="0"/>
    </xf>
    <xf numFmtId="0" fontId="25" fillId="0" borderId="0" xfId="79" applyFont="1" applyBorder="1" applyAlignment="1" applyProtection="1">
      <alignment horizontal="left" vertical="center"/>
    </xf>
    <xf numFmtId="0" fontId="2" fillId="0" borderId="0" xfId="79" applyNumberFormat="1" applyFont="1" applyFill="1" applyBorder="1" applyAlignment="1" applyProtection="1">
      <alignment vertical="center" wrapText="1"/>
    </xf>
    <xf numFmtId="0" fontId="25" fillId="0" borderId="10" xfId="79" applyFont="1" applyBorder="1" applyAlignment="1" applyProtection="1">
      <alignment horizontal="centerContinuous" vertical="center"/>
    </xf>
    <xf numFmtId="0" fontId="25" fillId="0" borderId="11" xfId="79" applyFont="1" applyBorder="1" applyAlignment="1" applyProtection="1">
      <alignment horizontal="centerContinuous" vertical="center"/>
    </xf>
    <xf numFmtId="0" fontId="25" fillId="0" borderId="40" xfId="79" applyFont="1" applyBorder="1" applyAlignment="1" applyProtection="1">
      <alignment horizontal="centerContinuous" vertical="center"/>
    </xf>
    <xf numFmtId="0" fontId="2" fillId="0" borderId="27" xfId="79" applyFont="1" applyBorder="1" applyAlignment="1" applyProtection="1">
      <alignment vertical="center"/>
    </xf>
    <xf numFmtId="0" fontId="25" fillId="0" borderId="18" xfId="79" applyFont="1" applyBorder="1" applyAlignment="1" applyProtection="1">
      <alignment horizontal="centerContinuous" vertical="center"/>
    </xf>
    <xf numFmtId="0" fontId="25" fillId="0" borderId="19" xfId="79" applyFont="1" applyBorder="1" applyAlignment="1" applyProtection="1">
      <alignment horizontal="centerContinuous" vertical="center"/>
    </xf>
    <xf numFmtId="0" fontId="25" fillId="0" borderId="65" xfId="79" applyFont="1" applyBorder="1" applyAlignment="1" applyProtection="1">
      <alignment horizontal="centerContinuous" vertical="center"/>
    </xf>
    <xf numFmtId="0" fontId="25" fillId="20" borderId="61" xfId="79" applyFont="1" applyFill="1" applyBorder="1" applyAlignment="1" applyProtection="1">
      <alignment horizontal="center" vertical="center" wrapText="1"/>
    </xf>
    <xf numFmtId="0" fontId="25" fillId="0" borderId="64" xfId="79" applyFont="1" applyBorder="1" applyAlignment="1" applyProtection="1">
      <alignment horizontal="left" vertical="center"/>
    </xf>
    <xf numFmtId="0" fontId="2" fillId="0" borderId="72" xfId="79" applyFont="1" applyBorder="1" applyAlignment="1" applyProtection="1">
      <alignment horizontal="left" vertical="center" wrapText="1"/>
    </xf>
    <xf numFmtId="0" fontId="2" fillId="20" borderId="60" xfId="81" applyFont="1" applyFill="1" applyBorder="1" applyAlignment="1" applyProtection="1">
      <alignment horizontal="center" vertical="center"/>
    </xf>
    <xf numFmtId="1" fontId="33" fillId="19" borderId="58" xfId="81" applyNumberFormat="1" applyFont="1" applyFill="1" applyBorder="1" applyAlignment="1" applyProtection="1">
      <alignment horizontal="center" vertical="center"/>
      <protection locked="0"/>
    </xf>
    <xf numFmtId="0" fontId="33" fillId="20" borderId="60" xfId="81" applyFont="1" applyFill="1" applyBorder="1" applyAlignment="1" applyProtection="1">
      <alignment horizontal="center" vertical="center"/>
    </xf>
    <xf numFmtId="0" fontId="2" fillId="0" borderId="38" xfId="79" applyFont="1" applyBorder="1" applyAlignment="1" applyProtection="1">
      <alignment horizontal="left" vertical="center" wrapText="1"/>
    </xf>
    <xf numFmtId="0" fontId="2" fillId="20" borderId="47" xfId="81" applyFont="1" applyFill="1" applyBorder="1" applyAlignment="1" applyProtection="1">
      <alignment horizontal="center" vertical="center"/>
    </xf>
    <xf numFmtId="1" fontId="33" fillId="19" borderId="46" xfId="81" applyNumberFormat="1" applyFont="1" applyFill="1" applyBorder="1" applyAlignment="1" applyProtection="1">
      <alignment horizontal="center" vertical="center"/>
      <protection locked="0"/>
    </xf>
    <xf numFmtId="0" fontId="33" fillId="20" borderId="47" xfId="81" applyFont="1" applyFill="1" applyBorder="1" applyAlignment="1" applyProtection="1">
      <alignment horizontal="center" vertical="center"/>
    </xf>
    <xf numFmtId="0" fontId="25" fillId="0" borderId="73" xfId="79" applyFont="1" applyBorder="1" applyAlignment="1" applyProtection="1">
      <alignment horizontal="left" vertical="center"/>
    </xf>
    <xf numFmtId="1" fontId="25" fillId="18" borderId="34" xfId="79" applyNumberFormat="1" applyFont="1" applyFill="1" applyBorder="1" applyAlignment="1" applyProtection="1">
      <alignment horizontal="center" vertical="center" wrapText="1"/>
    </xf>
    <xf numFmtId="0" fontId="25" fillId="20" borderId="39" xfId="79" applyNumberFormat="1" applyFont="1" applyFill="1" applyBorder="1" applyAlignment="1" applyProtection="1">
      <alignment horizontal="center" vertical="center" wrapText="1"/>
    </xf>
    <xf numFmtId="0" fontId="25" fillId="0" borderId="22" xfId="79" applyFont="1" applyBorder="1" applyAlignment="1" applyProtection="1">
      <alignment horizontal="left" vertical="center"/>
    </xf>
    <xf numFmtId="0" fontId="2" fillId="0" borderId="22" xfId="79" applyNumberFormat="1" applyFont="1" applyFill="1" applyBorder="1" applyAlignment="1" applyProtection="1">
      <alignment vertical="center" wrapText="1"/>
    </xf>
    <xf numFmtId="0" fontId="25" fillId="0" borderId="72" xfId="79" applyFont="1" applyBorder="1" applyAlignment="1" applyProtection="1">
      <alignment horizontal="left" vertical="center"/>
    </xf>
    <xf numFmtId="170" fontId="2" fillId="0" borderId="58" xfId="81" applyNumberFormat="1" applyFont="1" applyFill="1" applyBorder="1" applyAlignment="1" applyProtection="1">
      <alignment horizontal="center" vertical="center"/>
    </xf>
    <xf numFmtId="170" fontId="33" fillId="19" borderId="20" xfId="81" applyNumberFormat="1" applyFont="1" applyFill="1" applyBorder="1" applyAlignment="1" applyProtection="1">
      <alignment horizontal="center" vertical="center"/>
      <protection locked="0"/>
    </xf>
    <xf numFmtId="0" fontId="33" fillId="20" borderId="61" xfId="81" applyFont="1" applyFill="1" applyBorder="1" applyAlignment="1" applyProtection="1">
      <alignment horizontal="center" vertical="center"/>
    </xf>
    <xf numFmtId="170" fontId="33" fillId="19" borderId="60" xfId="81" applyNumberFormat="1" applyFont="1" applyFill="1" applyBorder="1" applyAlignment="1" applyProtection="1">
      <alignment horizontal="center" vertical="center"/>
      <protection locked="0"/>
    </xf>
    <xf numFmtId="0" fontId="33" fillId="20" borderId="59" xfId="81" applyFont="1" applyFill="1" applyBorder="1" applyAlignment="1" applyProtection="1">
      <alignment horizontal="center" vertical="center"/>
    </xf>
    <xf numFmtId="170" fontId="25" fillId="18" borderId="36" xfId="79" applyNumberFormat="1" applyFont="1" applyFill="1" applyBorder="1" applyAlignment="1" applyProtection="1">
      <alignment horizontal="center" vertical="center" wrapText="1"/>
    </xf>
    <xf numFmtId="170" fontId="25" fillId="18" borderId="35" xfId="79" applyNumberFormat="1" applyFont="1" applyFill="1" applyBorder="1" applyAlignment="1" applyProtection="1">
      <alignment horizontal="center" vertical="center" wrapText="1"/>
    </xf>
    <xf numFmtId="0" fontId="2" fillId="0" borderId="22" xfId="79" applyFont="1" applyBorder="1" applyAlignment="1" applyProtection="1">
      <alignment vertical="center"/>
    </xf>
    <xf numFmtId="0" fontId="25" fillId="20" borderId="69" xfId="79" applyFont="1" applyFill="1" applyBorder="1" applyAlignment="1" applyProtection="1">
      <alignment horizontal="center" vertical="center" wrapText="1"/>
    </xf>
    <xf numFmtId="170" fontId="2" fillId="0" borderId="60" xfId="81" applyNumberFormat="1" applyFont="1" applyFill="1" applyBorder="1" applyAlignment="1" applyProtection="1">
      <alignment horizontal="center" vertical="center"/>
    </xf>
    <xf numFmtId="0" fontId="33" fillId="20" borderId="57" xfId="81" applyFont="1" applyFill="1" applyBorder="1" applyAlignment="1" applyProtection="1">
      <alignment horizontal="center" vertical="center"/>
    </xf>
    <xf numFmtId="170" fontId="2" fillId="0" borderId="46" xfId="81" applyNumberFormat="1" applyFont="1" applyFill="1" applyBorder="1" applyAlignment="1" applyProtection="1">
      <alignment horizontal="center" vertical="center"/>
    </xf>
    <xf numFmtId="170" fontId="2" fillId="0" borderId="47" xfId="81" applyNumberFormat="1" applyFont="1" applyFill="1" applyBorder="1" applyAlignment="1" applyProtection="1">
      <alignment horizontal="center" vertical="center"/>
    </xf>
    <xf numFmtId="0" fontId="2" fillId="0" borderId="76" xfId="79" applyFont="1" applyBorder="1" applyAlignment="1" applyProtection="1">
      <alignment horizontal="left" vertical="center" wrapText="1"/>
    </xf>
    <xf numFmtId="170" fontId="2" fillId="0" borderId="36" xfId="81" applyNumberFormat="1" applyFont="1" applyFill="1" applyBorder="1" applyAlignment="1" applyProtection="1">
      <alignment horizontal="center" vertical="center"/>
    </xf>
    <xf numFmtId="170" fontId="2" fillId="0" borderId="35" xfId="81" applyNumberFormat="1" applyFont="1" applyFill="1" applyBorder="1" applyAlignment="1" applyProtection="1">
      <alignment horizontal="center" vertical="center"/>
    </xf>
    <xf numFmtId="0" fontId="33" fillId="20" borderId="39" xfId="81" applyFont="1" applyFill="1" applyBorder="1" applyAlignment="1" applyProtection="1">
      <alignment horizontal="center" vertical="center"/>
    </xf>
    <xf numFmtId="0" fontId="2" fillId="0" borderId="85" xfId="79" applyFont="1" applyBorder="1" applyAlignment="1" applyProtection="1">
      <alignment vertical="center"/>
    </xf>
    <xf numFmtId="1" fontId="2" fillId="0" borderId="60" xfId="81" applyNumberFormat="1" applyFont="1" applyFill="1" applyBorder="1" applyAlignment="1" applyProtection="1">
      <alignment horizontal="center" vertical="center"/>
    </xf>
    <xf numFmtId="1" fontId="2" fillId="0" borderId="59" xfId="81" applyNumberFormat="1" applyFont="1" applyFill="1" applyBorder="1" applyAlignment="1" applyProtection="1">
      <alignment horizontal="center" vertical="center"/>
    </xf>
    <xf numFmtId="0" fontId="2" fillId="0" borderId="84" xfId="79" applyFont="1" applyBorder="1" applyAlignment="1" applyProtection="1">
      <alignment vertical="center"/>
    </xf>
    <xf numFmtId="0" fontId="25" fillId="0" borderId="47" xfId="79" applyFont="1" applyFill="1" applyBorder="1" applyAlignment="1" applyProtection="1">
      <alignment vertical="center" wrapText="1"/>
    </xf>
    <xf numFmtId="0" fontId="25" fillId="0" borderId="61" xfId="79" applyFont="1" applyFill="1" applyBorder="1" applyAlignment="1" applyProtection="1">
      <alignment vertical="center" wrapText="1"/>
    </xf>
    <xf numFmtId="0" fontId="2" fillId="0" borderId="66" xfId="79" applyFont="1" applyBorder="1" applyAlignment="1" applyProtection="1">
      <alignment vertical="center"/>
    </xf>
    <xf numFmtId="0" fontId="25" fillId="20" borderId="37" xfId="79" applyNumberFormat="1" applyFont="1" applyFill="1" applyBorder="1" applyAlignment="1" applyProtection="1">
      <alignment horizontal="center" vertical="center" wrapText="1"/>
    </xf>
    <xf numFmtId="0" fontId="2" fillId="20" borderId="35" xfId="81" applyFont="1" applyFill="1" applyBorder="1" applyAlignment="1" applyProtection="1">
      <alignment horizontal="center" vertical="center"/>
    </xf>
    <xf numFmtId="1" fontId="25" fillId="0" borderId="68" xfId="68" applyNumberFormat="1" applyFont="1" applyBorder="1" applyAlignment="1" applyProtection="1">
      <alignment horizontal="center" vertical="center" wrapText="1"/>
    </xf>
    <xf numFmtId="1" fontId="25" fillId="0" borderId="69" xfId="68" applyNumberFormat="1" applyFont="1" applyBorder="1" applyAlignment="1" applyProtection="1">
      <alignment horizontal="center" vertical="center" wrapText="1"/>
    </xf>
    <xf numFmtId="1" fontId="25" fillId="0" borderId="48" xfId="68" applyNumberFormat="1" applyFont="1" applyBorder="1" applyAlignment="1" applyProtection="1">
      <alignment horizontal="center" vertical="center"/>
    </xf>
    <xf numFmtId="1" fontId="25" fillId="0" borderId="63" xfId="68" applyNumberFormat="1" applyFont="1" applyBorder="1" applyAlignment="1" applyProtection="1">
      <alignment horizontal="center" vertical="center"/>
    </xf>
    <xf numFmtId="1" fontId="2" fillId="0" borderId="27" xfId="68" applyNumberFormat="1" applyFont="1" applyFill="1" applyBorder="1" applyAlignment="1" applyProtection="1">
      <alignment vertical="center"/>
    </xf>
    <xf numFmtId="0" fontId="25" fillId="0" borderId="0" xfId="68" applyFont="1" applyBorder="1" applyAlignment="1" applyProtection="1">
      <alignment vertical="center"/>
    </xf>
    <xf numFmtId="0" fontId="2" fillId="0" borderId="0" xfId="68" applyFont="1" applyBorder="1" applyAlignment="1" applyProtection="1">
      <alignment vertical="center"/>
    </xf>
    <xf numFmtId="1" fontId="2" fillId="0" borderId="51" xfId="75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/>
    <xf numFmtId="0" fontId="2" fillId="0" borderId="51" xfId="0" applyFont="1" applyBorder="1" applyAlignment="1" applyProtection="1"/>
    <xf numFmtId="1" fontId="2" fillId="0" borderId="62" xfId="75" applyNumberFormat="1" applyFont="1" applyBorder="1" applyAlignment="1" applyProtection="1">
      <alignment vertical="center"/>
    </xf>
    <xf numFmtId="0" fontId="2" fillId="0" borderId="44" xfId="0" applyFont="1" applyBorder="1" applyAlignment="1" applyProtection="1"/>
    <xf numFmtId="0" fontId="2" fillId="0" borderId="62" xfId="0" applyFont="1" applyBorder="1" applyAlignment="1" applyProtection="1"/>
    <xf numFmtId="0" fontId="2" fillId="0" borderId="27" xfId="68" applyFont="1" applyBorder="1" applyAlignment="1" applyProtection="1">
      <alignment vertical="center"/>
    </xf>
    <xf numFmtId="0" fontId="2" fillId="0" borderId="62" xfId="75" applyFont="1" applyBorder="1" applyAlignment="1" applyProtection="1">
      <alignment horizontal="center" vertical="center"/>
    </xf>
    <xf numFmtId="2" fontId="33" fillId="19" borderId="44" xfId="0" applyNumberFormat="1" applyFont="1" applyFill="1" applyBorder="1" applyAlignment="1" applyProtection="1">
      <alignment horizontal="center" vertical="center"/>
      <protection locked="0"/>
    </xf>
    <xf numFmtId="2" fontId="33" fillId="19" borderId="62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2" fontId="2" fillId="20" borderId="46" xfId="82" applyNumberFormat="1" applyFont="1" applyFill="1" applyBorder="1" applyAlignment="1" applyProtection="1">
      <alignment horizontal="center" vertical="center"/>
    </xf>
    <xf numFmtId="2" fontId="2" fillId="20" borderId="61" xfId="82" applyNumberFormat="1" applyFont="1" applyFill="1" applyBorder="1" applyAlignment="1" applyProtection="1">
      <alignment horizontal="center" vertical="center"/>
    </xf>
    <xf numFmtId="1" fontId="25" fillId="0" borderId="30" xfId="68" applyNumberFormat="1" applyFont="1" applyBorder="1" applyAlignment="1" applyProtection="1">
      <alignment vertical="center"/>
    </xf>
    <xf numFmtId="1" fontId="25" fillId="0" borderId="31" xfId="68" applyNumberFormat="1" applyFont="1" applyBorder="1" applyAlignment="1" applyProtection="1">
      <alignment vertical="center"/>
    </xf>
    <xf numFmtId="171" fontId="33" fillId="0" borderId="63" xfId="75" applyNumberFormat="1" applyFont="1" applyFill="1" applyBorder="1" applyAlignment="1" applyProtection="1">
      <alignment vertical="center"/>
    </xf>
    <xf numFmtId="2" fontId="2" fillId="0" borderId="48" xfId="0" applyNumberFormat="1" applyFont="1" applyBorder="1" applyAlignment="1" applyProtection="1">
      <alignment horizontal="center" vertical="center"/>
    </xf>
    <xf numFmtId="2" fontId="2" fillId="0" borderId="63" xfId="0" applyNumberFormat="1" applyFont="1" applyBorder="1" applyAlignment="1" applyProtection="1">
      <alignment horizontal="center" vertical="center"/>
    </xf>
    <xf numFmtId="0" fontId="2" fillId="0" borderId="21" xfId="68" applyFont="1" applyBorder="1" applyAlignment="1" applyProtection="1">
      <alignment vertical="center"/>
    </xf>
    <xf numFmtId="0" fontId="25" fillId="0" borderId="22" xfId="68" applyFont="1" applyBorder="1" applyAlignment="1" applyProtection="1">
      <alignment vertical="center"/>
    </xf>
    <xf numFmtId="0" fontId="2" fillId="0" borderId="0" xfId="70" applyFont="1" applyAlignment="1" applyProtection="1">
      <alignment vertical="center"/>
    </xf>
    <xf numFmtId="0" fontId="2" fillId="0" borderId="62" xfId="75" applyFont="1" applyFill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2" fontId="2" fillId="0" borderId="39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/>
    <xf numFmtId="0" fontId="2" fillId="0" borderId="39" xfId="0" applyFont="1" applyBorder="1" applyAlignment="1" applyProtection="1"/>
    <xf numFmtId="0" fontId="42" fillId="0" borderId="0" xfId="0" applyFont="1" applyProtection="1"/>
    <xf numFmtId="1" fontId="2" fillId="0" borderId="21" xfId="68" applyNumberFormat="1" applyFont="1" applyFill="1" applyBorder="1" applyAlignment="1" applyProtection="1">
      <alignment vertical="center"/>
    </xf>
    <xf numFmtId="0" fontId="2" fillId="0" borderId="22" xfId="68" applyFont="1" applyBorder="1" applyAlignment="1" applyProtection="1">
      <alignment vertical="center"/>
    </xf>
    <xf numFmtId="0" fontId="2" fillId="0" borderId="51" xfId="75" applyFont="1" applyBorder="1" applyAlignment="1" applyProtection="1">
      <alignment horizontal="center" vertical="center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51" xfId="0" applyNumberFormat="1" applyFont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vertical="center"/>
    </xf>
    <xf numFmtId="2" fontId="33" fillId="0" borderId="62" xfId="0" applyNumberFormat="1" applyFont="1" applyFill="1" applyBorder="1" applyAlignment="1" applyProtection="1">
      <alignment horizontal="center" vertical="center"/>
    </xf>
    <xf numFmtId="0" fontId="2" fillId="0" borderId="0" xfId="68" applyFont="1" applyBorder="1" applyAlignment="1" applyProtection="1">
      <alignment horizontal="left" vertical="center"/>
    </xf>
    <xf numFmtId="0" fontId="2" fillId="0" borderId="30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vertical="center"/>
    </xf>
    <xf numFmtId="0" fontId="25" fillId="0" borderId="31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horizontal="left" vertical="center"/>
    </xf>
    <xf numFmtId="0" fontId="2" fillId="0" borderId="63" xfId="75" applyFont="1" applyBorder="1" applyAlignment="1" applyProtection="1">
      <alignment horizontal="center" vertical="center"/>
    </xf>
    <xf numFmtId="2" fontId="33" fillId="19" borderId="48" xfId="0" applyNumberFormat="1" applyFont="1" applyFill="1" applyBorder="1" applyAlignment="1" applyProtection="1">
      <alignment horizontal="center" vertical="center"/>
      <protection locked="0"/>
    </xf>
    <xf numFmtId="2" fontId="33" fillId="19" borderId="63" xfId="0" applyNumberFormat="1" applyFont="1" applyFill="1" applyBorder="1" applyAlignment="1" applyProtection="1">
      <alignment horizontal="center" vertical="center"/>
      <protection locked="0"/>
    </xf>
    <xf numFmtId="0" fontId="28" fillId="0" borderId="14" xfId="83" applyFont="1" applyBorder="1" applyAlignment="1">
      <alignment vertical="center"/>
    </xf>
    <xf numFmtId="0" fontId="29" fillId="0" borderId="14" xfId="83" applyFont="1" applyBorder="1" applyAlignment="1">
      <alignment vertical="center"/>
    </xf>
    <xf numFmtId="0" fontId="29" fillId="0" borderId="15" xfId="83" applyFont="1" applyBorder="1" applyAlignment="1">
      <alignment vertical="center"/>
    </xf>
    <xf numFmtId="0" fontId="28" fillId="0" borderId="0" xfId="83" applyFont="1" applyBorder="1" applyAlignment="1">
      <alignment vertical="center"/>
    </xf>
    <xf numFmtId="0" fontId="29" fillId="0" borderId="0" xfId="83" applyFont="1" applyBorder="1" applyAlignment="1">
      <alignment vertical="center"/>
    </xf>
    <xf numFmtId="0" fontId="29" fillId="0" borderId="17" xfId="83" applyFont="1" applyBorder="1" applyAlignment="1">
      <alignment vertical="center"/>
    </xf>
    <xf numFmtId="0" fontId="28" fillId="0" borderId="17" xfId="83" applyFont="1" applyBorder="1" applyAlignment="1">
      <alignment horizontal="center" vertical="center" textRotation="90" wrapText="1"/>
    </xf>
    <xf numFmtId="0" fontId="52" fillId="0" borderId="0" xfId="0" applyFont="1" applyAlignment="1">
      <alignment vertical="center"/>
    </xf>
    <xf numFmtId="0" fontId="53" fillId="0" borderId="47" xfId="83" applyFont="1" applyBorder="1" applyAlignment="1">
      <alignment vertical="center" wrapText="1"/>
    </xf>
    <xf numFmtId="170" fontId="53" fillId="0" borderId="47" xfId="83" applyNumberFormat="1" applyFont="1" applyBorder="1" applyAlignment="1" applyProtection="1">
      <alignment horizontal="center" textRotation="90" wrapText="1"/>
    </xf>
    <xf numFmtId="170" fontId="53" fillId="0" borderId="60" xfId="83" applyNumberFormat="1" applyFont="1" applyBorder="1" applyAlignment="1" applyProtection="1">
      <alignment horizontal="center" textRotation="90" wrapText="1"/>
    </xf>
    <xf numFmtId="0" fontId="54" fillId="0" borderId="17" xfId="83" applyFont="1" applyBorder="1" applyAlignment="1">
      <alignment horizontal="center" vertical="center" textRotation="90" wrapText="1"/>
    </xf>
    <xf numFmtId="0" fontId="29" fillId="0" borderId="47" xfId="83" applyFont="1" applyBorder="1" applyAlignment="1">
      <alignment vertical="center"/>
    </xf>
    <xf numFmtId="0" fontId="29" fillId="0" borderId="47" xfId="83" applyFont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0" borderId="38" xfId="83" applyFont="1" applyBorder="1" applyAlignment="1">
      <alignment horizontal="center" vertical="center"/>
    </xf>
    <xf numFmtId="0" fontId="29" fillId="0" borderId="70" xfId="83" applyFont="1" applyBorder="1" applyAlignment="1">
      <alignment vertical="center"/>
    </xf>
    <xf numFmtId="0" fontId="29" fillId="0" borderId="70" xfId="83" applyFont="1" applyBorder="1" applyAlignment="1">
      <alignment horizontal="center" vertical="center"/>
    </xf>
    <xf numFmtId="0" fontId="29" fillId="0" borderId="13" xfId="83" applyFont="1" applyBorder="1" applyAlignment="1">
      <alignment horizontal="center" vertical="center"/>
    </xf>
    <xf numFmtId="0" fontId="29" fillId="0" borderId="84" xfId="83" applyFont="1" applyBorder="1" applyAlignment="1">
      <alignment horizontal="center" vertical="center"/>
    </xf>
    <xf numFmtId="0" fontId="29" fillId="0" borderId="45" xfId="83" applyFont="1" applyBorder="1" applyAlignment="1">
      <alignment vertical="center"/>
    </xf>
    <xf numFmtId="173" fontId="29" fillId="0" borderId="45" xfId="83" applyNumberFormat="1" applyFont="1" applyBorder="1"/>
    <xf numFmtId="37" fontId="29" fillId="0" borderId="17" xfId="83" applyNumberFormat="1" applyFont="1" applyBorder="1" applyAlignment="1">
      <alignment vertical="center"/>
    </xf>
    <xf numFmtId="174" fontId="29" fillId="21" borderId="60" xfId="83" applyNumberFormat="1" applyFont="1" applyFill="1" applyBorder="1"/>
    <xf numFmtId="174" fontId="29" fillId="0" borderId="60" xfId="83" applyNumberFormat="1" applyFont="1" applyBorder="1"/>
    <xf numFmtId="173" fontId="29" fillId="0" borderId="17" xfId="83" applyNumberFormat="1" applyFont="1" applyBorder="1" applyAlignment="1">
      <alignment vertical="center"/>
    </xf>
    <xf numFmtId="0" fontId="29" fillId="0" borderId="60" xfId="83" applyFont="1" applyBorder="1" applyAlignment="1">
      <alignment vertical="center"/>
    </xf>
    <xf numFmtId="173" fontId="29" fillId="0" borderId="60" xfId="83" applyNumberFormat="1" applyFont="1" applyBorder="1" applyAlignment="1">
      <alignment vertical="center"/>
    </xf>
    <xf numFmtId="173" fontId="29" fillId="0" borderId="18" xfId="83" applyNumberFormat="1" applyFont="1" applyBorder="1" applyAlignment="1">
      <alignment vertical="center"/>
    </xf>
    <xf numFmtId="173" fontId="29" fillId="0" borderId="33" xfId="83" applyNumberFormat="1" applyFont="1" applyBorder="1" applyAlignment="1">
      <alignment vertical="center"/>
    </xf>
    <xf numFmtId="173" fontId="29" fillId="0" borderId="0" xfId="83" applyNumberFormat="1" applyFont="1" applyBorder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28" fillId="0" borderId="0" xfId="0" applyFont="1" applyBorder="1" applyAlignment="1">
      <alignment horizontal="right" vertical="center"/>
    </xf>
    <xf numFmtId="37" fontId="28" fillId="0" borderId="0" xfId="0" applyNumberFormat="1" applyFont="1" applyFill="1" applyBorder="1" applyAlignment="1">
      <alignment vertical="center"/>
    </xf>
    <xf numFmtId="0" fontId="55" fillId="0" borderId="0" xfId="0" applyFont="1" applyBorder="1" applyAlignment="1" applyProtection="1">
      <alignment horizontal="center" vertical="center"/>
    </xf>
    <xf numFmtId="0" fontId="29" fillId="0" borderId="19" xfId="83" applyFont="1" applyBorder="1" applyAlignment="1">
      <alignment vertical="center"/>
    </xf>
    <xf numFmtId="173" fontId="29" fillId="0" borderId="19" xfId="83" applyNumberFormat="1" applyFont="1" applyBorder="1" applyAlignment="1">
      <alignment vertical="center"/>
    </xf>
    <xf numFmtId="37" fontId="29" fillId="0" borderId="20" xfId="83" applyNumberFormat="1" applyFont="1" applyBorder="1" applyAlignment="1">
      <alignment vertical="center"/>
    </xf>
    <xf numFmtId="0" fontId="5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74" xfId="0" applyFont="1" applyBorder="1" applyAlignment="1">
      <alignment vertical="center"/>
    </xf>
    <xf numFmtId="0" fontId="47" fillId="0" borderId="75" xfId="0" applyFont="1" applyBorder="1" applyAlignment="1" applyProtection="1">
      <alignment horizontal="center" vertical="center" wrapText="1"/>
    </xf>
    <xf numFmtId="0" fontId="27" fillId="0" borderId="26" xfId="0" applyFont="1" applyBorder="1" applyAlignment="1">
      <alignment vertical="center"/>
    </xf>
    <xf numFmtId="0" fontId="47" fillId="0" borderId="75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8" fillId="0" borderId="75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56" fillId="0" borderId="0" xfId="0" applyFont="1" applyBorder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4" xfId="0" applyFont="1" applyBorder="1" applyAlignment="1" applyProtection="1">
      <alignment horizontal="center" vertical="center"/>
    </xf>
    <xf numFmtId="0" fontId="47" fillId="0" borderId="55" xfId="0" applyFont="1" applyBorder="1" applyAlignment="1" applyProtection="1">
      <alignment horizontal="center" vertical="center"/>
    </xf>
    <xf numFmtId="0" fontId="47" fillId="0" borderId="88" xfId="0" applyFont="1" applyBorder="1" applyAlignment="1" applyProtection="1">
      <alignment horizontal="center" vertical="center"/>
    </xf>
    <xf numFmtId="0" fontId="47" fillId="0" borderId="85" xfId="0" applyFont="1" applyBorder="1" applyAlignment="1" applyProtection="1">
      <alignment horizontal="center" vertical="center"/>
    </xf>
    <xf numFmtId="0" fontId="47" fillId="0" borderId="24" xfId="0" applyFont="1" applyBorder="1" applyAlignment="1" applyProtection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75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 wrapText="1"/>
    </xf>
    <xf numFmtId="175" fontId="27" fillId="0" borderId="0" xfId="0" applyNumberFormat="1" applyFont="1" applyAlignment="1">
      <alignment horizontal="right" vertical="center"/>
    </xf>
    <xf numFmtId="175" fontId="48" fillId="19" borderId="85" xfId="0" applyNumberFormat="1" applyFont="1" applyFill="1" applyBorder="1" applyAlignment="1" applyProtection="1">
      <alignment horizontal="right"/>
      <protection locked="0"/>
    </xf>
    <xf numFmtId="175" fontId="48" fillId="19" borderId="85" xfId="0" applyNumberFormat="1" applyFont="1" applyFill="1" applyBorder="1" applyAlignment="1" applyProtection="1">
      <alignment horizontal="right" vertical="center"/>
      <protection locked="0"/>
    </xf>
    <xf numFmtId="175" fontId="48" fillId="19" borderId="38" xfId="0" applyNumberFormat="1" applyFont="1" applyFill="1" applyBorder="1" applyAlignment="1" applyProtection="1">
      <alignment horizontal="right"/>
      <protection locked="0"/>
    </xf>
    <xf numFmtId="175" fontId="48" fillId="19" borderId="38" xfId="0" applyNumberFormat="1" applyFont="1" applyFill="1" applyBorder="1" applyAlignment="1" applyProtection="1">
      <alignment horizontal="right" vertical="center"/>
      <protection locked="0"/>
    </xf>
    <xf numFmtId="175" fontId="48" fillId="19" borderId="58" xfId="0" applyNumberFormat="1" applyFont="1" applyFill="1" applyBorder="1" applyAlignment="1" applyProtection="1">
      <alignment horizontal="right"/>
      <protection locked="0"/>
    </xf>
    <xf numFmtId="175" fontId="27" fillId="25" borderId="72" xfId="0" applyNumberFormat="1" applyFont="1" applyFill="1" applyBorder="1" applyAlignment="1">
      <alignment horizontal="right"/>
    </xf>
    <xf numFmtId="175" fontId="48" fillId="19" borderId="73" xfId="0" applyNumberFormat="1" applyFont="1" applyFill="1" applyBorder="1" applyAlignment="1" applyProtection="1">
      <alignment horizontal="right"/>
      <protection locked="0"/>
    </xf>
    <xf numFmtId="175" fontId="48" fillId="19" borderId="73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horizontal="left" vertical="center"/>
    </xf>
    <xf numFmtId="175" fontId="48" fillId="19" borderId="72" xfId="0" applyNumberFormat="1" applyFont="1" applyFill="1" applyBorder="1" applyAlignment="1" applyProtection="1">
      <alignment horizontal="right"/>
      <protection locked="0"/>
    </xf>
    <xf numFmtId="175" fontId="48" fillId="19" borderId="72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horizontal="left" vertical="center" wrapText="1"/>
    </xf>
    <xf numFmtId="175" fontId="27" fillId="25" borderId="38" xfId="0" applyNumberFormat="1" applyFont="1" applyFill="1" applyBorder="1" applyAlignment="1">
      <alignment horizontal="right"/>
    </xf>
    <xf numFmtId="175" fontId="48" fillId="19" borderId="36" xfId="0" applyNumberFormat="1" applyFont="1" applyFill="1" applyBorder="1" applyAlignment="1" applyProtection="1">
      <alignment horizontal="right"/>
      <protection locked="0"/>
    </xf>
    <xf numFmtId="175" fontId="48" fillId="19" borderId="37" xfId="0" applyNumberFormat="1" applyFont="1" applyFill="1" applyBorder="1" applyAlignment="1" applyProtection="1">
      <alignment horizontal="right"/>
      <protection locked="0"/>
    </xf>
    <xf numFmtId="175" fontId="27" fillId="25" borderId="84" xfId="0" applyNumberFormat="1" applyFont="1" applyFill="1" applyBorder="1" applyAlignment="1">
      <alignment horizontal="right"/>
    </xf>
    <xf numFmtId="175" fontId="48" fillId="19" borderId="84" xfId="0" applyNumberFormat="1" applyFont="1" applyFill="1" applyBorder="1" applyAlignment="1" applyProtection="1">
      <alignment horizontal="right"/>
      <protection locked="0"/>
    </xf>
    <xf numFmtId="175" fontId="48" fillId="19" borderId="84" xfId="0" applyNumberFormat="1" applyFont="1" applyFill="1" applyBorder="1" applyAlignment="1" applyProtection="1">
      <alignment horizontal="right" vertical="center"/>
      <protection locked="0"/>
    </xf>
    <xf numFmtId="175" fontId="27" fillId="25" borderId="85" xfId="0" applyNumberFormat="1" applyFont="1" applyFill="1" applyBorder="1" applyAlignment="1">
      <alignment horizontal="right"/>
    </xf>
    <xf numFmtId="0" fontId="27" fillId="0" borderId="47" xfId="0" applyFont="1" applyFill="1" applyBorder="1" applyAlignment="1" applyProtection="1">
      <alignment horizontal="left" vertical="center"/>
    </xf>
    <xf numFmtId="0" fontId="27" fillId="0" borderId="61" xfId="0" applyFont="1" applyBorder="1" applyAlignment="1" applyProtection="1">
      <alignment horizontal="left" vertical="center" wrapText="1"/>
    </xf>
    <xf numFmtId="175" fontId="27" fillId="25" borderId="73" xfId="0" applyNumberFormat="1" applyFont="1" applyFill="1" applyBorder="1" applyAlignment="1">
      <alignment horizontal="right"/>
    </xf>
    <xf numFmtId="175" fontId="48" fillId="19" borderId="55" xfId="0" applyNumberFormat="1" applyFont="1" applyFill="1" applyBorder="1" applyAlignment="1" applyProtection="1">
      <alignment horizontal="right" vertical="center"/>
      <protection locked="0"/>
    </xf>
    <xf numFmtId="175" fontId="27" fillId="25" borderId="85" xfId="0" applyNumberFormat="1" applyFont="1" applyFill="1" applyBorder="1" applyAlignment="1">
      <alignment horizontal="right" vertical="center"/>
    </xf>
    <xf numFmtId="0" fontId="27" fillId="0" borderId="61" xfId="0" applyFont="1" applyFill="1" applyBorder="1" applyAlignment="1" applyProtection="1">
      <alignment horizontal="left" vertical="center"/>
    </xf>
    <xf numFmtId="175" fontId="48" fillId="19" borderId="46" xfId="0" applyNumberFormat="1" applyFont="1" applyFill="1" applyBorder="1" applyAlignment="1" applyProtection="1">
      <alignment horizontal="right" vertical="center"/>
      <protection locked="0"/>
    </xf>
    <xf numFmtId="175" fontId="27" fillId="25" borderId="38" xfId="0" applyNumberFormat="1" applyFont="1" applyFill="1" applyBorder="1" applyAlignment="1">
      <alignment horizontal="right" vertical="center"/>
    </xf>
    <xf numFmtId="175" fontId="48" fillId="19" borderId="36" xfId="0" applyNumberFormat="1" applyFont="1" applyFill="1" applyBorder="1" applyAlignment="1" applyProtection="1">
      <alignment horizontal="right" vertical="center"/>
      <protection locked="0"/>
    </xf>
    <xf numFmtId="175" fontId="27" fillId="25" borderId="73" xfId="0" applyNumberFormat="1" applyFont="1" applyFill="1" applyBorder="1" applyAlignment="1">
      <alignment horizontal="right" vertical="center"/>
    </xf>
    <xf numFmtId="175" fontId="48" fillId="19" borderId="58" xfId="0" applyNumberFormat="1" applyFont="1" applyFill="1" applyBorder="1" applyAlignment="1" applyProtection="1">
      <alignment horizontal="right" vertical="center"/>
      <protection locked="0"/>
    </xf>
    <xf numFmtId="175" fontId="27" fillId="25" borderId="75" xfId="0" applyNumberFormat="1" applyFont="1" applyFill="1" applyBorder="1" applyAlignment="1">
      <alignment horizontal="right" vertical="center"/>
    </xf>
    <xf numFmtId="175" fontId="48" fillId="19" borderId="75" xfId="0" applyNumberFormat="1" applyFont="1" applyFill="1" applyBorder="1" applyAlignment="1" applyProtection="1">
      <alignment horizontal="right"/>
      <protection locked="0"/>
    </xf>
    <xf numFmtId="175" fontId="48" fillId="19" borderId="75" xfId="0" applyNumberFormat="1" applyFont="1" applyFill="1" applyBorder="1" applyAlignment="1" applyProtection="1">
      <alignment horizontal="right" vertical="center"/>
      <protection locked="0"/>
    </xf>
    <xf numFmtId="175" fontId="48" fillId="19" borderId="83" xfId="0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Border="1" applyAlignment="1" applyProtection="1">
      <alignment horizontal="left" vertical="center" wrapText="1"/>
    </xf>
    <xf numFmtId="175" fontId="48" fillId="20" borderId="30" xfId="0" applyNumberFormat="1" applyFont="1" applyFill="1" applyBorder="1" applyAlignment="1">
      <alignment horizontal="right" vertical="center"/>
    </xf>
    <xf numFmtId="175" fontId="48" fillId="20" borderId="31" xfId="0" applyNumberFormat="1" applyFont="1" applyFill="1" applyBorder="1" applyAlignment="1">
      <alignment horizontal="right" vertical="center"/>
    </xf>
    <xf numFmtId="175" fontId="27" fillId="20" borderId="33" xfId="0" applyNumberFormat="1" applyFont="1" applyFill="1" applyBorder="1" applyAlignment="1">
      <alignment horizontal="right" vertical="center"/>
    </xf>
    <xf numFmtId="175" fontId="27" fillId="0" borderId="0" xfId="0" applyNumberFormat="1" applyFont="1" applyFill="1" applyAlignment="1">
      <alignment horizontal="right" vertical="center"/>
    </xf>
    <xf numFmtId="175" fontId="48" fillId="19" borderId="33" xfId="0" applyNumberFormat="1" applyFont="1" applyFill="1" applyBorder="1" applyAlignment="1" applyProtection="1">
      <alignment horizontal="right"/>
      <protection locked="0"/>
    </xf>
    <xf numFmtId="175" fontId="48" fillId="19" borderId="33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Alignment="1" applyProtection="1">
      <alignment vertical="center"/>
    </xf>
    <xf numFmtId="175" fontId="48" fillId="20" borderId="74" xfId="0" applyNumberFormat="1" applyFont="1" applyFill="1" applyBorder="1" applyAlignment="1">
      <alignment horizontal="right" vertical="center"/>
    </xf>
    <xf numFmtId="175" fontId="48" fillId="20" borderId="25" xfId="0" applyNumberFormat="1" applyFont="1" applyFill="1" applyBorder="1" applyAlignment="1">
      <alignment horizontal="right" vertical="center"/>
    </xf>
    <xf numFmtId="175" fontId="48" fillId="20" borderId="75" xfId="0" applyNumberFormat="1" applyFont="1" applyFill="1" applyBorder="1" applyAlignment="1">
      <alignment horizontal="right" vertical="center"/>
    </xf>
    <xf numFmtId="175" fontId="48" fillId="20" borderId="75" xfId="0" applyNumberFormat="1" applyFont="1" applyFill="1" applyBorder="1" applyAlignment="1" applyProtection="1">
      <alignment horizontal="right"/>
    </xf>
    <xf numFmtId="175" fontId="27" fillId="20" borderId="75" xfId="0" applyNumberFormat="1" applyFont="1" applyFill="1" applyBorder="1" applyAlignment="1" applyProtection="1">
      <alignment horizontal="right" vertical="center"/>
    </xf>
    <xf numFmtId="175" fontId="48" fillId="20" borderId="33" xfId="0" applyNumberFormat="1" applyFont="1" applyFill="1" applyBorder="1" applyAlignment="1">
      <alignment horizontal="right" vertical="center"/>
    </xf>
    <xf numFmtId="175" fontId="27" fillId="25" borderId="75" xfId="0" applyNumberFormat="1" applyFont="1" applyFill="1" applyBorder="1" applyAlignment="1">
      <alignment horizontal="right"/>
    </xf>
    <xf numFmtId="175" fontId="48" fillId="20" borderId="31" xfId="0" applyNumberFormat="1" applyFont="1" applyFill="1" applyBorder="1" applyAlignment="1">
      <alignment horizontal="right"/>
    </xf>
    <xf numFmtId="175" fontId="27" fillId="20" borderId="33" xfId="0" applyNumberFormat="1" applyFont="1" applyFill="1" applyBorder="1" applyAlignment="1">
      <alignment horizontal="right"/>
    </xf>
    <xf numFmtId="175" fontId="27" fillId="20" borderId="75" xfId="0" applyNumberFormat="1" applyFont="1" applyFill="1" applyBorder="1" applyAlignment="1" applyProtection="1">
      <alignment horizontal="right"/>
    </xf>
    <xf numFmtId="0" fontId="47" fillId="0" borderId="0" xfId="0" applyFont="1" applyBorder="1" applyAlignment="1">
      <alignment vertical="center"/>
    </xf>
    <xf numFmtId="175" fontId="47" fillId="25" borderId="33" xfId="0" applyNumberFormat="1" applyFont="1" applyFill="1" applyBorder="1" applyAlignment="1">
      <alignment horizontal="right"/>
    </xf>
    <xf numFmtId="175" fontId="47" fillId="0" borderId="0" xfId="0" applyNumberFormat="1" applyFont="1" applyAlignment="1">
      <alignment horizontal="right" vertical="center"/>
    </xf>
    <xf numFmtId="175" fontId="47" fillId="25" borderId="33" xfId="0" applyNumberFormat="1" applyFont="1" applyFill="1" applyBorder="1" applyAlignment="1">
      <alignment horizontal="right" vertical="center"/>
    </xf>
    <xf numFmtId="0" fontId="47" fillId="0" borderId="0" xfId="0" applyFont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57" fillId="0" borderId="0" xfId="0" applyFont="1" applyAlignment="1" applyProtection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Border="1" applyAlignment="1">
      <alignment vertical="center"/>
    </xf>
    <xf numFmtId="0" fontId="47" fillId="0" borderId="75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47" fillId="0" borderId="75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/>
    </xf>
    <xf numFmtId="175" fontId="48" fillId="19" borderId="65" xfId="0" applyNumberFormat="1" applyFont="1" applyFill="1" applyBorder="1" applyAlignment="1" applyProtection="1">
      <alignment horizontal="right"/>
      <protection locked="0"/>
    </xf>
    <xf numFmtId="175" fontId="48" fillId="19" borderId="67" xfId="0" applyNumberFormat="1" applyFont="1" applyFill="1" applyBorder="1" applyAlignment="1" applyProtection="1">
      <alignment horizontal="right"/>
      <protection locked="0"/>
    </xf>
    <xf numFmtId="0" fontId="3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 wrapText="1"/>
    </xf>
    <xf numFmtId="175" fontId="48" fillId="19" borderId="83" xfId="0" applyNumberFormat="1" applyFont="1" applyFill="1" applyBorder="1" applyAlignment="1" applyProtection="1">
      <alignment horizontal="right"/>
      <protection locked="0"/>
    </xf>
    <xf numFmtId="0" fontId="47" fillId="0" borderId="0" xfId="0" applyFont="1" applyBorder="1" applyAlignment="1" applyProtection="1">
      <alignment vertical="center" wrapText="1"/>
    </xf>
    <xf numFmtId="0" fontId="47" fillId="0" borderId="74" xfId="0" applyFont="1" applyBorder="1" applyAlignment="1" applyProtection="1">
      <alignment vertical="center" wrapText="1"/>
    </xf>
    <xf numFmtId="0" fontId="47" fillId="0" borderId="25" xfId="0" applyFont="1" applyBorder="1" applyAlignment="1" applyProtection="1">
      <alignment vertical="center" wrapText="1"/>
    </xf>
    <xf numFmtId="0" fontId="47" fillId="0" borderId="26" xfId="0" applyFont="1" applyBorder="1" applyAlignment="1" applyProtection="1">
      <alignment vertical="center" wrapText="1"/>
    </xf>
    <xf numFmtId="175" fontId="47" fillId="25" borderId="26" xfId="0" applyNumberFormat="1" applyFont="1" applyFill="1" applyBorder="1" applyAlignment="1">
      <alignment horizontal="right"/>
    </xf>
    <xf numFmtId="0" fontId="47" fillId="0" borderId="0" xfId="0" applyFont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vertical="center"/>
    </xf>
    <xf numFmtId="0" fontId="36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27" fillId="0" borderId="0" xfId="0" applyFont="1" applyAlignment="1" applyProtection="1"/>
    <xf numFmtId="0" fontId="39" fillId="11" borderId="74" xfId="0" applyFont="1" applyFill="1" applyBorder="1" applyAlignment="1">
      <alignment horizontal="left" vertical="center"/>
    </xf>
    <xf numFmtId="0" fontId="27" fillId="11" borderId="25" xfId="0" applyFont="1" applyFill="1" applyBorder="1" applyAlignment="1">
      <alignment horizontal="centerContinuous" vertical="center"/>
    </xf>
    <xf numFmtId="0" fontId="27" fillId="11" borderId="26" xfId="0" applyFont="1" applyFill="1" applyBorder="1" applyAlignment="1">
      <alignment horizontal="centerContinuous" vertical="center"/>
    </xf>
    <xf numFmtId="0" fontId="27" fillId="11" borderId="86" xfId="0" applyFont="1" applyFill="1" applyBorder="1" applyAlignment="1" applyProtection="1">
      <alignment horizontal="center" textRotation="90" wrapText="1"/>
    </xf>
    <xf numFmtId="0" fontId="27" fillId="11" borderId="42" xfId="0" applyFont="1" applyFill="1" applyBorder="1" applyAlignment="1" applyProtection="1">
      <alignment horizontal="center" textRotation="90" wrapText="1"/>
    </xf>
    <xf numFmtId="0" fontId="27" fillId="11" borderId="81" xfId="0" applyFont="1" applyFill="1" applyBorder="1" applyAlignment="1" applyProtection="1">
      <alignment horizontal="center" textRotation="90" wrapText="1"/>
    </xf>
    <xf numFmtId="0" fontId="27" fillId="11" borderId="82" xfId="0" applyFont="1" applyFill="1" applyBorder="1" applyAlignment="1" applyProtection="1">
      <alignment horizontal="center" textRotation="90" wrapText="1"/>
    </xf>
    <xf numFmtId="0" fontId="47" fillId="11" borderId="75" xfId="0" applyFont="1" applyFill="1" applyBorder="1" applyAlignment="1" applyProtection="1">
      <alignment horizontal="center" textRotation="90"/>
    </xf>
    <xf numFmtId="0" fontId="47" fillId="0" borderId="86" xfId="0" applyFont="1" applyBorder="1" applyAlignment="1">
      <alignment horizontal="center"/>
    </xf>
    <xf numFmtId="0" fontId="47" fillId="0" borderId="42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7" fillId="20" borderId="17" xfId="0" applyFont="1" applyFill="1" applyBorder="1" applyAlignment="1">
      <alignment horizontal="center"/>
    </xf>
    <xf numFmtId="0" fontId="47" fillId="20" borderId="45" xfId="0" applyFont="1" applyFill="1" applyBorder="1" applyAlignment="1">
      <alignment horizontal="center"/>
    </xf>
    <xf numFmtId="0" fontId="47" fillId="20" borderId="0" xfId="0" applyFont="1" applyFill="1" applyBorder="1" applyAlignment="1">
      <alignment horizontal="center"/>
    </xf>
    <xf numFmtId="0" fontId="27" fillId="20" borderId="38" xfId="0" applyFont="1" applyFill="1" applyBorder="1" applyAlignment="1"/>
    <xf numFmtId="175" fontId="48" fillId="19" borderId="12" xfId="0" applyNumberFormat="1" applyFont="1" applyFill="1" applyBorder="1" applyAlignment="1" applyProtection="1">
      <protection locked="0"/>
    </xf>
    <xf numFmtId="175" fontId="48" fillId="20" borderId="47" xfId="0" applyNumberFormat="1" applyFont="1" applyFill="1" applyBorder="1" applyAlignment="1" applyProtection="1"/>
    <xf numFmtId="175" fontId="48" fillId="20" borderId="10" xfId="0" applyNumberFormat="1" applyFont="1" applyFill="1" applyBorder="1" applyAlignment="1" applyProtection="1"/>
    <xf numFmtId="175" fontId="48" fillId="20" borderId="10" xfId="0" applyNumberFormat="1" applyFont="1" applyFill="1" applyBorder="1" applyAlignment="1"/>
    <xf numFmtId="175" fontId="27" fillId="25" borderId="38" xfId="0" applyNumberFormat="1" applyFont="1" applyFill="1" applyBorder="1" applyAlignment="1"/>
    <xf numFmtId="175" fontId="47" fillId="20" borderId="17" xfId="0" applyNumberFormat="1" applyFont="1" applyFill="1" applyBorder="1" applyAlignment="1">
      <alignment horizontal="center"/>
    </xf>
    <xf numFmtId="175" fontId="47" fillId="20" borderId="45" xfId="0" applyNumberFormat="1" applyFont="1" applyFill="1" applyBorder="1" applyAlignment="1">
      <alignment horizontal="center"/>
    </xf>
    <xf numFmtId="175" fontId="27" fillId="20" borderId="38" xfId="0" applyNumberFormat="1" applyFont="1" applyFill="1" applyBorder="1" applyAlignment="1"/>
    <xf numFmtId="175" fontId="48" fillId="20" borderId="12" xfId="0" applyNumberFormat="1" applyFont="1" applyFill="1" applyBorder="1" applyAlignment="1" applyProtection="1"/>
    <xf numFmtId="175" fontId="48" fillId="20" borderId="12" xfId="0" applyNumberFormat="1" applyFont="1" applyFill="1" applyBorder="1" applyAlignment="1"/>
    <xf numFmtId="175" fontId="48" fillId="20" borderId="47" xfId="0" applyNumberFormat="1" applyFont="1" applyFill="1" applyBorder="1" applyAlignment="1"/>
    <xf numFmtId="175" fontId="47" fillId="25" borderId="12" xfId="0" applyNumberFormat="1" applyFont="1" applyFill="1" applyBorder="1" applyAlignment="1"/>
    <xf numFmtId="175" fontId="47" fillId="25" borderId="11" xfId="0" applyNumberFormat="1" applyFont="1" applyFill="1" applyBorder="1" applyAlignment="1"/>
    <xf numFmtId="175" fontId="47" fillId="25" borderId="38" xfId="0" applyNumberFormat="1" applyFont="1" applyFill="1" applyBorder="1" applyAlignment="1"/>
    <xf numFmtId="0" fontId="57" fillId="0" borderId="0" xfId="0" quotePrefix="1" applyFont="1" applyAlignment="1" applyProtection="1"/>
    <xf numFmtId="175" fontId="47" fillId="25" borderId="47" xfId="0" applyNumberFormat="1" applyFont="1" applyFill="1" applyBorder="1" applyAlignment="1"/>
    <xf numFmtId="175" fontId="47" fillId="25" borderId="10" xfId="0" applyNumberFormat="1" applyFont="1" applyFill="1" applyBorder="1" applyAlignment="1"/>
    <xf numFmtId="0" fontId="27" fillId="0" borderId="0" xfId="0" quotePrefix="1" applyFont="1" applyAlignment="1" applyProtection="1"/>
    <xf numFmtId="175" fontId="48" fillId="20" borderId="70" xfId="0" applyNumberFormat="1" applyFont="1" applyFill="1" applyBorder="1" applyAlignment="1"/>
    <xf numFmtId="175" fontId="27" fillId="20" borderId="70" xfId="0" applyNumberFormat="1" applyFont="1" applyFill="1" applyBorder="1" applyAlignment="1"/>
    <xf numFmtId="175" fontId="47" fillId="25" borderId="84" xfId="0" applyNumberFormat="1" applyFont="1" applyFill="1" applyBorder="1" applyAlignment="1"/>
    <xf numFmtId="0" fontId="57" fillId="0" borderId="0" xfId="0" applyFont="1" applyAlignment="1" applyProtection="1"/>
    <xf numFmtId="175" fontId="47" fillId="25" borderId="80" xfId="0" applyNumberFormat="1" applyFont="1" applyFill="1" applyBorder="1" applyAlignment="1"/>
    <xf numFmtId="175" fontId="47" fillId="25" borderId="81" xfId="0" applyNumberFormat="1" applyFont="1" applyFill="1" applyBorder="1" applyAlignment="1"/>
    <xf numFmtId="175" fontId="47" fillId="25" borderId="89" xfId="0" applyNumberFormat="1" applyFont="1" applyFill="1" applyBorder="1" applyAlignment="1"/>
    <xf numFmtId="175" fontId="47" fillId="25" borderId="75" xfId="0" applyNumberFormat="1" applyFont="1" applyFill="1" applyBorder="1" applyAlignment="1"/>
    <xf numFmtId="0" fontId="48" fillId="0" borderId="0" xfId="0" applyFont="1" applyFill="1" applyBorder="1" applyAlignment="1"/>
    <xf numFmtId="0" fontId="27" fillId="0" borderId="0" xfId="0" applyFont="1" applyFill="1" applyBorder="1" applyAlignment="1"/>
    <xf numFmtId="0" fontId="57" fillId="0" borderId="0" xfId="0" applyFont="1" applyBorder="1" applyAlignment="1">
      <alignment horizontal="center"/>
    </xf>
    <xf numFmtId="0" fontId="39" fillId="23" borderId="74" xfId="0" applyFont="1" applyFill="1" applyBorder="1" applyAlignment="1">
      <alignment horizontal="left" vertical="center"/>
    </xf>
    <xf numFmtId="0" fontId="47" fillId="23" borderId="25" xfId="0" applyFont="1" applyFill="1" applyBorder="1" applyAlignment="1">
      <alignment horizontal="left" vertical="center"/>
    </xf>
    <xf numFmtId="0" fontId="47" fillId="23" borderId="25" xfId="0" applyFont="1" applyFill="1" applyBorder="1" applyAlignment="1" applyProtection="1">
      <alignment vertical="center" wrapText="1"/>
    </xf>
    <xf numFmtId="0" fontId="47" fillId="23" borderId="26" xfId="0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/>
    <xf numFmtId="0" fontId="47" fillId="23" borderId="29" xfId="0" applyFont="1" applyFill="1" applyBorder="1" applyAlignment="1" applyProtection="1">
      <alignment horizontal="center" vertical="center" wrapText="1"/>
    </xf>
    <xf numFmtId="0" fontId="47" fillId="23" borderId="24" xfId="0" applyFont="1" applyFill="1" applyBorder="1" applyAlignment="1" applyProtection="1">
      <alignment horizontal="center" vertical="center" wrapText="1"/>
    </xf>
    <xf numFmtId="0" fontId="47" fillId="23" borderId="24" xfId="0" applyFont="1" applyFill="1" applyBorder="1" applyAlignment="1" applyProtection="1">
      <alignment horizontal="center" wrapText="1"/>
    </xf>
    <xf numFmtId="0" fontId="47" fillId="0" borderId="75" xfId="0" applyFont="1" applyBorder="1" applyAlignment="1">
      <alignment horizontal="center"/>
    </xf>
    <xf numFmtId="0" fontId="27" fillId="0" borderId="88" xfId="0" applyFont="1" applyFill="1" applyBorder="1" applyAlignment="1" applyProtection="1"/>
    <xf numFmtId="175" fontId="48" fillId="19" borderId="38" xfId="0" applyNumberFormat="1" applyFont="1" applyFill="1" applyBorder="1" applyAlignment="1" applyProtection="1">
      <protection locked="0"/>
    </xf>
    <xf numFmtId="175" fontId="27" fillId="25" borderId="72" xfId="0" applyNumberFormat="1" applyFont="1" applyFill="1" applyBorder="1" applyAlignment="1"/>
    <xf numFmtId="0" fontId="27" fillId="0" borderId="37" xfId="0" applyFont="1" applyFill="1" applyBorder="1" applyAlignment="1" applyProtection="1"/>
    <xf numFmtId="175" fontId="48" fillId="19" borderId="73" xfId="0" applyNumberFormat="1" applyFont="1" applyFill="1" applyBorder="1" applyAlignment="1" applyProtection="1">
      <protection locked="0"/>
    </xf>
    <xf numFmtId="175" fontId="27" fillId="25" borderId="73" xfId="0" applyNumberFormat="1" applyFont="1" applyFill="1" applyBorder="1" applyAlignment="1"/>
    <xf numFmtId="0" fontId="27" fillId="0" borderId="10" xfId="0" applyFont="1" applyFill="1" applyBorder="1" applyAlignment="1" applyProtection="1"/>
    <xf numFmtId="0" fontId="27" fillId="0" borderId="37" xfId="0" applyFont="1" applyBorder="1" applyAlignment="1" applyProtection="1"/>
    <xf numFmtId="0" fontId="27" fillId="0" borderId="10" xfId="0" applyFont="1" applyBorder="1" applyAlignment="1" applyProtection="1"/>
    <xf numFmtId="0" fontId="27" fillId="0" borderId="37" xfId="0" applyFont="1" applyBorder="1" applyAlignment="1" applyProtection="1">
      <alignment vertical="center"/>
    </xf>
    <xf numFmtId="0" fontId="27" fillId="0" borderId="88" xfId="0" applyFont="1" applyFill="1" applyBorder="1" applyAlignment="1" applyProtection="1">
      <alignment vertical="center"/>
    </xf>
    <xf numFmtId="0" fontId="27" fillId="0" borderId="10" xfId="0" applyFont="1" applyBorder="1" applyAlignment="1" applyProtection="1">
      <alignment vertical="center"/>
    </xf>
    <xf numFmtId="175" fontId="27" fillId="25" borderId="75" xfId="0" applyNumberFormat="1" applyFont="1" applyFill="1" applyBorder="1" applyAlignment="1"/>
    <xf numFmtId="0" fontId="0" fillId="0" borderId="0" xfId="0" applyAlignment="1"/>
    <xf numFmtId="0" fontId="47" fillId="23" borderId="74" xfId="0" applyFont="1" applyFill="1" applyBorder="1" applyAlignment="1">
      <alignment horizontal="left" vertical="center"/>
    </xf>
    <xf numFmtId="0" fontId="0" fillId="23" borderId="25" xfId="0" applyFill="1" applyBorder="1" applyAlignment="1"/>
    <xf numFmtId="0" fontId="28" fillId="23" borderId="75" xfId="0" applyFont="1" applyFill="1" applyBorder="1" applyAlignment="1" applyProtection="1">
      <alignment horizontal="center" wrapText="1"/>
    </xf>
    <xf numFmtId="175" fontId="47" fillId="25" borderId="85" xfId="0" applyNumberFormat="1" applyFont="1" applyFill="1" applyBorder="1" applyAlignment="1"/>
    <xf numFmtId="175" fontId="47" fillId="25" borderId="73" xfId="0" applyNumberFormat="1" applyFont="1" applyFill="1" applyBorder="1" applyAlignment="1"/>
    <xf numFmtId="175" fontId="0" fillId="25" borderId="75" xfId="0" applyNumberFormat="1" applyFill="1" applyBorder="1" applyAlignment="1"/>
    <xf numFmtId="0" fontId="47" fillId="0" borderId="0" xfId="0" applyFont="1" applyBorder="1" applyAlignment="1" applyProtection="1"/>
    <xf numFmtId="0" fontId="47" fillId="0" borderId="0" xfId="0" applyFont="1" applyBorder="1" applyAlignment="1" applyProtection="1">
      <alignment wrapText="1"/>
    </xf>
    <xf numFmtId="0" fontId="28" fillId="0" borderId="0" xfId="0" applyFont="1" applyBorder="1" applyAlignment="1" applyProtection="1">
      <alignment wrapText="1"/>
    </xf>
    <xf numFmtId="0" fontId="58" fillId="0" borderId="0" xfId="0" applyFont="1" applyFill="1" applyBorder="1" applyAlignment="1"/>
    <xf numFmtId="175" fontId="47" fillId="0" borderId="75" xfId="0" applyNumberFormat="1" applyFont="1" applyFill="1" applyBorder="1" applyAlignment="1"/>
    <xf numFmtId="175" fontId="27" fillId="0" borderId="38" xfId="0" applyNumberFormat="1" applyFont="1" applyFill="1" applyBorder="1" applyAlignment="1" applyProtection="1">
      <protection locked="0"/>
    </xf>
    <xf numFmtId="0" fontId="27" fillId="0" borderId="0" xfId="0" applyFont="1" applyAlignment="1"/>
    <xf numFmtId="0" fontId="39" fillId="26" borderId="21" xfId="0" applyFont="1" applyFill="1" applyBorder="1" applyAlignment="1">
      <alignment vertical="center"/>
    </xf>
    <xf numFmtId="0" fontId="47" fillId="26" borderId="22" xfId="0" applyFont="1" applyFill="1" applyBorder="1" applyAlignment="1">
      <alignment vertical="center"/>
    </xf>
    <xf numFmtId="0" fontId="47" fillId="26" borderId="25" xfId="0" applyFont="1" applyFill="1" applyBorder="1" applyAlignment="1" applyProtection="1">
      <alignment horizontal="center" wrapText="1"/>
    </xf>
    <xf numFmtId="0" fontId="47" fillId="26" borderId="26" xfId="0" applyFont="1" applyFill="1" applyBorder="1" applyAlignment="1" applyProtection="1">
      <alignment horizontal="center" wrapText="1"/>
    </xf>
    <xf numFmtId="0" fontId="47" fillId="26" borderId="32" xfId="0" applyFont="1" applyFill="1" applyBorder="1" applyAlignment="1" applyProtection="1">
      <alignment horizontal="center" vertical="center" wrapText="1"/>
    </xf>
    <xf numFmtId="0" fontId="47" fillId="26" borderId="33" xfId="0" applyFont="1" applyFill="1" applyBorder="1" applyAlignment="1" applyProtection="1">
      <alignment horizontal="center" vertical="center" wrapText="1"/>
    </xf>
    <xf numFmtId="0" fontId="47" fillId="0" borderId="26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3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22" xfId="0" applyFont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8" fillId="0" borderId="7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8" fillId="0" borderId="23" xfId="0" applyFont="1" applyFill="1" applyBorder="1" applyAlignment="1" applyProtection="1">
      <alignment horizontal="center" vertical="center"/>
    </xf>
    <xf numFmtId="0" fontId="29" fillId="0" borderId="27" xfId="0" applyFont="1" applyBorder="1" applyAlignment="1" applyProtection="1">
      <alignment vertical="center"/>
    </xf>
    <xf numFmtId="175" fontId="30" fillId="19" borderId="27" xfId="0" applyNumberFormat="1" applyFont="1" applyFill="1" applyBorder="1" applyAlignment="1" applyProtection="1">
      <alignment vertical="center"/>
      <protection locked="0"/>
    </xf>
    <xf numFmtId="175" fontId="29" fillId="0" borderId="28" xfId="0" applyNumberFormat="1" applyFont="1" applyFill="1" applyBorder="1" applyAlignment="1" applyProtection="1">
      <alignment vertical="center"/>
    </xf>
    <xf numFmtId="175" fontId="2" fillId="0" borderId="28" xfId="0" applyNumberFormat="1" applyFont="1" applyFill="1" applyBorder="1" applyAlignment="1">
      <alignment vertical="center"/>
    </xf>
    <xf numFmtId="175" fontId="2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 applyProtection="1">
      <alignment vertical="center"/>
    </xf>
    <xf numFmtId="175" fontId="30" fillId="19" borderId="64" xfId="0" applyNumberFormat="1" applyFont="1" applyFill="1" applyBorder="1" applyAlignment="1" applyProtection="1">
      <alignment vertical="center"/>
      <protection locked="0"/>
    </xf>
    <xf numFmtId="175" fontId="29" fillId="0" borderId="27" xfId="0" applyNumberFormat="1" applyFont="1" applyFill="1" applyBorder="1" applyAlignment="1" applyProtection="1">
      <alignment vertical="center"/>
    </xf>
    <xf numFmtId="175" fontId="30" fillId="0" borderId="28" xfId="0" applyNumberFormat="1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9" fillId="0" borderId="0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175" fontId="29" fillId="0" borderId="30" xfId="0" applyNumberFormat="1" applyFont="1" applyFill="1" applyBorder="1" applyAlignment="1" applyProtection="1">
      <alignment vertical="center"/>
    </xf>
    <xf numFmtId="175" fontId="28" fillId="25" borderId="90" xfId="0" applyNumberFormat="1" applyFont="1" applyFill="1" applyBorder="1" applyAlignment="1" applyProtection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75" fontId="2" fillId="0" borderId="31" xfId="0" applyNumberFormat="1" applyFont="1" applyFill="1" applyBorder="1" applyAlignment="1">
      <alignment vertical="center"/>
    </xf>
    <xf numFmtId="175" fontId="2" fillId="0" borderId="32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75" fontId="29" fillId="0" borderId="22" xfId="0" applyNumberFormat="1" applyFont="1" applyFill="1" applyBorder="1" applyAlignment="1">
      <alignment vertical="center"/>
    </xf>
    <xf numFmtId="175" fontId="2" fillId="0" borderId="22" xfId="0" applyNumberFormat="1" applyFont="1" applyFill="1" applyBorder="1" applyAlignment="1">
      <alignment vertical="center"/>
    </xf>
    <xf numFmtId="175" fontId="29" fillId="0" borderId="0" xfId="0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175" fontId="28" fillId="0" borderId="75" xfId="0" applyNumberFormat="1" applyFont="1" applyFill="1" applyBorder="1" applyAlignment="1">
      <alignment horizontal="center" vertical="center"/>
    </xf>
    <xf numFmtId="175" fontId="29" fillId="0" borderId="0" xfId="0" applyNumberFormat="1" applyFont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/>
    </xf>
    <xf numFmtId="175" fontId="30" fillId="19" borderId="29" xfId="0" applyNumberFormat="1" applyFont="1" applyFill="1" applyBorder="1" applyAlignment="1" applyProtection="1">
      <alignment vertical="center"/>
      <protection locked="0"/>
    </xf>
    <xf numFmtId="0" fontId="29" fillId="0" borderId="27" xfId="0" applyFont="1" applyFill="1" applyBorder="1" applyAlignment="1">
      <alignment vertical="center"/>
    </xf>
    <xf numFmtId="0" fontId="29" fillId="0" borderId="28" xfId="0" applyFont="1" applyFill="1" applyBorder="1" applyAlignment="1">
      <alignment vertical="center"/>
    </xf>
    <xf numFmtId="175" fontId="28" fillId="25" borderId="91" xfId="0" applyNumberFormat="1" applyFont="1" applyFill="1" applyBorder="1" applyAlignment="1" applyProtection="1">
      <alignment vertical="center"/>
      <protection locked="0"/>
    </xf>
    <xf numFmtId="0" fontId="28" fillId="0" borderId="4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176" fontId="28" fillId="0" borderId="60" xfId="0" applyNumberFormat="1" applyFont="1" applyBorder="1" applyAlignment="1">
      <alignment horizontal="center" vertical="center"/>
    </xf>
    <xf numFmtId="176" fontId="28" fillId="0" borderId="18" xfId="0" applyNumberFormat="1" applyFont="1" applyBorder="1" applyAlignment="1">
      <alignment horizontal="center" vertical="center"/>
    </xf>
    <xf numFmtId="176" fontId="59" fillId="19" borderId="45" xfId="0" applyNumberFormat="1" applyFont="1" applyFill="1" applyBorder="1" applyAlignment="1" applyProtection="1">
      <alignment horizontal="left"/>
      <protection locked="0"/>
    </xf>
    <xf numFmtId="175" fontId="30" fillId="19" borderId="16" xfId="0" applyNumberFormat="1" applyFont="1" applyFill="1" applyBorder="1" applyAlignment="1" applyProtection="1">
      <alignment horizontal="right"/>
      <protection locked="0"/>
    </xf>
    <xf numFmtId="175" fontId="29" fillId="25" borderId="45" xfId="82" applyNumberFormat="1" applyFont="1" applyFill="1" applyBorder="1"/>
    <xf numFmtId="176" fontId="59" fillId="19" borderId="70" xfId="0" applyNumberFormat="1" applyFont="1" applyFill="1" applyBorder="1" applyAlignment="1" applyProtection="1">
      <alignment horizontal="left" vertical="center"/>
      <protection locked="0"/>
    </xf>
    <xf numFmtId="176" fontId="59" fillId="19" borderId="45" xfId="0" applyNumberFormat="1" applyFont="1" applyFill="1" applyBorder="1" applyAlignment="1" applyProtection="1">
      <alignment horizontal="left" vertical="center"/>
      <protection locked="0"/>
    </xf>
    <xf numFmtId="175" fontId="30" fillId="19" borderId="16" xfId="0" applyNumberFormat="1" applyFont="1" applyFill="1" applyBorder="1" applyAlignment="1" applyProtection="1">
      <alignment horizontal="right" vertical="center"/>
      <protection locked="0"/>
    </xf>
    <xf numFmtId="175" fontId="29" fillId="25" borderId="45" xfId="82" applyNumberFormat="1" applyFont="1" applyFill="1" applyBorder="1" applyAlignment="1">
      <alignment vertical="center"/>
    </xf>
    <xf numFmtId="176" fontId="59" fillId="19" borderId="60" xfId="0" applyNumberFormat="1" applyFont="1" applyFill="1" applyBorder="1" applyAlignment="1" applyProtection="1">
      <alignment horizontal="left" vertical="center"/>
      <protection locked="0"/>
    </xf>
    <xf numFmtId="175" fontId="28" fillId="25" borderId="38" xfId="0" applyNumberFormat="1" applyFont="1" applyFill="1" applyBorder="1" applyAlignment="1" applyProtection="1"/>
    <xf numFmtId="0" fontId="5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175" fontId="29" fillId="0" borderId="28" xfId="0" applyNumberFormat="1" applyFont="1" applyFill="1" applyBorder="1" applyAlignment="1">
      <alignment vertical="center"/>
    </xf>
    <xf numFmtId="0" fontId="29" fillId="0" borderId="25" xfId="0" applyFont="1" applyFill="1" applyBorder="1" applyAlignment="1">
      <alignment vertical="center"/>
    </xf>
    <xf numFmtId="175" fontId="29" fillId="0" borderId="75" xfId="0" applyNumberFormat="1" applyFont="1" applyFill="1" applyBorder="1" applyAlignment="1">
      <alignment horizontal="center" vertical="center" wrapText="1"/>
    </xf>
    <xf numFmtId="175" fontId="30" fillId="19" borderId="29" xfId="0" applyNumberFormat="1" applyFont="1" applyFill="1" applyBorder="1" applyAlignment="1" applyProtection="1">
      <protection locked="0"/>
    </xf>
    <xf numFmtId="175" fontId="30" fillId="20" borderId="24" xfId="0" applyNumberFormat="1" applyFont="1" applyFill="1" applyBorder="1" applyAlignment="1" applyProtection="1">
      <alignment vertical="center"/>
    </xf>
    <xf numFmtId="175" fontId="30" fillId="19" borderId="33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horizontal="right" vertical="center"/>
    </xf>
    <xf numFmtId="175" fontId="28" fillId="25" borderId="91" xfId="0" applyNumberFormat="1" applyFont="1" applyFill="1" applyBorder="1" applyAlignment="1" applyProtection="1">
      <alignment vertical="center"/>
    </xf>
    <xf numFmtId="175" fontId="60" fillId="0" borderId="75" xfId="0" applyNumberFormat="1" applyFont="1" applyFill="1" applyBorder="1" applyAlignment="1">
      <alignment horizontal="center" vertical="center"/>
    </xf>
    <xf numFmtId="175" fontId="60" fillId="0" borderId="75" xfId="0" applyNumberFormat="1" applyFont="1" applyFill="1" applyBorder="1" applyAlignment="1">
      <alignment horizontal="center" textRotation="90" wrapText="1"/>
    </xf>
    <xf numFmtId="175" fontId="29" fillId="25" borderId="24" xfId="0" applyNumberFormat="1" applyFont="1" applyFill="1" applyBorder="1" applyAlignment="1" applyProtection="1">
      <alignment vertical="center"/>
    </xf>
    <xf numFmtId="175" fontId="30" fillId="19" borderId="41" xfId="0" applyNumberFormat="1" applyFont="1" applyFill="1" applyBorder="1" applyAlignment="1" applyProtection="1">
      <alignment vertical="center"/>
      <protection locked="0"/>
    </xf>
    <xf numFmtId="175" fontId="30" fillId="19" borderId="86" xfId="0" applyNumberFormat="1" applyFont="1" applyFill="1" applyBorder="1" applyAlignment="1" applyProtection="1">
      <alignment vertical="center"/>
      <protection locked="0"/>
    </xf>
    <xf numFmtId="175" fontId="30" fillId="19" borderId="51" xfId="0" applyNumberFormat="1" applyFont="1" applyFill="1" applyBorder="1" applyAlignment="1" applyProtection="1">
      <alignment vertical="center"/>
      <protection locked="0"/>
    </xf>
    <xf numFmtId="175" fontId="29" fillId="25" borderId="33" xfId="0" applyNumberFormat="1" applyFont="1" applyFill="1" applyBorder="1" applyAlignment="1" applyProtection="1">
      <alignment vertical="center"/>
    </xf>
    <xf numFmtId="175" fontId="30" fillId="19" borderId="48" xfId="0" applyNumberFormat="1" applyFont="1" applyFill="1" applyBorder="1" applyAlignment="1" applyProtection="1">
      <alignment vertical="center"/>
      <protection locked="0"/>
    </xf>
    <xf numFmtId="175" fontId="30" fillId="19" borderId="87" xfId="0" applyNumberFormat="1" applyFont="1" applyFill="1" applyBorder="1" applyAlignment="1" applyProtection="1">
      <alignment vertical="center"/>
      <protection locked="0"/>
    </xf>
    <xf numFmtId="175" fontId="30" fillId="19" borderId="63" xfId="0" applyNumberFormat="1" applyFont="1" applyFill="1" applyBorder="1" applyAlignment="1" applyProtection="1">
      <alignment vertical="center"/>
      <protection locked="0"/>
    </xf>
    <xf numFmtId="175" fontId="60" fillId="0" borderId="24" xfId="0" applyNumberFormat="1" applyFont="1" applyFill="1" applyBorder="1" applyAlignment="1">
      <alignment horizontal="center" vertical="center"/>
    </xf>
    <xf numFmtId="175" fontId="60" fillId="0" borderId="24" xfId="0" applyNumberFormat="1" applyFont="1" applyFill="1" applyBorder="1" applyAlignment="1">
      <alignment horizontal="center" textRotation="90" wrapText="1"/>
    </xf>
    <xf numFmtId="0" fontId="2" fillId="0" borderId="0" xfId="0" applyFont="1" applyBorder="1" applyAlignment="1" applyProtection="1">
      <alignment horizontal="left" vertical="center"/>
    </xf>
    <xf numFmtId="175" fontId="29" fillId="25" borderId="29" xfId="0" applyNumberFormat="1" applyFont="1" applyFill="1" applyBorder="1" applyAlignment="1" applyProtection="1">
      <alignment vertical="center"/>
    </xf>
    <xf numFmtId="175" fontId="30" fillId="19" borderId="44" xfId="0" applyNumberFormat="1" applyFont="1" applyFill="1" applyBorder="1" applyAlignment="1" applyProtection="1">
      <alignment vertical="center"/>
      <protection locked="0"/>
    </xf>
    <xf numFmtId="175" fontId="30" fillId="19" borderId="17" xfId="0" applyNumberFormat="1" applyFont="1" applyFill="1" applyBorder="1" applyAlignment="1" applyProtection="1">
      <alignment vertical="center"/>
      <protection locked="0"/>
    </xf>
    <xf numFmtId="175" fontId="30" fillId="19" borderId="45" xfId="0" applyNumberFormat="1" applyFont="1" applyFill="1" applyBorder="1" applyAlignment="1" applyProtection="1">
      <alignment vertical="center"/>
      <protection locked="0"/>
    </xf>
    <xf numFmtId="175" fontId="30" fillId="19" borderId="28" xfId="0" applyNumberFormat="1" applyFont="1" applyFill="1" applyBorder="1" applyAlignment="1" applyProtection="1">
      <alignment vertical="center"/>
      <protection locked="0"/>
    </xf>
    <xf numFmtId="175" fontId="30" fillId="19" borderId="58" xfId="0" applyNumberFormat="1" applyFont="1" applyFill="1" applyBorder="1" applyAlignment="1" applyProtection="1">
      <alignment vertical="center"/>
      <protection locked="0"/>
    </xf>
    <xf numFmtId="175" fontId="30" fillId="19" borderId="20" xfId="0" applyNumberFormat="1" applyFont="1" applyFill="1" applyBorder="1" applyAlignment="1" applyProtection="1">
      <alignment vertical="center"/>
      <protection locked="0"/>
    </xf>
    <xf numFmtId="175" fontId="30" fillId="19" borderId="60" xfId="0" applyNumberFormat="1" applyFont="1" applyFill="1" applyBorder="1" applyAlignment="1" applyProtection="1">
      <alignment vertical="center"/>
      <protection locked="0"/>
    </xf>
    <xf numFmtId="175" fontId="30" fillId="19" borderId="65" xfId="0" applyNumberFormat="1" applyFont="1" applyFill="1" applyBorder="1" applyAlignment="1" applyProtection="1">
      <alignment vertical="center"/>
      <protection locked="0"/>
    </xf>
    <xf numFmtId="175" fontId="28" fillId="25" borderId="73" xfId="0" applyNumberFormat="1" applyFont="1" applyFill="1" applyBorder="1" applyAlignment="1" applyProtection="1">
      <alignment vertical="center"/>
    </xf>
    <xf numFmtId="0" fontId="29" fillId="0" borderId="3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8" fillId="0" borderId="31" xfId="0" applyFont="1" applyBorder="1" applyAlignment="1" applyProtection="1">
      <alignment horizontal="right" vertical="center"/>
    </xf>
    <xf numFmtId="0" fontId="29" fillId="0" borderId="31" xfId="0" applyFont="1" applyFill="1" applyBorder="1" applyAlignment="1">
      <alignment vertical="center"/>
    </xf>
    <xf numFmtId="0" fontId="55" fillId="0" borderId="31" xfId="0" quotePrefix="1" applyFont="1" applyBorder="1" applyAlignment="1" applyProtection="1">
      <alignment horizontal="center" vertical="center"/>
    </xf>
    <xf numFmtId="0" fontId="55" fillId="0" borderId="31" xfId="0" applyFont="1" applyBorder="1" applyAlignment="1" applyProtection="1">
      <alignment horizontal="center" vertical="center"/>
    </xf>
    <xf numFmtId="0" fontId="28" fillId="0" borderId="32" xfId="0" applyFont="1" applyBorder="1" applyAlignment="1" applyProtection="1">
      <alignment horizontal="right" vertical="center"/>
    </xf>
    <xf numFmtId="0" fontId="29" fillId="0" borderId="22" xfId="0" applyFont="1" applyBorder="1" applyAlignment="1" applyProtection="1">
      <alignment horizontal="left" vertical="center"/>
    </xf>
    <xf numFmtId="0" fontId="29" fillId="0" borderId="23" xfId="0" applyFont="1" applyFill="1" applyBorder="1" applyAlignment="1">
      <alignment vertical="center"/>
    </xf>
    <xf numFmtId="175" fontId="29" fillId="27" borderId="29" xfId="0" applyNumberFormat="1" applyFont="1" applyFill="1" applyBorder="1" applyAlignment="1" applyProtection="1">
      <alignment vertical="center"/>
    </xf>
    <xf numFmtId="175" fontId="30" fillId="27" borderId="44" xfId="0" applyNumberFormat="1" applyFont="1" applyFill="1" applyBorder="1" applyAlignment="1" applyProtection="1">
      <alignment vertical="center"/>
    </xf>
    <xf numFmtId="175" fontId="30" fillId="27" borderId="17" xfId="0" applyNumberFormat="1" applyFont="1" applyFill="1" applyBorder="1" applyAlignment="1" applyProtection="1">
      <alignment vertical="center"/>
    </xf>
    <xf numFmtId="175" fontId="30" fillId="27" borderId="45" xfId="0" applyNumberFormat="1" applyFont="1" applyFill="1" applyBorder="1" applyAlignment="1" applyProtection="1">
      <alignment vertical="center"/>
    </xf>
    <xf numFmtId="175" fontId="30" fillId="27" borderId="28" xfId="0" applyNumberFormat="1" applyFont="1" applyFill="1" applyBorder="1" applyAlignment="1" applyProtection="1">
      <alignment vertical="center"/>
    </xf>
    <xf numFmtId="175" fontId="30" fillId="27" borderId="58" xfId="0" applyNumberFormat="1" applyFont="1" applyFill="1" applyBorder="1" applyAlignment="1" applyProtection="1">
      <alignment vertical="center"/>
    </xf>
    <xf numFmtId="175" fontId="30" fillId="27" borderId="20" xfId="0" applyNumberFormat="1" applyFont="1" applyFill="1" applyBorder="1" applyAlignment="1" applyProtection="1">
      <alignment vertical="center"/>
    </xf>
    <xf numFmtId="175" fontId="30" fillId="27" borderId="60" xfId="0" applyNumberFormat="1" applyFont="1" applyFill="1" applyBorder="1" applyAlignment="1" applyProtection="1">
      <alignment vertical="center"/>
    </xf>
    <xf numFmtId="175" fontId="30" fillId="27" borderId="65" xfId="0" applyNumberFormat="1" applyFont="1" applyFill="1" applyBorder="1" applyAlignment="1" applyProtection="1">
      <alignment vertical="center"/>
    </xf>
    <xf numFmtId="175" fontId="28" fillId="27" borderId="73" xfId="0" applyNumberFormat="1" applyFont="1" applyFill="1" applyBorder="1" applyAlignment="1" applyProtection="1">
      <alignment vertical="center"/>
    </xf>
    <xf numFmtId="175" fontId="60" fillId="0" borderId="0" xfId="0" applyNumberFormat="1" applyFont="1" applyFill="1" applyBorder="1" applyAlignment="1">
      <alignment vertical="center"/>
    </xf>
    <xf numFmtId="175" fontId="29" fillId="25" borderId="75" xfId="0" applyNumberFormat="1" applyFont="1" applyFill="1" applyBorder="1" applyAlignment="1" applyProtection="1">
      <alignment vertical="center"/>
    </xf>
    <xf numFmtId="175" fontId="30" fillId="20" borderId="80" xfId="0" applyNumberFormat="1" applyFont="1" applyFill="1" applyBorder="1" applyAlignment="1" applyProtection="1">
      <alignment vertical="center"/>
    </xf>
    <xf numFmtId="175" fontId="30" fillId="19" borderId="80" xfId="0" applyNumberFormat="1" applyFont="1" applyFill="1" applyBorder="1" applyAlignment="1" applyProtection="1">
      <alignment vertical="center"/>
      <protection locked="0"/>
    </xf>
    <xf numFmtId="175" fontId="30" fillId="20" borderId="81" xfId="0" applyNumberFormat="1" applyFont="1" applyFill="1" applyBorder="1" applyAlignment="1" applyProtection="1">
      <alignment vertical="center"/>
    </xf>
    <xf numFmtId="175" fontId="30" fillId="20" borderId="26" xfId="0" applyNumberFormat="1" applyFont="1" applyFill="1" applyBorder="1" applyAlignment="1" applyProtection="1">
      <alignment vertical="center"/>
    </xf>
    <xf numFmtId="0" fontId="29" fillId="0" borderId="31" xfId="0" applyFont="1" applyBorder="1" applyAlignment="1">
      <alignment horizontal="left" vertical="center"/>
    </xf>
    <xf numFmtId="175" fontId="29" fillId="0" borderId="31" xfId="0" applyNumberFormat="1" applyFont="1" applyFill="1" applyBorder="1" applyAlignment="1">
      <alignment vertical="center"/>
    </xf>
    <xf numFmtId="175" fontId="60" fillId="0" borderId="31" xfId="0" applyNumberFormat="1" applyFont="1" applyFill="1" applyBorder="1" applyAlignment="1">
      <alignment vertical="center"/>
    </xf>
    <xf numFmtId="0" fontId="29" fillId="0" borderId="32" xfId="0" applyFont="1" applyFill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22" xfId="0" applyFont="1" applyBorder="1" applyAlignment="1">
      <alignment horizontal="left" vertical="center"/>
    </xf>
    <xf numFmtId="0" fontId="29" fillId="0" borderId="22" xfId="0" applyFont="1" applyFill="1" applyBorder="1" applyAlignment="1">
      <alignment vertical="center"/>
    </xf>
    <xf numFmtId="175" fontId="60" fillId="0" borderId="22" xfId="0" applyNumberFormat="1" applyFont="1" applyFill="1" applyBorder="1" applyAlignment="1">
      <alignment vertical="center"/>
    </xf>
    <xf numFmtId="175" fontId="29" fillId="0" borderId="23" xfId="0" applyNumberFormat="1" applyFont="1" applyFill="1" applyBorder="1" applyAlignment="1">
      <alignment vertical="center"/>
    </xf>
    <xf numFmtId="175" fontId="30" fillId="19" borderId="75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Border="1" applyAlignment="1">
      <alignment horizontal="left" vertical="center"/>
    </xf>
    <xf numFmtId="175" fontId="28" fillId="0" borderId="28" xfId="0" applyNumberFormat="1" applyFont="1" applyFill="1" applyBorder="1" applyAlignment="1">
      <alignment horizontal="center" vertical="center"/>
    </xf>
    <xf numFmtId="175" fontId="28" fillId="0" borderId="0" xfId="0" applyNumberFormat="1" applyFont="1" applyFill="1" applyBorder="1" applyAlignment="1">
      <alignment horizontal="center" vertical="center"/>
    </xf>
    <xf numFmtId="175" fontId="30" fillId="19" borderId="92" xfId="0" applyNumberFormat="1" applyFont="1" applyFill="1" applyBorder="1" applyAlignment="1" applyProtection="1">
      <alignment vertical="center"/>
      <protection locked="0"/>
    </xf>
    <xf numFmtId="0" fontId="30" fillId="19" borderId="93" xfId="0" applyFont="1" applyFill="1" applyBorder="1" applyAlignment="1" applyProtection="1">
      <alignment vertical="center"/>
      <protection locked="0"/>
    </xf>
    <xf numFmtId="175" fontId="30" fillId="0" borderId="28" xfId="0" applyNumberFormat="1" applyFont="1" applyFill="1" applyBorder="1" applyAlignment="1" applyProtection="1">
      <alignment vertical="center"/>
      <protection locked="0"/>
    </xf>
    <xf numFmtId="175" fontId="30" fillId="0" borderId="0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>
      <alignment horizontal="left" vertical="center"/>
    </xf>
    <xf numFmtId="175" fontId="29" fillId="0" borderId="0" xfId="0" applyNumberFormat="1" applyFont="1" applyFill="1" applyBorder="1" applyAlignment="1" applyProtection="1">
      <alignment vertical="center"/>
      <protection locked="0"/>
    </xf>
    <xf numFmtId="175" fontId="29" fillId="0" borderId="28" xfId="0" applyNumberFormat="1" applyFont="1" applyFill="1" applyBorder="1" applyAlignment="1" applyProtection="1">
      <alignment vertical="center"/>
      <protection locked="0"/>
    </xf>
    <xf numFmtId="175" fontId="30" fillId="19" borderId="72" xfId="0" applyNumberFormat="1" applyFont="1" applyFill="1" applyBorder="1" applyAlignment="1" applyProtection="1">
      <alignment vertical="center"/>
      <protection locked="0"/>
    </xf>
    <xf numFmtId="175" fontId="29" fillId="20" borderId="64" xfId="0" applyNumberFormat="1" applyFont="1" applyFill="1" applyBorder="1" applyAlignment="1" applyProtection="1">
      <alignment vertical="center"/>
      <protection locked="0"/>
    </xf>
    <xf numFmtId="175" fontId="28" fillId="0" borderId="28" xfId="0" applyNumberFormat="1" applyFont="1" applyFill="1" applyBorder="1" applyAlignment="1" applyProtection="1">
      <alignment vertical="center"/>
    </xf>
    <xf numFmtId="175" fontId="28" fillId="0" borderId="0" xfId="0" applyNumberFormat="1" applyFont="1" applyFill="1" applyBorder="1" applyAlignment="1" applyProtection="1">
      <alignment vertical="center"/>
    </xf>
    <xf numFmtId="0" fontId="61" fillId="0" borderId="0" xfId="0" applyFont="1" applyBorder="1"/>
    <xf numFmtId="0" fontId="40" fillId="0" borderId="0" xfId="0" applyFont="1" applyBorder="1"/>
    <xf numFmtId="0" fontId="26" fillId="0" borderId="0" xfId="67" applyFont="1" applyAlignment="1" applyProtection="1"/>
    <xf numFmtId="0" fontId="62" fillId="0" borderId="0" xfId="0" applyFont="1" applyBorder="1"/>
    <xf numFmtId="0" fontId="61" fillId="0" borderId="0" xfId="0" applyFont="1" applyFill="1" applyBorder="1" applyAlignment="1">
      <alignment vertical="top" wrapText="1"/>
    </xf>
    <xf numFmtId="0" fontId="40" fillId="0" borderId="0" xfId="0" applyFont="1" applyFill="1" applyBorder="1" applyAlignment="1">
      <alignment vertical="top" wrapText="1"/>
    </xf>
    <xf numFmtId="0" fontId="62" fillId="0" borderId="0" xfId="0" applyFont="1" applyFill="1" applyBorder="1" applyAlignment="1">
      <alignment vertical="top" wrapText="1"/>
    </xf>
    <xf numFmtId="1" fontId="27" fillId="0" borderId="0" xfId="84" applyNumberFormat="1" applyFont="1" applyProtection="1"/>
    <xf numFmtId="1" fontId="27" fillId="0" borderId="0" xfId="84" applyNumberFormat="1" applyFont="1" applyAlignment="1" applyProtection="1">
      <alignment horizontal="center"/>
    </xf>
    <xf numFmtId="0" fontId="27" fillId="0" borderId="0" xfId="68" applyFont="1" applyProtection="1"/>
    <xf numFmtId="0" fontId="27" fillId="0" borderId="0" xfId="72" applyFont="1" applyFill="1" applyBorder="1" applyAlignment="1" applyProtection="1">
      <alignment horizontal="center" vertical="center"/>
    </xf>
    <xf numFmtId="0" fontId="27" fillId="0" borderId="21" xfId="72" applyFont="1" applyFill="1" applyBorder="1" applyAlignment="1" applyProtection="1">
      <alignment horizontal="left" vertical="center"/>
    </xf>
    <xf numFmtId="0" fontId="47" fillId="0" borderId="21" xfId="72" applyFont="1" applyFill="1" applyBorder="1" applyAlignment="1" applyProtection="1">
      <alignment horizontal="center" vertical="center"/>
    </xf>
    <xf numFmtId="0" fontId="47" fillId="0" borderId="24" xfId="72" applyFont="1" applyFill="1" applyBorder="1" applyAlignment="1" applyProtection="1">
      <alignment horizontal="center" vertical="center"/>
    </xf>
    <xf numFmtId="0" fontId="47" fillId="0" borderId="22" xfId="72" applyFont="1" applyFill="1" applyBorder="1" applyAlignment="1" applyProtection="1">
      <alignment horizontal="center" vertical="center"/>
    </xf>
    <xf numFmtId="0" fontId="47" fillId="0" borderId="75" xfId="72" applyFont="1" applyFill="1" applyBorder="1" applyAlignment="1" applyProtection="1">
      <alignment horizontal="center" vertical="center"/>
    </xf>
    <xf numFmtId="0" fontId="47" fillId="0" borderId="21" xfId="72" applyFont="1" applyFill="1" applyBorder="1" applyAlignment="1" applyProtection="1">
      <alignment horizontal="left" vertical="center"/>
    </xf>
    <xf numFmtId="1" fontId="27" fillId="0" borderId="24" xfId="68" applyNumberFormat="1" applyFont="1" applyFill="1" applyBorder="1" applyAlignment="1" applyProtection="1">
      <alignment horizontal="center"/>
    </xf>
    <xf numFmtId="0" fontId="27" fillId="0" borderId="29" xfId="72" applyFont="1" applyFill="1" applyBorder="1" applyAlignment="1" applyProtection="1">
      <alignment horizontal="left" vertical="center" indent="1"/>
    </xf>
    <xf numFmtId="0" fontId="0" fillId="0" borderId="29" xfId="0" applyBorder="1" applyAlignment="1">
      <alignment horizontal="center"/>
    </xf>
    <xf numFmtId="0" fontId="27" fillId="9" borderId="46" xfId="72" applyFont="1" applyFill="1" applyBorder="1" applyAlignment="1" applyProtection="1">
      <alignment horizontal="center" vertical="center"/>
    </xf>
    <xf numFmtId="0" fontId="27" fillId="9" borderId="47" xfId="72" applyFont="1" applyFill="1" applyBorder="1" applyAlignment="1" applyProtection="1">
      <alignment horizontal="center" vertical="center"/>
    </xf>
    <xf numFmtId="0" fontId="48" fillId="19" borderId="61" xfId="72" applyFont="1" applyFill="1" applyBorder="1" applyAlignment="1" applyProtection="1">
      <alignment horizontal="center" vertical="center"/>
      <protection locked="0"/>
    </xf>
    <xf numFmtId="171" fontId="48" fillId="0" borderId="33" xfId="68" applyNumberFormat="1" applyFont="1" applyFill="1" applyBorder="1" applyProtection="1"/>
    <xf numFmtId="1" fontId="47" fillId="0" borderId="30" xfId="68" applyNumberFormat="1" applyFont="1" applyBorder="1" applyProtection="1"/>
    <xf numFmtId="1" fontId="47" fillId="0" borderId="31" xfId="68" applyNumberFormat="1" applyFont="1" applyBorder="1" applyProtection="1"/>
    <xf numFmtId="1" fontId="47" fillId="0" borderId="32" xfId="68" applyNumberFormat="1" applyFont="1" applyBorder="1" applyProtection="1"/>
    <xf numFmtId="0" fontId="47" fillId="0" borderId="24" xfId="72" applyFont="1" applyFill="1" applyBorder="1" applyAlignment="1" applyProtection="1">
      <alignment horizontal="left" vertical="center"/>
    </xf>
    <xf numFmtId="0" fontId="27" fillId="0" borderId="27" xfId="72" applyFont="1" applyFill="1" applyBorder="1" applyAlignment="1" applyProtection="1">
      <alignment horizontal="center" vertical="center"/>
    </xf>
    <xf numFmtId="0" fontId="27" fillId="0" borderId="28" xfId="72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28" fillId="0" borderId="27" xfId="0" applyFont="1" applyFill="1" applyBorder="1" applyAlignment="1" applyProtection="1"/>
    <xf numFmtId="0" fontId="0" fillId="0" borderId="29" xfId="0" applyBorder="1" applyAlignment="1">
      <alignment horizontal="left" indent="1"/>
    </xf>
    <xf numFmtId="0" fontId="28" fillId="0" borderId="27" xfId="0" applyFont="1" applyFill="1" applyBorder="1" applyAlignment="1" applyProtection="1">
      <alignment horizontal="right"/>
    </xf>
    <xf numFmtId="171" fontId="29" fillId="25" borderId="83" xfId="0" applyNumberFormat="1" applyFont="1" applyFill="1" applyBorder="1" applyAlignment="1" applyProtection="1">
      <alignment horizontal="right"/>
    </xf>
    <xf numFmtId="171" fontId="29" fillId="25" borderId="80" xfId="0" applyNumberFormat="1" applyFont="1" applyFill="1" applyBorder="1" applyAlignment="1" applyProtection="1">
      <alignment horizontal="right"/>
    </xf>
    <xf numFmtId="171" fontId="29" fillId="25" borderId="26" xfId="0" applyNumberFormat="1" applyFont="1" applyFill="1" applyBorder="1" applyAlignment="1" applyProtection="1">
      <alignment horizontal="right"/>
    </xf>
    <xf numFmtId="0" fontId="0" fillId="0" borderId="27" xfId="0" applyBorder="1" applyAlignment="1"/>
    <xf numFmtId="0" fontId="0" fillId="0" borderId="0" xfId="0" applyBorder="1" applyAlignment="1"/>
    <xf numFmtId="0" fontId="0" fillId="0" borderId="28" xfId="0" applyBorder="1" applyAlignment="1"/>
    <xf numFmtId="164" fontId="27" fillId="0" borderId="61" xfId="72" applyNumberFormat="1" applyFont="1" applyFill="1" applyBorder="1" applyAlignment="1" applyProtection="1">
      <alignment horizontal="right" vertical="center"/>
    </xf>
    <xf numFmtId="0" fontId="0" fillId="0" borderId="61" xfId="0" applyBorder="1" applyAlignment="1"/>
    <xf numFmtId="0" fontId="25" fillId="0" borderId="29" xfId="0" applyFont="1" applyBorder="1" applyAlignment="1">
      <alignment horizontal="right"/>
    </xf>
    <xf numFmtId="0" fontId="0" fillId="0" borderId="46" xfId="0" applyBorder="1" applyAlignment="1"/>
    <xf numFmtId="0" fontId="0" fillId="0" borderId="47" xfId="0" applyBorder="1" applyAlignment="1"/>
    <xf numFmtId="172" fontId="32" fillId="28" borderId="0" xfId="2" applyNumberFormat="1" applyFont="1" applyFill="1"/>
    <xf numFmtId="172" fontId="32" fillId="0" borderId="19" xfId="2" applyNumberFormat="1" applyFont="1" applyBorder="1"/>
    <xf numFmtId="172" fontId="32" fillId="11" borderId="0" xfId="2" applyNumberFormat="1" applyFont="1" applyFill="1" applyBorder="1"/>
    <xf numFmtId="172" fontId="32" fillId="0" borderId="0" xfId="2" applyNumberFormat="1" applyFont="1"/>
    <xf numFmtId="172" fontId="32" fillId="11" borderId="11" xfId="2" applyNumberFormat="1" applyFont="1" applyFill="1" applyBorder="1"/>
    <xf numFmtId="172" fontId="32" fillId="0" borderId="0" xfId="0" applyNumberFormat="1" applyFont="1"/>
    <xf numFmtId="172" fontId="32" fillId="29" borderId="0" xfId="2" applyNumberFormat="1" applyFont="1" applyFill="1"/>
    <xf numFmtId="172" fontId="32" fillId="11" borderId="11" xfId="0" applyNumberFormat="1" applyFont="1" applyFill="1" applyBorder="1"/>
    <xf numFmtId="172" fontId="32" fillId="28" borderId="0" xfId="0" applyNumberFormat="1" applyFont="1" applyFill="1"/>
    <xf numFmtId="1" fontId="28" fillId="0" borderId="27" xfId="68" applyNumberFormat="1" applyFont="1" applyBorder="1" applyAlignment="1" applyProtection="1">
      <alignment horizontal="center" vertical="center" wrapText="1"/>
    </xf>
    <xf numFmtId="1" fontId="28" fillId="0" borderId="28" xfId="68" applyNumberFormat="1" applyFont="1" applyBorder="1" applyAlignment="1" applyProtection="1">
      <alignment horizontal="center" vertical="center" wrapText="1"/>
    </xf>
    <xf numFmtId="1" fontId="28" fillId="0" borderId="25" xfId="68" quotePrefix="1" applyNumberFormat="1" applyFont="1" applyBorder="1" applyAlignment="1" applyProtection="1">
      <alignment horizontal="center" vertical="center"/>
    </xf>
    <xf numFmtId="1" fontId="28" fillId="0" borderId="25" xfId="68" applyNumberFormat="1" applyFont="1" applyBorder="1" applyAlignment="1" applyProtection="1">
      <alignment horizontal="center" vertical="center"/>
    </xf>
    <xf numFmtId="1" fontId="28" fillId="0" borderId="26" xfId="68" applyNumberFormat="1" applyFont="1" applyBorder="1" applyAlignment="1" applyProtection="1">
      <alignment horizontal="center" vertical="center"/>
    </xf>
    <xf numFmtId="1" fontId="28" fillId="0" borderId="0" xfId="68" applyNumberFormat="1" applyFont="1" applyBorder="1" applyAlignment="1" applyProtection="1">
      <alignment horizontal="center" vertical="center" wrapText="1"/>
    </xf>
    <xf numFmtId="1" fontId="28" fillId="0" borderId="21" xfId="68" applyNumberFormat="1" applyFont="1" applyBorder="1" applyAlignment="1" applyProtection="1">
      <alignment horizontal="center" vertical="center" wrapText="1"/>
    </xf>
    <xf numFmtId="1" fontId="28" fillId="0" borderId="22" xfId="68" applyNumberFormat="1" applyFont="1" applyBorder="1" applyAlignment="1" applyProtection="1">
      <alignment horizontal="center" vertical="center" wrapText="1"/>
    </xf>
    <xf numFmtId="1" fontId="28" fillId="0" borderId="23" xfId="68" applyNumberFormat="1" applyFont="1" applyBorder="1" applyAlignment="1" applyProtection="1">
      <alignment horizontal="center" vertical="center" wrapText="1"/>
    </xf>
    <xf numFmtId="1" fontId="28" fillId="0" borderId="30" xfId="68" applyNumberFormat="1" applyFont="1" applyBorder="1" applyAlignment="1" applyProtection="1">
      <alignment horizontal="center" vertical="center" wrapText="1"/>
    </xf>
    <xf numFmtId="1" fontId="28" fillId="0" borderId="31" xfId="68" applyNumberFormat="1" applyFont="1" applyBorder="1" applyAlignment="1" applyProtection="1">
      <alignment horizontal="center" vertical="center" wrapText="1"/>
    </xf>
    <xf numFmtId="1" fontId="28" fillId="0" borderId="32" xfId="68" applyNumberFormat="1" applyFont="1" applyBorder="1" applyAlignment="1" applyProtection="1">
      <alignment horizontal="center" vertical="center" wrapText="1"/>
    </xf>
    <xf numFmtId="1" fontId="28" fillId="0" borderId="24" xfId="68" applyNumberFormat="1" applyFont="1" applyBorder="1" applyAlignment="1" applyProtection="1">
      <alignment horizontal="center" vertical="center" wrapText="1"/>
    </xf>
    <xf numFmtId="1" fontId="28" fillId="0" borderId="29" xfId="68" applyNumberFormat="1" applyFont="1" applyBorder="1" applyAlignment="1" applyProtection="1">
      <alignment horizontal="center" vertical="center" wrapText="1"/>
    </xf>
    <xf numFmtId="1" fontId="28" fillId="0" borderId="33" xfId="68" applyNumberFormat="1" applyFont="1" applyBorder="1" applyAlignment="1" applyProtection="1">
      <alignment horizontal="center" vertical="center" wrapText="1"/>
    </xf>
    <xf numFmtId="0" fontId="31" fillId="0" borderId="41" xfId="69" applyFont="1" applyBorder="1" applyAlignment="1" applyProtection="1">
      <alignment horizontal="center" vertical="center"/>
    </xf>
    <xf numFmtId="0" fontId="31" fillId="0" borderId="58" xfId="69" applyFont="1" applyBorder="1" applyAlignment="1" applyProtection="1">
      <alignment horizontal="center" vertical="center"/>
    </xf>
    <xf numFmtId="0" fontId="31" fillId="0" borderId="51" xfId="69" applyFont="1" applyBorder="1" applyAlignment="1" applyProtection="1">
      <alignment horizontal="center" vertical="center"/>
    </xf>
    <xf numFmtId="0" fontId="31" fillId="0" borderId="59" xfId="69" applyFont="1" applyBorder="1" applyAlignment="1" applyProtection="1">
      <alignment horizontal="center" vertical="center"/>
    </xf>
    <xf numFmtId="0" fontId="31" fillId="0" borderId="41" xfId="69" applyFont="1" applyBorder="1" applyAlignment="1" applyProtection="1">
      <alignment horizontal="center" vertical="center" wrapText="1"/>
    </xf>
    <xf numFmtId="0" fontId="31" fillId="0" borderId="58" xfId="69" applyFont="1" applyBorder="1" applyAlignment="1" applyProtection="1">
      <alignment horizontal="center" vertical="center" wrapText="1"/>
    </xf>
    <xf numFmtId="0" fontId="32" fillId="0" borderId="41" xfId="69" applyFont="1" applyBorder="1" applyAlignment="1" applyProtection="1">
      <alignment horizontal="center" vertical="center"/>
    </xf>
    <xf numFmtId="0" fontId="32" fillId="0" borderId="58" xfId="69" applyFont="1" applyBorder="1" applyAlignment="1" applyProtection="1">
      <alignment horizontal="center" vertical="center"/>
    </xf>
    <xf numFmtId="0" fontId="25" fillId="0" borderId="74" xfId="69" applyFont="1" applyFill="1" applyBorder="1" applyAlignment="1" applyProtection="1">
      <alignment horizontal="center" vertical="center"/>
    </xf>
    <xf numFmtId="0" fontId="25" fillId="0" borderId="25" xfId="69" applyFont="1" applyFill="1" applyBorder="1" applyAlignment="1" applyProtection="1">
      <alignment horizontal="center" vertical="center"/>
    </xf>
    <xf numFmtId="0" fontId="25" fillId="0" borderId="26" xfId="69" applyFont="1" applyFill="1" applyBorder="1" applyAlignment="1" applyProtection="1">
      <alignment horizontal="center" vertical="center"/>
    </xf>
    <xf numFmtId="0" fontId="25" fillId="0" borderId="24" xfId="69" applyFont="1" applyBorder="1" applyAlignment="1" applyProtection="1">
      <alignment horizontal="center" vertical="center" wrapText="1"/>
    </xf>
    <xf numFmtId="0" fontId="25" fillId="0" borderId="72" xfId="69" applyFont="1" applyBorder="1" applyAlignment="1" applyProtection="1">
      <alignment horizontal="center" vertical="center" wrapText="1"/>
    </xf>
    <xf numFmtId="0" fontId="25" fillId="0" borderId="52" xfId="69" applyFont="1" applyBorder="1" applyAlignment="1" applyProtection="1">
      <alignment horizontal="center" vertical="center" wrapText="1"/>
    </xf>
    <xf numFmtId="0" fontId="25" fillId="0" borderId="53" xfId="69" applyFont="1" applyBorder="1" applyAlignment="1" applyProtection="1">
      <alignment horizontal="center" vertical="center" wrapText="1"/>
    </xf>
    <xf numFmtId="0" fontId="25" fillId="0" borderId="79" xfId="69" applyFont="1" applyBorder="1" applyAlignment="1" applyProtection="1">
      <alignment horizontal="center" vertical="center" wrapText="1"/>
    </xf>
    <xf numFmtId="0" fontId="25" fillId="0" borderId="52" xfId="69" applyFont="1" applyBorder="1" applyAlignment="1" applyProtection="1">
      <alignment horizontal="center" vertical="center"/>
    </xf>
    <xf numFmtId="0" fontId="25" fillId="0" borderId="54" xfId="69" applyFont="1" applyBorder="1" applyAlignment="1" applyProtection="1">
      <alignment horizontal="center" vertical="center"/>
    </xf>
    <xf numFmtId="0" fontId="25" fillId="0" borderId="24" xfId="69" applyFont="1" applyBorder="1" applyAlignment="1" applyProtection="1">
      <alignment horizontal="left" vertical="center" wrapText="1"/>
    </xf>
    <xf numFmtId="0" fontId="25" fillId="0" borderId="72" xfId="69" applyFont="1" applyBorder="1" applyAlignment="1" applyProtection="1">
      <alignment horizontal="left" vertical="center" wrapText="1"/>
    </xf>
    <xf numFmtId="0" fontId="25" fillId="0" borderId="24" xfId="72" applyFont="1" applyFill="1" applyBorder="1" applyAlignment="1" applyProtection="1">
      <alignment horizontal="left" vertical="center" wrapText="1"/>
    </xf>
    <xf numFmtId="0" fontId="25" fillId="0" borderId="72" xfId="72" applyFont="1" applyFill="1" applyBorder="1" applyAlignment="1" applyProtection="1">
      <alignment horizontal="left" vertical="center" wrapText="1"/>
    </xf>
    <xf numFmtId="0" fontId="25" fillId="0" borderId="74" xfId="69" applyFont="1" applyBorder="1" applyAlignment="1" applyProtection="1">
      <alignment horizontal="center" vertical="center"/>
    </xf>
    <xf numFmtId="0" fontId="25" fillId="0" borderId="25" xfId="69" applyFont="1" applyBorder="1" applyAlignment="1" applyProtection="1">
      <alignment horizontal="center" vertical="center"/>
    </xf>
    <xf numFmtId="0" fontId="25" fillId="0" borderId="26" xfId="69" applyFont="1" applyBorder="1" applyAlignment="1" applyProtection="1">
      <alignment horizontal="center" vertical="center"/>
    </xf>
    <xf numFmtId="0" fontId="25" fillId="0" borderId="53" xfId="69" applyFont="1" applyBorder="1" applyAlignment="1" applyProtection="1">
      <alignment horizontal="center" vertical="center"/>
    </xf>
    <xf numFmtId="0" fontId="2" fillId="0" borderId="66" xfId="73" applyFont="1" applyBorder="1" applyAlignment="1" applyProtection="1">
      <alignment horizontal="left" vertical="center"/>
    </xf>
    <xf numFmtId="0" fontId="2" fillId="0" borderId="67" xfId="73" applyFont="1" applyBorder="1" applyAlignment="1" applyProtection="1">
      <alignment horizontal="left" vertical="center"/>
    </xf>
    <xf numFmtId="0" fontId="2" fillId="0" borderId="76" xfId="73" applyFont="1" applyBorder="1" applyAlignment="1" applyProtection="1">
      <alignment horizontal="left" vertical="center"/>
    </xf>
    <xf numFmtId="0" fontId="2" fillId="0" borderId="77" xfId="73" applyFont="1" applyBorder="1" applyAlignment="1" applyProtection="1">
      <alignment horizontal="left" vertical="center"/>
    </xf>
    <xf numFmtId="0" fontId="25" fillId="0" borderId="24" xfId="69" applyFont="1" applyBorder="1" applyAlignment="1" applyProtection="1">
      <alignment horizontal="left" vertical="center"/>
    </xf>
    <xf numFmtId="0" fontId="25" fillId="0" borderId="29" xfId="69" applyFont="1" applyBorder="1" applyAlignment="1" applyProtection="1">
      <alignment horizontal="left" vertical="center"/>
    </xf>
    <xf numFmtId="0" fontId="25" fillId="0" borderId="72" xfId="69" applyFont="1" applyBorder="1" applyAlignment="1" applyProtection="1">
      <alignment horizontal="left" vertical="center"/>
    </xf>
    <xf numFmtId="0" fontId="2" fillId="0" borderId="21" xfId="73" applyFont="1" applyBorder="1" applyAlignment="1" applyProtection="1">
      <alignment horizontal="center" vertical="center"/>
    </xf>
    <xf numFmtId="0" fontId="2" fillId="0" borderId="23" xfId="73" applyFont="1" applyBorder="1" applyAlignment="1" applyProtection="1">
      <alignment horizontal="center" vertical="center"/>
    </xf>
    <xf numFmtId="0" fontId="2" fillId="0" borderId="64" xfId="73" applyFont="1" applyBorder="1" applyAlignment="1" applyProtection="1">
      <alignment horizontal="center" vertical="center"/>
    </xf>
    <xf numFmtId="0" fontId="2" fillId="0" borderId="65" xfId="73" applyFont="1" applyBorder="1" applyAlignment="1" applyProtection="1">
      <alignment horizontal="center" vertical="center"/>
    </xf>
    <xf numFmtId="0" fontId="2" fillId="0" borderId="27" xfId="73" applyFont="1" applyBorder="1" applyAlignment="1" applyProtection="1">
      <alignment horizontal="left" vertical="center" wrapText="1"/>
    </xf>
    <xf numFmtId="0" fontId="2" fillId="0" borderId="28" xfId="73" applyFont="1" applyBorder="1" applyAlignment="1" applyProtection="1">
      <alignment horizontal="left" vertical="center" wrapText="1"/>
    </xf>
    <xf numFmtId="0" fontId="2" fillId="0" borderId="30" xfId="73" applyFont="1" applyBorder="1" applyAlignment="1" applyProtection="1">
      <alignment horizontal="left" vertical="center" wrapText="1"/>
    </xf>
    <xf numFmtId="0" fontId="2" fillId="0" borderId="32" xfId="73" applyFont="1" applyBorder="1" applyAlignment="1" applyProtection="1">
      <alignment horizontal="left" vertical="center" wrapText="1"/>
    </xf>
    <xf numFmtId="0" fontId="2" fillId="0" borderId="21" xfId="73" applyFont="1" applyBorder="1" applyAlignment="1" applyProtection="1">
      <alignment horizontal="left" vertical="center"/>
    </xf>
    <xf numFmtId="0" fontId="2" fillId="0" borderId="23" xfId="73" applyFont="1" applyBorder="1" applyAlignment="1" applyProtection="1">
      <alignment horizontal="left" vertical="center"/>
    </xf>
    <xf numFmtId="0" fontId="2" fillId="0" borderId="64" xfId="73" applyFont="1" applyBorder="1" applyAlignment="1" applyProtection="1">
      <alignment horizontal="left" vertical="center"/>
    </xf>
    <xf numFmtId="0" fontId="2" fillId="0" borderId="65" xfId="73" applyFont="1" applyBorder="1" applyAlignment="1" applyProtection="1">
      <alignment horizontal="left" vertical="center"/>
    </xf>
    <xf numFmtId="0" fontId="25" fillId="0" borderId="68" xfId="72" applyFont="1" applyFill="1" applyBorder="1" applyAlignment="1" applyProtection="1">
      <alignment horizontal="left" vertical="center"/>
    </xf>
    <xf numFmtId="0" fontId="25" fillId="0" borderId="44" xfId="72" applyFont="1" applyFill="1" applyBorder="1" applyAlignment="1" applyProtection="1">
      <alignment horizontal="left" vertical="center"/>
    </xf>
    <xf numFmtId="0" fontId="25" fillId="0" borderId="58" xfId="72" applyFont="1" applyFill="1" applyBorder="1" applyAlignment="1" applyProtection="1">
      <alignment horizontal="left" vertical="center"/>
    </xf>
    <xf numFmtId="0" fontId="25" fillId="0" borderId="21" xfId="76" applyFont="1" applyFill="1" applyBorder="1" applyAlignment="1" applyProtection="1">
      <alignment horizontal="left" vertical="center"/>
    </xf>
    <xf numFmtId="0" fontId="25" fillId="0" borderId="23" xfId="76" applyFont="1" applyFill="1" applyBorder="1" applyAlignment="1" applyProtection="1">
      <alignment horizontal="left" vertical="center"/>
    </xf>
    <xf numFmtId="0" fontId="25" fillId="0" borderId="27" xfId="76" applyFont="1" applyFill="1" applyBorder="1" applyAlignment="1" applyProtection="1">
      <alignment horizontal="left" vertical="center"/>
    </xf>
    <xf numFmtId="0" fontId="25" fillId="0" borderId="28" xfId="76" applyFont="1" applyFill="1" applyBorder="1" applyAlignment="1" applyProtection="1">
      <alignment horizontal="left" vertical="center"/>
    </xf>
    <xf numFmtId="0" fontId="25" fillId="0" borderId="64" xfId="76" applyFont="1" applyFill="1" applyBorder="1" applyAlignment="1" applyProtection="1">
      <alignment horizontal="left" vertical="center"/>
    </xf>
    <xf numFmtId="0" fontId="25" fillId="0" borderId="65" xfId="76" applyFont="1" applyFill="1" applyBorder="1" applyAlignment="1" applyProtection="1">
      <alignment horizontal="left" vertical="center"/>
    </xf>
    <xf numFmtId="0" fontId="25" fillId="0" borderId="76" xfId="76" applyFont="1" applyBorder="1" applyAlignment="1" applyProtection="1">
      <alignment horizontal="left" vertical="center"/>
    </xf>
    <xf numFmtId="0" fontId="25" fillId="0" borderId="77" xfId="76" applyFont="1" applyBorder="1" applyAlignment="1" applyProtection="1">
      <alignment horizontal="left" vertical="center"/>
    </xf>
    <xf numFmtId="0" fontId="25" fillId="0" borderId="68" xfId="76" applyFont="1" applyBorder="1" applyAlignment="1" applyProtection="1">
      <alignment horizontal="left" vertical="center"/>
    </xf>
    <xf numFmtId="0" fontId="25" fillId="0" borderId="44" xfId="76" applyFont="1" applyBorder="1" applyAlignment="1" applyProtection="1">
      <alignment horizontal="left" vertical="center"/>
    </xf>
    <xf numFmtId="0" fontId="25" fillId="0" borderId="58" xfId="76" applyFont="1" applyBorder="1" applyAlignment="1" applyProtection="1">
      <alignment horizontal="left" vertical="center"/>
    </xf>
    <xf numFmtId="0" fontId="25" fillId="0" borderId="48" xfId="76" applyFont="1" applyBorder="1" applyAlignment="1" applyProtection="1">
      <alignment horizontal="left" vertical="center"/>
    </xf>
    <xf numFmtId="0" fontId="25" fillId="0" borderId="74" xfId="76" applyFont="1" applyBorder="1" applyAlignment="1" applyProtection="1">
      <alignment horizontal="left" vertical="center"/>
    </xf>
    <xf numFmtId="0" fontId="25" fillId="0" borderId="26" xfId="76" applyFont="1" applyBorder="1" applyAlignment="1" applyProtection="1">
      <alignment horizontal="left" vertical="center"/>
    </xf>
    <xf numFmtId="0" fontId="25" fillId="0" borderId="68" xfId="76" applyFont="1" applyBorder="1" applyAlignment="1" applyProtection="1">
      <alignment horizontal="left" vertical="center" wrapText="1"/>
    </xf>
    <xf numFmtId="0" fontId="25" fillId="0" borderId="58" xfId="76" applyFont="1" applyBorder="1" applyAlignment="1" applyProtection="1">
      <alignment horizontal="left" vertical="center" wrapText="1"/>
    </xf>
    <xf numFmtId="0" fontId="25" fillId="0" borderId="52" xfId="79" applyFont="1" applyBorder="1" applyAlignment="1" applyProtection="1">
      <alignment horizontal="center" vertical="center"/>
    </xf>
    <xf numFmtId="0" fontId="25" fillId="0" borderId="53" xfId="79" applyFont="1" applyBorder="1" applyAlignment="1" applyProtection="1">
      <alignment horizontal="center" vertical="center"/>
    </xf>
    <xf numFmtId="0" fontId="25" fillId="0" borderId="54" xfId="79" applyFont="1" applyBorder="1" applyAlignment="1" applyProtection="1">
      <alignment horizontal="center" vertical="center"/>
    </xf>
    <xf numFmtId="0" fontId="2" fillId="0" borderId="84" xfId="79" applyFont="1" applyBorder="1" applyAlignment="1" applyProtection="1">
      <alignment horizontal="center" vertical="center"/>
    </xf>
    <xf numFmtId="0" fontId="2" fillId="0" borderId="72" xfId="79" applyFont="1" applyBorder="1" applyAlignment="1" applyProtection="1">
      <alignment horizontal="center" vertical="center"/>
    </xf>
    <xf numFmtId="0" fontId="25" fillId="0" borderId="68" xfId="79" applyFont="1" applyBorder="1" applyAlignment="1" applyProtection="1">
      <alignment horizontal="center" vertical="center" wrapText="1"/>
    </xf>
    <xf numFmtId="0" fontId="25" fillId="0" borderId="58" xfId="79" applyFont="1" applyBorder="1" applyAlignment="1" applyProtection="1">
      <alignment horizontal="center" vertical="center"/>
    </xf>
    <xf numFmtId="0" fontId="25" fillId="0" borderId="44" xfId="79" applyFont="1" applyBorder="1" applyAlignment="1" applyProtection="1">
      <alignment horizontal="center" vertical="center" wrapText="1"/>
    </xf>
    <xf numFmtId="0" fontId="25" fillId="0" borderId="17" xfId="79" applyFont="1" applyBorder="1" applyAlignment="1" applyProtection="1">
      <alignment horizontal="center" vertical="center" wrapText="1"/>
    </xf>
    <xf numFmtId="0" fontId="25" fillId="0" borderId="20" xfId="79" applyFont="1" applyBorder="1" applyAlignment="1" applyProtection="1">
      <alignment horizontal="center" vertical="center"/>
    </xf>
    <xf numFmtId="0" fontId="25" fillId="0" borderId="18" xfId="79" applyFont="1" applyBorder="1" applyAlignment="1" applyProtection="1">
      <alignment horizontal="center" vertical="center"/>
    </xf>
    <xf numFmtId="0" fontId="25" fillId="0" borderId="19" xfId="79" applyFont="1" applyBorder="1" applyAlignment="1" applyProtection="1">
      <alignment horizontal="center" vertical="center"/>
    </xf>
    <xf numFmtId="0" fontId="25" fillId="0" borderId="65" xfId="79" applyFont="1" applyBorder="1" applyAlignment="1" applyProtection="1">
      <alignment horizontal="center" vertical="center"/>
    </xf>
    <xf numFmtId="0" fontId="25" fillId="0" borderId="68" xfId="79" applyFont="1" applyBorder="1" applyAlignment="1" applyProtection="1">
      <alignment vertical="center" wrapText="1"/>
    </xf>
    <xf numFmtId="0" fontId="25" fillId="0" borderId="58" xfId="79" applyFont="1" applyBorder="1" applyAlignment="1" applyProtection="1">
      <alignment vertical="center"/>
    </xf>
    <xf numFmtId="0" fontId="25" fillId="0" borderId="44" xfId="79" applyFont="1" applyBorder="1" applyAlignment="1" applyProtection="1">
      <alignment vertical="center" wrapText="1"/>
    </xf>
    <xf numFmtId="0" fontId="25" fillId="0" borderId="10" xfId="79" applyFont="1" applyBorder="1" applyAlignment="1" applyProtection="1">
      <alignment horizontal="center" vertical="center"/>
    </xf>
    <xf numFmtId="0" fontId="25" fillId="0" borderId="11" xfId="79" applyFont="1" applyBorder="1" applyAlignment="1" applyProtection="1">
      <alignment horizontal="center" vertical="center"/>
    </xf>
    <xf numFmtId="0" fontId="25" fillId="0" borderId="40" xfId="79" applyFont="1" applyBorder="1" applyAlignment="1" applyProtection="1">
      <alignment horizontal="center" vertical="center"/>
    </xf>
    <xf numFmtId="0" fontId="25" fillId="0" borderId="15" xfId="79" applyFont="1" applyBorder="1" applyAlignment="1" applyProtection="1">
      <alignment horizontal="center" vertical="center" wrapText="1"/>
    </xf>
    <xf numFmtId="0" fontId="25" fillId="0" borderId="58" xfId="79" applyFont="1" applyBorder="1" applyAlignment="1" applyProtection="1">
      <alignment horizontal="center" vertical="center" wrapText="1"/>
    </xf>
    <xf numFmtId="0" fontId="2" fillId="0" borderId="21" xfId="79" applyFont="1" applyBorder="1" applyAlignment="1" applyProtection="1">
      <alignment horizontal="center" vertical="center"/>
    </xf>
    <xf numFmtId="0" fontId="2" fillId="0" borderId="23" xfId="79" applyFont="1" applyBorder="1" applyAlignment="1" applyProtection="1">
      <alignment horizontal="center" vertical="center"/>
    </xf>
    <xf numFmtId="0" fontId="2" fillId="0" borderId="64" xfId="79" applyFont="1" applyBorder="1" applyAlignment="1" applyProtection="1">
      <alignment horizontal="center" vertical="center"/>
    </xf>
    <xf numFmtId="0" fontId="2" fillId="0" borderId="65" xfId="79" applyFont="1" applyBorder="1" applyAlignment="1" applyProtection="1">
      <alignment horizontal="center" vertical="center"/>
    </xf>
    <xf numFmtId="1" fontId="25" fillId="0" borderId="21" xfId="68" applyNumberFormat="1" applyFont="1" applyBorder="1" applyAlignment="1" applyProtection="1">
      <alignment horizontal="center" vertical="center" wrapText="1"/>
    </xf>
    <xf numFmtId="1" fontId="25" fillId="0" borderId="22" xfId="68" applyNumberFormat="1" applyFont="1" applyBorder="1" applyAlignment="1" applyProtection="1">
      <alignment horizontal="center" vertical="center" wrapText="1"/>
    </xf>
    <xf numFmtId="1" fontId="25" fillId="0" borderId="86" xfId="68" applyNumberFormat="1" applyFont="1" applyBorder="1" applyAlignment="1" applyProtection="1">
      <alignment horizontal="center" vertical="center" wrapText="1"/>
    </xf>
    <xf numFmtId="1" fontId="25" fillId="0" borderId="27" xfId="68" applyNumberFormat="1" applyFont="1" applyBorder="1" applyAlignment="1" applyProtection="1">
      <alignment horizontal="center" vertical="center" wrapText="1"/>
    </xf>
    <xf numFmtId="1" fontId="25" fillId="0" borderId="0" xfId="68" applyNumberFormat="1" applyFont="1" applyBorder="1" applyAlignment="1" applyProtection="1">
      <alignment horizontal="center" vertical="center" wrapText="1"/>
    </xf>
    <xf numFmtId="1" fontId="25" fillId="0" borderId="17" xfId="68" applyNumberFormat="1" applyFont="1" applyBorder="1" applyAlignment="1" applyProtection="1">
      <alignment horizontal="center" vertical="center" wrapText="1"/>
    </xf>
    <xf numFmtId="1" fontId="25" fillId="0" borderId="30" xfId="68" applyNumberFormat="1" applyFont="1" applyBorder="1" applyAlignment="1" applyProtection="1">
      <alignment horizontal="center" vertical="center" wrapText="1"/>
    </xf>
    <xf numFmtId="1" fontId="25" fillId="0" borderId="31" xfId="68" applyNumberFormat="1" applyFont="1" applyBorder="1" applyAlignment="1" applyProtection="1">
      <alignment horizontal="center" vertical="center" wrapText="1"/>
    </xf>
    <xf numFmtId="1" fontId="25" fillId="0" borderId="87" xfId="68" applyNumberFormat="1" applyFont="1" applyBorder="1" applyAlignment="1" applyProtection="1">
      <alignment horizontal="center" vertical="center" wrapText="1"/>
    </xf>
    <xf numFmtId="1" fontId="25" fillId="0" borderId="51" xfId="68" applyNumberFormat="1" applyFont="1" applyBorder="1" applyAlignment="1" applyProtection="1">
      <alignment horizontal="center" vertical="center" wrapText="1"/>
    </xf>
    <xf numFmtId="1" fontId="25" fillId="0" borderId="62" xfId="68" applyNumberFormat="1" applyFont="1" applyBorder="1" applyAlignment="1" applyProtection="1">
      <alignment horizontal="center" vertical="center" wrapText="1"/>
    </xf>
    <xf numFmtId="1" fontId="25" fillId="0" borderId="63" xfId="68" applyNumberFormat="1" applyFont="1" applyBorder="1" applyAlignment="1" applyProtection="1">
      <alignment horizontal="center" vertical="center" wrapText="1"/>
    </xf>
    <xf numFmtId="1" fontId="25" fillId="0" borderId="52" xfId="68" applyNumberFormat="1" applyFont="1" applyBorder="1" applyAlignment="1" applyProtection="1">
      <alignment horizontal="center" vertical="center" wrapText="1"/>
    </xf>
    <xf numFmtId="1" fontId="25" fillId="0" borderId="54" xfId="68" applyNumberFormat="1" applyFont="1" applyBorder="1" applyAlignment="1" applyProtection="1">
      <alignment horizontal="center" vertical="center" wrapText="1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20" fillId="0" borderId="12" xfId="0" quotePrefix="1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12" xfId="0" quotePrefix="1" applyFont="1" applyBorder="1" applyAlignment="1">
      <alignment horizontal="center"/>
    </xf>
    <xf numFmtId="0" fontId="29" fillId="0" borderId="0" xfId="0" applyFont="1" applyBorder="1" applyAlignment="1" applyProtection="1">
      <alignment horizontal="left" vertical="center" wrapText="1"/>
    </xf>
    <xf numFmtId="0" fontId="29" fillId="0" borderId="69" xfId="83" applyFont="1" applyBorder="1" applyAlignment="1">
      <alignment horizontal="center" textRotation="90" wrapText="1"/>
    </xf>
    <xf numFmtId="0" fontId="29" fillId="0" borderId="62" xfId="83" applyFont="1" applyBorder="1" applyAlignment="1">
      <alignment horizontal="center" textRotation="90" wrapText="1"/>
    </xf>
    <xf numFmtId="0" fontId="29" fillId="0" borderId="59" xfId="83" applyFont="1" applyBorder="1" applyAlignment="1">
      <alignment horizontal="center" textRotation="90" wrapText="1"/>
    </xf>
    <xf numFmtId="0" fontId="28" fillId="0" borderId="24" xfId="83" applyFont="1" applyBorder="1" applyAlignment="1">
      <alignment horizontal="center" vertical="center" textRotation="90" wrapText="1"/>
    </xf>
    <xf numFmtId="0" fontId="28" fillId="0" borderId="29" xfId="83" applyFont="1" applyBorder="1" applyAlignment="1">
      <alignment horizontal="center" vertical="center" textRotation="90" wrapText="1"/>
    </xf>
    <xf numFmtId="0" fontId="28" fillId="0" borderId="72" xfId="83" applyFont="1" applyBorder="1" applyAlignment="1">
      <alignment horizontal="center" vertical="center" textRotation="90" wrapText="1"/>
    </xf>
    <xf numFmtId="0" fontId="29" fillId="11" borderId="10" xfId="83" applyFont="1" applyFill="1" applyBorder="1" applyAlignment="1">
      <alignment horizontal="center"/>
    </xf>
    <xf numFmtId="0" fontId="29" fillId="11" borderId="11" xfId="83" applyFont="1" applyFill="1" applyBorder="1" applyAlignment="1">
      <alignment horizontal="center"/>
    </xf>
    <xf numFmtId="0" fontId="29" fillId="11" borderId="12" xfId="83" applyFont="1" applyFill="1" applyBorder="1" applyAlignment="1">
      <alignment horizontal="center"/>
    </xf>
    <xf numFmtId="0" fontId="29" fillId="23" borderId="10" xfId="83" applyFont="1" applyFill="1" applyBorder="1" applyAlignment="1">
      <alignment horizontal="center"/>
    </xf>
    <xf numFmtId="0" fontId="29" fillId="23" borderId="11" xfId="83" applyFont="1" applyFill="1" applyBorder="1" applyAlignment="1">
      <alignment horizontal="center"/>
    </xf>
    <xf numFmtId="0" fontId="29" fillId="23" borderId="12" xfId="83" applyFont="1" applyFill="1" applyBorder="1" applyAlignment="1">
      <alignment horizontal="center"/>
    </xf>
    <xf numFmtId="0" fontId="29" fillId="0" borderId="70" xfId="83" applyFont="1" applyBorder="1" applyAlignment="1">
      <alignment horizontal="center" textRotation="90" wrapText="1"/>
    </xf>
    <xf numFmtId="0" fontId="29" fillId="0" borderId="45" xfId="83" applyFont="1" applyBorder="1" applyAlignment="1">
      <alignment horizontal="center" textRotation="90" wrapText="1"/>
    </xf>
    <xf numFmtId="0" fontId="29" fillId="0" borderId="60" xfId="83" applyFont="1" applyBorder="1" applyAlignment="1">
      <alignment horizontal="center" textRotation="90" wrapText="1"/>
    </xf>
    <xf numFmtId="0" fontId="29" fillId="0" borderId="10" xfId="83" applyFont="1" applyBorder="1" applyAlignment="1">
      <alignment horizontal="center"/>
    </xf>
    <xf numFmtId="0" fontId="29" fillId="0" borderId="11" xfId="83" applyFont="1" applyBorder="1" applyAlignment="1">
      <alignment horizontal="center"/>
    </xf>
    <xf numFmtId="0" fontId="29" fillId="0" borderId="12" xfId="83" applyFont="1" applyBorder="1" applyAlignment="1">
      <alignment horizontal="center"/>
    </xf>
    <xf numFmtId="0" fontId="27" fillId="0" borderId="74" xfId="0" applyFont="1" applyBorder="1" applyAlignment="1" applyProtection="1">
      <alignment horizontal="left" vertical="center" wrapText="1" indent="1"/>
    </xf>
    <xf numFmtId="0" fontId="27" fillId="0" borderId="25" xfId="0" applyFont="1" applyBorder="1" applyAlignment="1" applyProtection="1">
      <alignment horizontal="left" vertical="center" wrapText="1" indent="1"/>
    </xf>
    <xf numFmtId="0" fontId="27" fillId="0" borderId="26" xfId="0" applyFont="1" applyBorder="1" applyAlignment="1" applyProtection="1">
      <alignment horizontal="left" vertical="center" wrapText="1" indent="1"/>
    </xf>
    <xf numFmtId="0" fontId="47" fillId="0" borderId="24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47" fillId="0" borderId="74" xfId="0" applyFont="1" applyBorder="1" applyAlignment="1" applyProtection="1">
      <alignment horizontal="left" vertical="center" wrapText="1"/>
    </xf>
    <xf numFmtId="0" fontId="47" fillId="0" borderId="25" xfId="0" applyFont="1" applyBorder="1" applyAlignment="1" applyProtection="1">
      <alignment horizontal="left" vertical="center" wrapText="1"/>
    </xf>
    <xf numFmtId="0" fontId="47" fillId="0" borderId="26" xfId="0" applyFont="1" applyBorder="1" applyAlignment="1" applyProtection="1">
      <alignment horizontal="left" vertical="center" wrapText="1"/>
    </xf>
    <xf numFmtId="0" fontId="47" fillId="0" borderId="74" xfId="0" applyFont="1" applyBorder="1" applyAlignment="1">
      <alignment horizontal="left" vertical="center"/>
    </xf>
    <xf numFmtId="0" fontId="47" fillId="0" borderId="25" xfId="0" applyFont="1" applyBorder="1" applyAlignment="1">
      <alignment horizontal="left" vertical="center"/>
    </xf>
    <xf numFmtId="0" fontId="47" fillId="0" borderId="26" xfId="0" applyFont="1" applyBorder="1" applyAlignment="1">
      <alignment horizontal="left" vertical="center"/>
    </xf>
    <xf numFmtId="0" fontId="56" fillId="0" borderId="21" xfId="0" applyFont="1" applyFill="1" applyBorder="1" applyAlignment="1" applyProtection="1">
      <alignment horizontal="center" vertical="center"/>
    </xf>
    <xf numFmtId="0" fontId="56" fillId="0" borderId="22" xfId="0" applyFont="1" applyFill="1" applyBorder="1" applyAlignment="1" applyProtection="1">
      <alignment horizontal="center" vertical="center"/>
    </xf>
    <xf numFmtId="0" fontId="56" fillId="0" borderId="23" xfId="0" applyFont="1" applyFill="1" applyBorder="1" applyAlignment="1" applyProtection="1">
      <alignment horizontal="center" vertical="center"/>
    </xf>
    <xf numFmtId="0" fontId="56" fillId="0" borderId="30" xfId="0" applyFont="1" applyFill="1" applyBorder="1" applyAlignment="1" applyProtection="1">
      <alignment horizontal="center" vertical="center"/>
    </xf>
    <xf numFmtId="0" fontId="56" fillId="0" borderId="31" xfId="0" applyFont="1" applyFill="1" applyBorder="1" applyAlignment="1" applyProtection="1">
      <alignment horizontal="center" vertical="center"/>
    </xf>
    <xf numFmtId="0" fontId="56" fillId="0" borderId="32" xfId="0" applyFont="1" applyFill="1" applyBorder="1" applyAlignment="1" applyProtection="1">
      <alignment horizontal="center" vertical="center"/>
    </xf>
    <xf numFmtId="0" fontId="27" fillId="0" borderId="52" xfId="0" applyFont="1" applyBorder="1" applyAlignment="1" applyProtection="1">
      <alignment horizontal="left" vertical="center"/>
    </xf>
    <xf numFmtId="0" fontId="27" fillId="0" borderId="53" xfId="0" applyFont="1" applyBorder="1" applyAlignment="1" applyProtection="1">
      <alignment horizontal="left" vertical="center"/>
    </xf>
    <xf numFmtId="0" fontId="27" fillId="0" borderId="54" xfId="0" applyFont="1" applyBorder="1" applyAlignment="1" applyProtection="1">
      <alignment horizontal="left" vertical="center"/>
    </xf>
    <xf numFmtId="0" fontId="27" fillId="0" borderId="76" xfId="0" applyFont="1" applyBorder="1" applyAlignment="1" applyProtection="1">
      <alignment horizontal="left" vertical="center"/>
    </xf>
    <xf numFmtId="0" fontId="27" fillId="0" borderId="78" xfId="0" applyFont="1" applyBorder="1" applyAlignment="1" applyProtection="1">
      <alignment horizontal="left" vertical="center"/>
    </xf>
    <xf numFmtId="0" fontId="27" fillId="0" borderId="77" xfId="0" applyFont="1" applyBorder="1" applyAlignment="1" applyProtection="1">
      <alignment horizontal="left" vertical="center"/>
    </xf>
    <xf numFmtId="0" fontId="56" fillId="0" borderId="74" xfId="0" applyFont="1" applyBorder="1" applyAlignment="1">
      <alignment horizontal="left" vertical="center"/>
    </xf>
    <xf numFmtId="0" fontId="56" fillId="0" borderId="25" xfId="0" applyFont="1" applyBorder="1" applyAlignment="1">
      <alignment horizontal="left" vertical="center"/>
    </xf>
    <xf numFmtId="0" fontId="56" fillId="0" borderId="26" xfId="0" applyFont="1" applyBorder="1" applyAlignment="1">
      <alignment horizontal="left" vertical="center"/>
    </xf>
    <xf numFmtId="0" fontId="36" fillId="0" borderId="21" xfId="0" applyFont="1" applyBorder="1" applyAlignment="1" applyProtection="1">
      <alignment horizontal="left" vertical="center"/>
    </xf>
    <xf numFmtId="0" fontId="36" fillId="0" borderId="22" xfId="0" applyFont="1" applyBorder="1" applyAlignment="1" applyProtection="1">
      <alignment horizontal="left" vertical="center"/>
    </xf>
    <xf numFmtId="0" fontId="36" fillId="0" borderId="23" xfId="0" applyFont="1" applyBorder="1" applyAlignment="1" applyProtection="1">
      <alignment horizontal="left" vertical="center"/>
    </xf>
    <xf numFmtId="0" fontId="36" fillId="0" borderId="30" xfId="0" applyFont="1" applyBorder="1" applyAlignment="1" applyProtection="1">
      <alignment horizontal="left" vertical="center"/>
    </xf>
    <xf numFmtId="0" fontId="36" fillId="0" borderId="31" xfId="0" applyFont="1" applyBorder="1" applyAlignment="1" applyProtection="1">
      <alignment horizontal="left" vertical="center"/>
    </xf>
    <xf numFmtId="0" fontId="36" fillId="0" borderId="32" xfId="0" applyFont="1" applyBorder="1" applyAlignment="1" applyProtection="1">
      <alignment horizontal="left" vertical="center"/>
    </xf>
    <xf numFmtId="0" fontId="56" fillId="0" borderId="68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56" fillId="0" borderId="48" xfId="0" applyFont="1" applyBorder="1" applyAlignment="1">
      <alignment horizontal="center" vertical="center"/>
    </xf>
    <xf numFmtId="0" fontId="27" fillId="0" borderId="88" xfId="0" applyFont="1" applyFill="1" applyBorder="1" applyAlignment="1" applyProtection="1">
      <alignment horizontal="left" vertical="center"/>
    </xf>
    <xf numFmtId="0" fontId="27" fillId="0" borderId="54" xfId="0" applyFont="1" applyFill="1" applyBorder="1" applyAlignment="1" applyProtection="1">
      <alignment horizontal="left" vertical="center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40" xfId="0" applyFont="1" applyFill="1" applyBorder="1" applyAlignment="1" applyProtection="1">
      <alignment horizontal="left" vertical="center" wrapText="1"/>
    </xf>
    <xf numFmtId="0" fontId="27" fillId="0" borderId="37" xfId="0" applyFont="1" applyFill="1" applyBorder="1" applyAlignment="1" applyProtection="1">
      <alignment horizontal="left" vertical="center"/>
    </xf>
    <xf numFmtId="0" fontId="27" fillId="0" borderId="77" xfId="0" applyFont="1" applyFill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/>
    </xf>
    <xf numFmtId="175" fontId="27" fillId="25" borderId="84" xfId="0" applyNumberFormat="1" applyFont="1" applyFill="1" applyBorder="1" applyAlignment="1">
      <alignment horizontal="right" vertical="center"/>
    </xf>
    <xf numFmtId="175" fontId="27" fillId="25" borderId="29" xfId="0" applyNumberFormat="1" applyFont="1" applyFill="1" applyBorder="1" applyAlignment="1">
      <alignment horizontal="right" vertical="center"/>
    </xf>
    <xf numFmtId="175" fontId="27" fillId="25" borderId="72" xfId="0" applyNumberFormat="1" applyFont="1" applyFill="1" applyBorder="1" applyAlignment="1">
      <alignment horizontal="right" vertical="center"/>
    </xf>
    <xf numFmtId="0" fontId="27" fillId="0" borderId="10" xfId="0" applyFont="1" applyFill="1" applyBorder="1" applyAlignment="1" applyProtection="1">
      <alignment horizontal="left" vertical="center"/>
    </xf>
    <xf numFmtId="0" fontId="27" fillId="0" borderId="40" xfId="0" applyFont="1" applyFill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175" fontId="48" fillId="19" borderId="24" xfId="0" applyNumberFormat="1" applyFont="1" applyFill="1" applyBorder="1" applyAlignment="1" applyProtection="1">
      <alignment horizontal="right" vertical="center"/>
      <protection locked="0"/>
    </xf>
    <xf numFmtId="175" fontId="48" fillId="19" borderId="72" xfId="0" applyNumberFormat="1" applyFont="1" applyFill="1" applyBorder="1" applyAlignment="1" applyProtection="1">
      <alignment horizontal="right" vertical="center"/>
      <protection locked="0"/>
    </xf>
    <xf numFmtId="175" fontId="27" fillId="25" borderId="24" xfId="0" applyNumberFormat="1" applyFont="1" applyFill="1" applyBorder="1" applyAlignment="1">
      <alignment horizontal="right" vertical="center"/>
    </xf>
    <xf numFmtId="0" fontId="56" fillId="0" borderId="68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175" fontId="48" fillId="19" borderId="84" xfId="0" applyNumberFormat="1" applyFont="1" applyFill="1" applyBorder="1" applyAlignment="1" applyProtection="1">
      <alignment horizontal="right" vertical="center"/>
      <protection locked="0"/>
    </xf>
    <xf numFmtId="175" fontId="48" fillId="19" borderId="29" xfId="0" applyNumberFormat="1" applyFont="1" applyFill="1" applyBorder="1" applyAlignment="1" applyProtection="1">
      <alignment horizontal="right" vertical="center"/>
      <protection locked="0"/>
    </xf>
    <xf numFmtId="0" fontId="56" fillId="0" borderId="21" xfId="0" applyFont="1" applyBorder="1" applyAlignment="1">
      <alignment horizontal="left" vertical="center" indent="1"/>
    </xf>
    <xf numFmtId="0" fontId="56" fillId="0" borderId="22" xfId="0" applyFont="1" applyBorder="1" applyAlignment="1">
      <alignment horizontal="left" vertical="center" indent="1"/>
    </xf>
    <xf numFmtId="0" fontId="56" fillId="0" borderId="23" xfId="0" applyFont="1" applyBorder="1" applyAlignment="1">
      <alignment horizontal="left" vertical="center" indent="1"/>
    </xf>
    <xf numFmtId="0" fontId="56" fillId="0" borderId="30" xfId="0" applyFont="1" applyBorder="1" applyAlignment="1">
      <alignment horizontal="left" vertical="center" indent="1"/>
    </xf>
    <xf numFmtId="0" fontId="56" fillId="0" borderId="31" xfId="0" applyFont="1" applyBorder="1" applyAlignment="1">
      <alignment horizontal="left" vertical="center" indent="1"/>
    </xf>
    <xf numFmtId="0" fontId="56" fillId="0" borderId="32" xfId="0" applyFont="1" applyBorder="1" applyAlignment="1">
      <alignment horizontal="left" vertical="center" indent="1"/>
    </xf>
    <xf numFmtId="0" fontId="47" fillId="24" borderId="74" xfId="0" applyFont="1" applyFill="1" applyBorder="1" applyAlignment="1" applyProtection="1">
      <alignment horizontal="center" vertical="center"/>
    </xf>
    <xf numFmtId="0" fontId="47" fillId="24" borderId="25" xfId="0" applyFont="1" applyFill="1" applyBorder="1" applyAlignment="1" applyProtection="1">
      <alignment horizontal="center" vertical="center"/>
    </xf>
    <xf numFmtId="0" fontId="47" fillId="24" borderId="26" xfId="0" applyFont="1" applyFill="1" applyBorder="1" applyAlignment="1" applyProtection="1">
      <alignment horizontal="center" vertical="center"/>
    </xf>
    <xf numFmtId="0" fontId="28" fillId="23" borderId="74" xfId="0" applyFont="1" applyFill="1" applyBorder="1" applyAlignment="1" applyProtection="1">
      <alignment horizontal="center" vertical="center"/>
    </xf>
    <xf numFmtId="0" fontId="28" fillId="23" borderId="25" xfId="0" applyFont="1" applyFill="1" applyBorder="1" applyAlignment="1" applyProtection="1">
      <alignment horizontal="center" vertical="center"/>
    </xf>
    <xf numFmtId="0" fontId="28" fillId="23" borderId="26" xfId="0" applyFont="1" applyFill="1" applyBorder="1" applyAlignment="1" applyProtection="1">
      <alignment horizontal="center" vertical="center"/>
    </xf>
    <xf numFmtId="0" fontId="28" fillId="11" borderId="74" xfId="0" applyFont="1" applyFill="1" applyBorder="1" applyAlignment="1" applyProtection="1">
      <alignment horizontal="center" vertical="center"/>
    </xf>
    <xf numFmtId="0" fontId="28" fillId="11" borderId="25" xfId="0" applyFont="1" applyFill="1" applyBorder="1" applyAlignment="1" applyProtection="1">
      <alignment horizontal="center" vertical="center"/>
    </xf>
    <xf numFmtId="0" fontId="28" fillId="11" borderId="26" xfId="0" applyFont="1" applyFill="1" applyBorder="1" applyAlignment="1" applyProtection="1">
      <alignment horizontal="center" vertical="center"/>
    </xf>
    <xf numFmtId="0" fontId="47" fillId="0" borderId="21" xfId="0" applyFont="1" applyBorder="1" applyAlignment="1" applyProtection="1">
      <alignment horizontal="center" vertical="center" wrapText="1"/>
    </xf>
    <xf numFmtId="0" fontId="47" fillId="0" borderId="22" xfId="0" applyFont="1" applyBorder="1" applyAlignment="1" applyProtection="1">
      <alignment horizontal="center" vertical="center" wrapText="1"/>
    </xf>
    <xf numFmtId="0" fontId="47" fillId="0" borderId="23" xfId="0" applyFont="1" applyBorder="1" applyAlignment="1" applyProtection="1">
      <alignment horizontal="center" vertical="center" wrapText="1"/>
    </xf>
    <xf numFmtId="0" fontId="47" fillId="0" borderId="30" xfId="0" applyFont="1" applyBorder="1" applyAlignment="1" applyProtection="1">
      <alignment horizontal="center" vertical="center" wrapText="1"/>
    </xf>
    <xf numFmtId="0" fontId="47" fillId="0" borderId="31" xfId="0" applyFont="1" applyBorder="1" applyAlignment="1" applyProtection="1">
      <alignment horizontal="center" vertical="center" wrapText="1"/>
    </xf>
    <xf numFmtId="0" fontId="47" fillId="0" borderId="32" xfId="0" applyFont="1" applyBorder="1" applyAlignment="1" applyProtection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27" fillId="0" borderId="71" xfId="0" applyFont="1" applyBorder="1" applyAlignment="1" applyProtection="1">
      <alignment horizontal="left" indent="1"/>
    </xf>
    <xf numFmtId="0" fontId="0" fillId="0" borderId="40" xfId="0" applyBorder="1" applyAlignment="1">
      <alignment horizontal="left" indent="1"/>
    </xf>
    <xf numFmtId="0" fontId="27" fillId="0" borderId="76" xfId="0" applyFont="1" applyBorder="1" applyAlignment="1" applyProtection="1">
      <alignment horizontal="left" indent="1"/>
    </xf>
    <xf numFmtId="0" fontId="0" fillId="0" borderId="77" xfId="0" applyBorder="1" applyAlignment="1">
      <alignment horizontal="left" indent="1"/>
    </xf>
    <xf numFmtId="0" fontId="47" fillId="0" borderId="74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32" fillId="0" borderId="40" xfId="0" applyFont="1" applyBorder="1" applyAlignment="1">
      <alignment horizontal="left" indent="1"/>
    </xf>
    <xf numFmtId="0" fontId="32" fillId="0" borderId="77" xfId="0" applyFont="1" applyBorder="1" applyAlignment="1">
      <alignment horizontal="left" indent="1"/>
    </xf>
    <xf numFmtId="0" fontId="47" fillId="0" borderId="74" xfId="0" applyFont="1" applyBorder="1" applyAlignment="1" applyProtection="1">
      <alignment horizontal="left"/>
    </xf>
    <xf numFmtId="0" fontId="32" fillId="0" borderId="26" xfId="0" applyFont="1" applyBorder="1" applyAlignment="1">
      <alignment horizontal="left"/>
    </xf>
    <xf numFmtId="0" fontId="27" fillId="0" borderId="74" xfId="0" applyFont="1" applyBorder="1" applyAlignment="1">
      <alignment horizontal="left" indent="1"/>
    </xf>
    <xf numFmtId="0" fontId="32" fillId="0" borderId="26" xfId="0" applyFont="1" applyBorder="1" applyAlignment="1">
      <alignment horizontal="left" indent="1"/>
    </xf>
    <xf numFmtId="0" fontId="56" fillId="0" borderId="21" xfId="0" applyFont="1" applyFill="1" applyBorder="1" applyAlignment="1">
      <alignment horizontal="left" vertical="center"/>
    </xf>
    <xf numFmtId="0" fontId="56" fillId="0" borderId="23" xfId="0" applyFont="1" applyFill="1" applyBorder="1" applyAlignment="1">
      <alignment horizontal="left" vertical="center"/>
    </xf>
    <xf numFmtId="0" fontId="56" fillId="0" borderId="30" xfId="0" applyFont="1" applyFill="1" applyBorder="1" applyAlignment="1">
      <alignment horizontal="left" vertical="center"/>
    </xf>
    <xf numFmtId="0" fontId="56" fillId="0" borderId="32" xfId="0" applyFont="1" applyFill="1" applyBorder="1" applyAlignment="1">
      <alignment horizontal="left" vertical="center"/>
    </xf>
    <xf numFmtId="0" fontId="27" fillId="0" borderId="52" xfId="0" applyFont="1" applyBorder="1" applyAlignment="1" applyProtection="1">
      <alignment horizontal="left" indent="1"/>
    </xf>
    <xf numFmtId="0" fontId="0" fillId="0" borderId="54" xfId="0" applyBorder="1" applyAlignment="1">
      <alignment horizontal="left" indent="1"/>
    </xf>
    <xf numFmtId="0" fontId="47" fillId="0" borderId="41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0" borderId="26" xfId="0" applyFont="1" applyBorder="1" applyAlignment="1">
      <alignment horizontal="left"/>
    </xf>
    <xf numFmtId="0" fontId="39" fillId="0" borderId="74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27" fillId="0" borderId="54" xfId="0" applyFont="1" applyBorder="1" applyAlignment="1" applyProtection="1">
      <alignment horizontal="left" indent="1"/>
    </xf>
    <xf numFmtId="0" fontId="47" fillId="23" borderId="30" xfId="0" applyFont="1" applyFill="1" applyBorder="1" applyAlignment="1" applyProtection="1">
      <alignment horizontal="center" vertical="center" wrapText="1"/>
    </xf>
    <xf numFmtId="0" fontId="47" fillId="23" borderId="32" xfId="0" applyFont="1" applyFill="1" applyBorder="1" applyAlignment="1" applyProtection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27" fillId="0" borderId="76" xfId="0" applyFont="1" applyBorder="1" applyAlignment="1">
      <alignment horizontal="left" vertical="center" indent="1"/>
    </xf>
    <xf numFmtId="0" fontId="0" fillId="0" borderId="77" xfId="0" applyBorder="1" applyAlignment="1">
      <alignment horizontal="left" vertical="center" indent="1"/>
    </xf>
    <xf numFmtId="0" fontId="0" fillId="0" borderId="26" xfId="0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/>
    </xf>
    <xf numFmtId="0" fontId="56" fillId="0" borderId="27" xfId="0" applyFont="1" applyBorder="1" applyAlignment="1">
      <alignment horizontal="left" vertical="center"/>
    </xf>
    <xf numFmtId="0" fontId="56" fillId="0" borderId="28" xfId="0" applyFont="1" applyBorder="1" applyAlignment="1">
      <alignment horizontal="left" vertical="center"/>
    </xf>
    <xf numFmtId="0" fontId="56" fillId="0" borderId="30" xfId="0" applyFont="1" applyBorder="1" applyAlignment="1">
      <alignment horizontal="left" vertical="center"/>
    </xf>
    <xf numFmtId="0" fontId="56" fillId="0" borderId="32" xfId="0" applyFont="1" applyBorder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47" fillId="0" borderId="54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 inden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right" vertical="center"/>
    </xf>
    <xf numFmtId="0" fontId="28" fillId="0" borderId="28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28" fillId="0" borderId="0" xfId="0" applyFont="1" applyBorder="1" applyAlignment="1" applyProtection="1">
      <alignment horizontal="right" vertical="center"/>
    </xf>
    <xf numFmtId="0" fontId="28" fillId="0" borderId="28" xfId="0" applyFont="1" applyBorder="1" applyAlignment="1" applyProtection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176" fontId="59" fillId="19" borderId="16" xfId="0" applyNumberFormat="1" applyFont="1" applyFill="1" applyBorder="1" applyAlignment="1" applyProtection="1">
      <alignment horizontal="left" vertical="center"/>
      <protection locked="0"/>
    </xf>
    <xf numFmtId="176" fontId="59" fillId="19" borderId="17" xfId="0" applyNumberFormat="1" applyFont="1" applyFill="1" applyBorder="1" applyAlignment="1" applyProtection="1">
      <alignment horizontal="left" vertical="center"/>
      <protection locked="0"/>
    </xf>
    <xf numFmtId="170" fontId="28" fillId="25" borderId="16" xfId="0" applyNumberFormat="1" applyFont="1" applyFill="1" applyBorder="1" applyAlignment="1">
      <alignment horizontal="left" vertical="center"/>
    </xf>
    <xf numFmtId="170" fontId="28" fillId="25" borderId="28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28" xfId="0" applyFont="1" applyFill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/>
    </xf>
    <xf numFmtId="0" fontId="29" fillId="0" borderId="2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176" fontId="28" fillId="0" borderId="10" xfId="0" applyNumberFormat="1" applyFont="1" applyBorder="1" applyAlignment="1">
      <alignment horizontal="center" vertical="center"/>
    </xf>
    <xf numFmtId="176" fontId="28" fillId="0" borderId="12" xfId="0" applyNumberFormat="1" applyFont="1" applyBorder="1" applyAlignment="1">
      <alignment horizontal="center" vertical="center"/>
    </xf>
    <xf numFmtId="176" fontId="28" fillId="0" borderId="10" xfId="0" applyNumberFormat="1" applyFont="1" applyBorder="1" applyAlignment="1">
      <alignment horizontal="left" vertical="center"/>
    </xf>
    <xf numFmtId="176" fontId="28" fillId="0" borderId="12" xfId="0" applyNumberFormat="1" applyFont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left" vertical="center"/>
    </xf>
    <xf numFmtId="0" fontId="29" fillId="0" borderId="28" xfId="0" applyFont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left" vertical="center"/>
    </xf>
    <xf numFmtId="0" fontId="29" fillId="0" borderId="28" xfId="0" applyFont="1" applyFill="1" applyBorder="1" applyAlignment="1" applyProtection="1">
      <alignment horizontal="left" vertical="center"/>
    </xf>
    <xf numFmtId="0" fontId="36" fillId="0" borderId="0" xfId="0" applyFont="1" applyAlignment="1" applyProtection="1">
      <alignment horizontal="left"/>
    </xf>
    <xf numFmtId="0" fontId="27" fillId="0" borderId="52" xfId="72" applyFont="1" applyFill="1" applyBorder="1" applyAlignment="1" applyProtection="1">
      <alignment horizontal="center" vertical="center"/>
    </xf>
    <xf numFmtId="0" fontId="27" fillId="0" borderId="53" xfId="72" applyFont="1" applyFill="1" applyBorder="1" applyAlignment="1" applyProtection="1">
      <alignment horizontal="center" vertical="center"/>
    </xf>
    <xf numFmtId="0" fontId="27" fillId="0" borderId="54" xfId="72" applyFont="1" applyFill="1" applyBorder="1" applyAlignment="1" applyProtection="1">
      <alignment horizontal="center" vertical="center"/>
    </xf>
    <xf numFmtId="0" fontId="27" fillId="0" borderId="21" xfId="72" applyFont="1" applyFill="1" applyBorder="1" applyAlignment="1" applyProtection="1">
      <alignment horizontal="center" vertical="center"/>
    </xf>
    <xf numFmtId="0" fontId="27" fillId="0" borderId="22" xfId="72" applyFont="1" applyFill="1" applyBorder="1" applyAlignment="1" applyProtection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6" xfId="0" quotePrefix="1" applyFont="1" applyBorder="1" applyAlignment="1">
      <alignment horizontal="center" wrapText="1"/>
    </xf>
    <xf numFmtId="0" fontId="22" fillId="0" borderId="17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3" xfId="0" quotePrefix="1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4" xfId="0" quotePrefix="1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0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85">
    <cellStyle name="Bad" xfId="11" builtinId="27" hidden="1"/>
    <cellStyle name="Calculation" xfId="15" builtinId="22" hidden="1"/>
    <cellStyle name="Check Cell" xfId="17" builtinId="23" hidden="1"/>
    <cellStyle name="Comma" xfId="2" builtinId="3"/>
    <cellStyle name="Comma [0]" xfId="3" builtinId="6" hidden="1"/>
    <cellStyle name="Currency [0]" xfId="4" builtinId="7" hidden="1"/>
    <cellStyle name="Explanatory Text" xfId="20" builtinId="53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Hyperlink" xfId="22" builtinId="8" hidden="1"/>
    <cellStyle name="Hyperlink" xfId="67" builtinId="8"/>
    <cellStyle name="Input" xfId="13" builtinId="20" hidden="1"/>
    <cellStyle name="Linked Cell" xfId="16" builtinId="24" hidden="1"/>
    <cellStyle name="Neutral" xfId="12" builtinId="28" hidden="1"/>
    <cellStyle name="Normal" xfId="0" builtinId="0"/>
    <cellStyle name="Normal 2" xfId="84"/>
    <cellStyle name="Normal 2 2" xfId="73"/>
    <cellStyle name="Normal 2_EDFE_SPN_Main_FBPQ (v030909) v4.7" xfId="79"/>
    <cellStyle name="Normal 3" xfId="69"/>
    <cellStyle name="Normal 3_EDFE_SPN_Main_FBPQ (v030909) v4.7" xfId="80"/>
    <cellStyle name="Normal_07-08 RRP - Section 5" xfId="70"/>
    <cellStyle name="Normal_CE-NEDL_0607_RRP_RAV_Draft HLFBPQ1" xfId="76"/>
    <cellStyle name="Normal_EDFE_SPN_Main_FBPQ (v030909) v4.7" xfId="78"/>
    <cellStyle name="Normal_Network Tables 07_08" xfId="68"/>
    <cellStyle name="Normal_Network Tables 07_08 2" xfId="75"/>
    <cellStyle name="Normal_Opex Tables" xfId="82"/>
    <cellStyle name="Normal_risk table" xfId="72"/>
    <cellStyle name="Normal_risk table_EDFE_SPN_Main_FBPQ (v030909) v4.7" xfId="81"/>
    <cellStyle name="Normal_RRP table 4_3 update" xfId="71"/>
    <cellStyle name="Normal_Tables for 2005-06 Cost report (linked data v2)" xfId="83"/>
    <cellStyle name="Note" xfId="19" builtinId="10" hidden="1"/>
    <cellStyle name="Output" xfId="14" builtinId="21" hidden="1"/>
    <cellStyle name="Percent" xfId="1" builtinId="5"/>
    <cellStyle name="Percent 2 2" xfId="74"/>
    <cellStyle name="Percent 4" xfId="77"/>
    <cellStyle name="Title" xfId="5" builtinId="15" hidden="1"/>
    <cellStyle name="Total" xfId="21" builtinId="25" hidden="1"/>
    <cellStyle name="Warning Text" xfId="18" builtinId="11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47625</xdr:rowOff>
        </xdr:from>
        <xdr:to>
          <xdr:col>1</xdr:col>
          <xdr:colOff>1095375</xdr:colOff>
          <xdr:row>11</xdr:row>
          <xdr:rowOff>381000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47625</xdr:rowOff>
        </xdr:from>
        <xdr:to>
          <xdr:col>2</xdr:col>
          <xdr:colOff>1343025</xdr:colOff>
          <xdr:row>11</xdr:row>
          <xdr:rowOff>381000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 opt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1238250</xdr:colOff>
      <xdr:row>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238750" y="333375"/>
          <a:ext cx="1000125" cy="3333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37"/>
  <sheetViews>
    <sheetView showGridLines="0" workbookViewId="0"/>
  </sheetViews>
  <sheetFormatPr defaultColWidth="22.28515625" defaultRowHeight="15"/>
  <cols>
    <col min="1" max="1" width="32.85546875" style="2" customWidth="1"/>
    <col min="2" max="2" width="115.42578125" style="2" customWidth="1"/>
    <col min="3" max="16384" width="22.28515625" style="2"/>
  </cols>
  <sheetData>
    <row r="1" spans="1:2" ht="19.5">
      <c r="A1" s="4" t="str">
        <f>"Index for Method M ("&amp;'Calc-Net capex'!B5&amp;") for "&amp;Inputs!B6&amp;" in "&amp;Inputs!C6&amp;"  Status: "&amp;Inputs!D6&amp;""</f>
        <v>Index for Method M (LR1) for South Wales in April 2017  Status: Finals</v>
      </c>
    </row>
    <row r="3" spans="1:2">
      <c r="A3" s="2" t="s">
        <v>979</v>
      </c>
    </row>
    <row r="4" spans="1:2">
      <c r="A4" s="2" t="s">
        <v>980</v>
      </c>
    </row>
    <row r="5" spans="1:2">
      <c r="A5" s="2" t="s">
        <v>981</v>
      </c>
    </row>
    <row r="7" spans="1:2">
      <c r="A7" s="14" t="s">
        <v>972</v>
      </c>
      <c r="B7" s="14" t="s">
        <v>0</v>
      </c>
    </row>
    <row r="8" spans="1:2">
      <c r="A8" s="2" t="s">
        <v>1</v>
      </c>
      <c r="B8" s="2" t="s">
        <v>2</v>
      </c>
    </row>
    <row r="9" spans="1:2">
      <c r="A9" s="2" t="s">
        <v>3</v>
      </c>
      <c r="B9" s="2" t="s">
        <v>4</v>
      </c>
    </row>
    <row r="10" spans="1:2">
      <c r="A10" s="2" t="s">
        <v>5</v>
      </c>
      <c r="B10" s="2" t="s">
        <v>4</v>
      </c>
    </row>
    <row r="11" spans="1:2">
      <c r="A11" s="2" t="s">
        <v>6</v>
      </c>
      <c r="B11" s="2" t="s">
        <v>976</v>
      </c>
    </row>
    <row r="12" spans="1:2">
      <c r="A12" s="2" t="s">
        <v>7</v>
      </c>
      <c r="B12" s="2" t="s">
        <v>976</v>
      </c>
    </row>
    <row r="13" spans="1:2">
      <c r="A13" s="2" t="s">
        <v>8</v>
      </c>
      <c r="B13" s="2" t="s">
        <v>4</v>
      </c>
    </row>
    <row r="14" spans="1:2">
      <c r="A14" s="2" t="s">
        <v>9</v>
      </c>
      <c r="B14" s="2" t="s">
        <v>4</v>
      </c>
    </row>
    <row r="15" spans="1:2">
      <c r="A15" s="2" t="s">
        <v>10</v>
      </c>
      <c r="B15" s="2" t="s">
        <v>4</v>
      </c>
    </row>
    <row r="16" spans="1:2">
      <c r="A16" s="2" t="s">
        <v>11</v>
      </c>
      <c r="B16" s="2" t="s">
        <v>4</v>
      </c>
    </row>
    <row r="17" spans="1:2">
      <c r="A17" s="2" t="s">
        <v>12</v>
      </c>
      <c r="B17" s="2" t="s">
        <v>4</v>
      </c>
    </row>
    <row r="18" spans="1:2">
      <c r="A18" s="2" t="s">
        <v>13</v>
      </c>
      <c r="B18" s="2" t="s">
        <v>978</v>
      </c>
    </row>
    <row r="19" spans="1:2">
      <c r="A19" s="2" t="s">
        <v>14</v>
      </c>
      <c r="B19" s="2" t="s">
        <v>4</v>
      </c>
    </row>
    <row r="20" spans="1:2">
      <c r="A20" s="2" t="s">
        <v>15</v>
      </c>
      <c r="B20" s="2" t="s">
        <v>4</v>
      </c>
    </row>
    <row r="21" spans="1:2">
      <c r="A21" s="2" t="s">
        <v>16</v>
      </c>
      <c r="B21" s="2" t="s">
        <v>4</v>
      </c>
    </row>
    <row r="22" spans="1:2">
      <c r="A22" s="2" t="s">
        <v>17</v>
      </c>
      <c r="B22" s="2" t="s">
        <v>4</v>
      </c>
    </row>
    <row r="23" spans="1:2">
      <c r="A23" s="2" t="s">
        <v>18</v>
      </c>
      <c r="B23" s="2" t="s">
        <v>4</v>
      </c>
    </row>
    <row r="24" spans="1:2">
      <c r="A24" s="2" t="s">
        <v>19</v>
      </c>
      <c r="B24" s="2" t="s">
        <v>4</v>
      </c>
    </row>
    <row r="25" spans="1:2">
      <c r="A25" s="2" t="s">
        <v>20</v>
      </c>
      <c r="B25" s="2" t="s">
        <v>4</v>
      </c>
    </row>
    <row r="27" spans="1:2">
      <c r="A27" s="14" t="s">
        <v>973</v>
      </c>
      <c r="B27" s="14" t="s">
        <v>0</v>
      </c>
    </row>
    <row r="28" spans="1:2">
      <c r="A28" s="2" t="s">
        <v>21</v>
      </c>
      <c r="B28" s="2" t="s">
        <v>22</v>
      </c>
    </row>
    <row r="29" spans="1:2">
      <c r="A29" s="2" t="s">
        <v>23</v>
      </c>
      <c r="B29" s="2" t="s">
        <v>22</v>
      </c>
    </row>
    <row r="30" spans="1:2">
      <c r="A30" s="2" t="s">
        <v>24</v>
      </c>
      <c r="B30" s="2" t="s">
        <v>22</v>
      </c>
    </row>
    <row r="31" spans="1:2">
      <c r="A31" s="41" t="s">
        <v>966</v>
      </c>
      <c r="B31" s="2" t="s">
        <v>22</v>
      </c>
    </row>
    <row r="32" spans="1:2">
      <c r="A32" s="41" t="s">
        <v>25</v>
      </c>
      <c r="B32" s="2" t="s">
        <v>22</v>
      </c>
    </row>
    <row r="33" spans="1:2">
      <c r="A33" s="41" t="s">
        <v>967</v>
      </c>
      <c r="B33" s="2" t="s">
        <v>22</v>
      </c>
    </row>
    <row r="34" spans="1:2">
      <c r="A34" s="41" t="s">
        <v>968</v>
      </c>
      <c r="B34" s="2" t="s">
        <v>22</v>
      </c>
    </row>
    <row r="35" spans="1:2">
      <c r="A35" s="41"/>
    </row>
    <row r="36" spans="1:2">
      <c r="A36" s="42" t="s">
        <v>974</v>
      </c>
      <c r="B36" s="14" t="s">
        <v>0</v>
      </c>
    </row>
    <row r="37" spans="1:2">
      <c r="A37" s="41" t="s">
        <v>969</v>
      </c>
      <c r="B37" s="2" t="s">
        <v>965</v>
      </c>
    </row>
  </sheetData>
  <sheetProtection sheet="1" objects="1" scenarios="1"/>
  <phoneticPr fontId="1" type="noConversion"/>
  <pageMargins left="0.75" right="0.75" top="1" bottom="1" header="0.5" footer="0.5"/>
  <pageSetup paperSize="9" scale="5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C5FFFF"/>
    <pageSetUpPr fitToPage="1"/>
  </sheetPr>
  <dimension ref="A1:X137"/>
  <sheetViews>
    <sheetView zoomScaleSheetLayoutView="85" workbookViewId="0">
      <selection sqref="A1:XFD1048576"/>
    </sheetView>
  </sheetViews>
  <sheetFormatPr defaultColWidth="10.28515625" defaultRowHeight="12.75"/>
  <cols>
    <col min="1" max="1" width="3.28515625" style="566" customWidth="1"/>
    <col min="2" max="2" width="30.85546875" style="566" customWidth="1"/>
    <col min="3" max="3" width="14.42578125" style="566" customWidth="1"/>
    <col min="4" max="25" width="15" style="566" customWidth="1"/>
    <col min="26" max="16384" width="10.28515625" style="566"/>
  </cols>
  <sheetData>
    <row r="1" spans="1:13" s="561" customFormat="1" ht="26.25">
      <c r="A1" s="557" t="s">
        <v>341</v>
      </c>
      <c r="B1" s="558"/>
      <c r="C1" s="559"/>
      <c r="D1" s="559"/>
      <c r="E1" s="559"/>
      <c r="F1" s="559"/>
      <c r="G1" s="560"/>
    </row>
    <row r="2" spans="1:13" s="561" customFormat="1" ht="18">
      <c r="A2" s="558" t="s">
        <v>990</v>
      </c>
      <c r="B2" s="562"/>
    </row>
    <row r="3" spans="1:13" s="565" customFormat="1" ht="27" thickBot="1">
      <c r="A3" s="563" t="s">
        <v>464</v>
      </c>
      <c r="B3" s="564"/>
    </row>
    <row r="5" spans="1:13">
      <c r="B5" s="567" t="s">
        <v>465</v>
      </c>
    </row>
    <row r="6" spans="1:13" ht="13.5" thickBot="1"/>
    <row r="7" spans="1:13">
      <c r="B7" s="1295"/>
      <c r="C7" s="1296"/>
      <c r="D7" s="568" t="s">
        <v>191</v>
      </c>
      <c r="E7" s="569"/>
      <c r="F7" s="569"/>
      <c r="G7" s="569"/>
      <c r="H7" s="570"/>
      <c r="I7" s="568" t="s">
        <v>192</v>
      </c>
      <c r="J7" s="571"/>
      <c r="K7" s="571"/>
      <c r="L7" s="571"/>
      <c r="M7" s="570"/>
    </row>
    <row r="8" spans="1:13">
      <c r="B8" s="1297"/>
      <c r="C8" s="1298"/>
      <c r="D8" s="572" t="s">
        <v>79</v>
      </c>
      <c r="E8" s="573" t="s">
        <v>80</v>
      </c>
      <c r="F8" s="573" t="s">
        <v>81</v>
      </c>
      <c r="G8" s="573" t="s">
        <v>82</v>
      </c>
      <c r="H8" s="574" t="s">
        <v>44</v>
      </c>
      <c r="I8" s="572" t="s">
        <v>193</v>
      </c>
      <c r="J8" s="573" t="s">
        <v>194</v>
      </c>
      <c r="K8" s="573" t="s">
        <v>195</v>
      </c>
      <c r="L8" s="573" t="s">
        <v>196</v>
      </c>
      <c r="M8" s="574" t="s">
        <v>197</v>
      </c>
    </row>
    <row r="9" spans="1:13" ht="15" customHeight="1">
      <c r="B9" s="575" t="s">
        <v>466</v>
      </c>
      <c r="C9" s="576"/>
      <c r="D9" s="577"/>
      <c r="E9" s="578"/>
      <c r="F9" s="578"/>
      <c r="G9" s="578"/>
      <c r="H9" s="579"/>
      <c r="I9" s="577"/>
      <c r="J9" s="578"/>
      <c r="K9" s="578"/>
      <c r="L9" s="578"/>
      <c r="M9" s="579"/>
    </row>
    <row r="10" spans="1:13" ht="15" customHeight="1">
      <c r="B10" s="580" t="s">
        <v>467</v>
      </c>
      <c r="C10" s="576" t="s">
        <v>203</v>
      </c>
      <c r="D10" s="581"/>
      <c r="E10" s="582"/>
      <c r="F10" s="582"/>
      <c r="G10" s="582"/>
      <c r="H10" s="579"/>
      <c r="I10" s="581"/>
      <c r="J10" s="583"/>
      <c r="K10" s="583"/>
      <c r="L10" s="583"/>
      <c r="M10" s="584"/>
    </row>
    <row r="11" spans="1:13" ht="15" customHeight="1">
      <c r="B11" s="580" t="s">
        <v>468</v>
      </c>
      <c r="C11" s="576" t="s">
        <v>203</v>
      </c>
      <c r="D11" s="585"/>
      <c r="E11" s="585"/>
      <c r="F11" s="585"/>
      <c r="G11" s="585"/>
      <c r="H11" s="586"/>
      <c r="I11" s="587"/>
      <c r="J11" s="588"/>
      <c r="K11" s="588"/>
      <c r="L11" s="588"/>
      <c r="M11" s="589"/>
    </row>
    <row r="12" spans="1:13" ht="15" customHeight="1">
      <c r="B12" s="580" t="s">
        <v>469</v>
      </c>
      <c r="C12" s="576" t="s">
        <v>203</v>
      </c>
      <c r="D12" s="585"/>
      <c r="E12" s="585"/>
      <c r="F12" s="585"/>
      <c r="G12" s="585"/>
      <c r="H12" s="586"/>
      <c r="I12" s="587"/>
      <c r="J12" s="588"/>
      <c r="K12" s="588"/>
      <c r="L12" s="588"/>
      <c r="M12" s="589"/>
    </row>
    <row r="13" spans="1:13" ht="15" customHeight="1">
      <c r="B13" s="575" t="s">
        <v>470</v>
      </c>
      <c r="C13" s="576"/>
      <c r="D13" s="577"/>
      <c r="E13" s="578"/>
      <c r="F13" s="578"/>
      <c r="G13" s="578"/>
      <c r="H13" s="579"/>
      <c r="I13" s="577"/>
      <c r="J13" s="578"/>
      <c r="K13" s="578"/>
      <c r="L13" s="578"/>
      <c r="M13" s="579"/>
    </row>
    <row r="14" spans="1:13" ht="15" customHeight="1">
      <c r="B14" s="580" t="s">
        <v>471</v>
      </c>
      <c r="C14" s="576" t="s">
        <v>203</v>
      </c>
      <c r="D14" s="585"/>
      <c r="E14" s="585"/>
      <c r="F14" s="585"/>
      <c r="G14" s="585"/>
      <c r="H14" s="586"/>
      <c r="I14" s="587"/>
      <c r="J14" s="588"/>
      <c r="K14" s="588"/>
      <c r="L14" s="588"/>
      <c r="M14" s="589"/>
    </row>
    <row r="15" spans="1:13" ht="15" customHeight="1">
      <c r="B15" s="580" t="s">
        <v>472</v>
      </c>
      <c r="C15" s="576" t="s">
        <v>203</v>
      </c>
      <c r="D15" s="585"/>
      <c r="E15" s="585"/>
      <c r="F15" s="585"/>
      <c r="G15" s="585"/>
      <c r="H15" s="586"/>
      <c r="I15" s="587"/>
      <c r="J15" s="588"/>
      <c r="K15" s="588"/>
      <c r="L15" s="588"/>
      <c r="M15" s="589"/>
    </row>
    <row r="16" spans="1:13" ht="15" customHeight="1">
      <c r="B16" s="580" t="s">
        <v>473</v>
      </c>
      <c r="C16" s="576" t="s">
        <v>203</v>
      </c>
      <c r="D16" s="585"/>
      <c r="E16" s="585"/>
      <c r="F16" s="585"/>
      <c r="G16" s="585"/>
      <c r="H16" s="586"/>
      <c r="I16" s="587"/>
      <c r="J16" s="588"/>
      <c r="K16" s="588"/>
      <c r="L16" s="588"/>
      <c r="M16" s="589"/>
    </row>
    <row r="17" spans="2:13" ht="15" customHeight="1">
      <c r="B17" s="575" t="s">
        <v>411</v>
      </c>
      <c r="C17" s="576"/>
      <c r="D17" s="577"/>
      <c r="E17" s="578"/>
      <c r="F17" s="578"/>
      <c r="G17" s="578"/>
      <c r="H17" s="579"/>
      <c r="I17" s="577"/>
      <c r="J17" s="578"/>
      <c r="K17" s="578"/>
      <c r="L17" s="578"/>
      <c r="M17" s="579"/>
    </row>
    <row r="18" spans="2:13" ht="15" customHeight="1">
      <c r="B18" s="580" t="s">
        <v>474</v>
      </c>
      <c r="C18" s="576" t="s">
        <v>203</v>
      </c>
      <c r="D18" s="585"/>
      <c r="E18" s="585"/>
      <c r="F18" s="585"/>
      <c r="G18" s="585"/>
      <c r="H18" s="586"/>
      <c r="I18" s="587"/>
      <c r="J18" s="588"/>
      <c r="K18" s="588"/>
      <c r="L18" s="588"/>
      <c r="M18" s="589"/>
    </row>
    <row r="19" spans="2:13" ht="15" customHeight="1">
      <c r="B19" s="580" t="s">
        <v>475</v>
      </c>
      <c r="C19" s="576" t="s">
        <v>203</v>
      </c>
      <c r="D19" s="585"/>
      <c r="E19" s="585"/>
      <c r="F19" s="585"/>
      <c r="G19" s="585"/>
      <c r="H19" s="586"/>
      <c r="I19" s="587"/>
      <c r="J19" s="588"/>
      <c r="K19" s="588"/>
      <c r="L19" s="588"/>
      <c r="M19" s="589"/>
    </row>
    <row r="20" spans="2:13" ht="15" customHeight="1">
      <c r="B20" s="580" t="s">
        <v>476</v>
      </c>
      <c r="C20" s="576" t="s">
        <v>203</v>
      </c>
      <c r="D20" s="585"/>
      <c r="E20" s="585"/>
      <c r="F20" s="585"/>
      <c r="G20" s="585"/>
      <c r="H20" s="586"/>
      <c r="I20" s="587"/>
      <c r="J20" s="588"/>
      <c r="K20" s="588"/>
      <c r="L20" s="588"/>
      <c r="M20" s="589"/>
    </row>
    <row r="21" spans="2:13" ht="15" customHeight="1">
      <c r="B21" s="580" t="s">
        <v>477</v>
      </c>
      <c r="C21" s="576" t="s">
        <v>203</v>
      </c>
      <c r="D21" s="585"/>
      <c r="E21" s="585"/>
      <c r="F21" s="585"/>
      <c r="G21" s="585"/>
      <c r="H21" s="586"/>
      <c r="I21" s="587"/>
      <c r="J21" s="588"/>
      <c r="K21" s="588"/>
      <c r="L21" s="588"/>
      <c r="M21" s="589"/>
    </row>
    <row r="22" spans="2:13" s="592" customFormat="1" ht="15" customHeight="1">
      <c r="B22" s="590"/>
      <c r="C22" s="591" t="s">
        <v>203</v>
      </c>
      <c r="D22" s="585"/>
      <c r="E22" s="585"/>
      <c r="F22" s="585"/>
      <c r="G22" s="585"/>
      <c r="H22" s="586"/>
      <c r="I22" s="587"/>
      <c r="J22" s="588"/>
      <c r="K22" s="588"/>
      <c r="L22" s="588"/>
      <c r="M22" s="589"/>
    </row>
    <row r="23" spans="2:13" s="592" customFormat="1" ht="15" customHeight="1">
      <c r="B23" s="590" t="s">
        <v>478</v>
      </c>
      <c r="C23" s="591" t="s">
        <v>203</v>
      </c>
      <c r="D23" s="593"/>
      <c r="E23" s="593"/>
      <c r="F23" s="593"/>
      <c r="G23" s="593"/>
      <c r="H23" s="594"/>
      <c r="I23" s="595"/>
      <c r="J23" s="596"/>
      <c r="K23" s="596"/>
      <c r="L23" s="596"/>
      <c r="M23" s="597"/>
    </row>
    <row r="24" spans="2:13" s="592" customFormat="1" ht="15" customHeight="1">
      <c r="B24" s="590" t="s">
        <v>479</v>
      </c>
      <c r="C24" s="591" t="s">
        <v>203</v>
      </c>
      <c r="D24" s="593"/>
      <c r="E24" s="593"/>
      <c r="F24" s="593"/>
      <c r="G24" s="593"/>
      <c r="H24" s="594"/>
      <c r="I24" s="595"/>
      <c r="J24" s="596"/>
      <c r="K24" s="596"/>
      <c r="L24" s="596"/>
      <c r="M24" s="597"/>
    </row>
    <row r="25" spans="2:13" s="592" customFormat="1" ht="15" customHeight="1" thickBot="1">
      <c r="B25" s="598" t="s">
        <v>200</v>
      </c>
      <c r="C25" s="599" t="s">
        <v>203</v>
      </c>
      <c r="D25" s="600">
        <f t="shared" ref="D25:M25" si="0">SUM(D10:D24)</f>
        <v>0</v>
      </c>
      <c r="E25" s="601">
        <f t="shared" si="0"/>
        <v>0</v>
      </c>
      <c r="F25" s="601">
        <f t="shared" si="0"/>
        <v>0</v>
      </c>
      <c r="G25" s="601">
        <f t="shared" si="0"/>
        <v>0</v>
      </c>
      <c r="H25" s="601">
        <f t="shared" si="0"/>
        <v>0</v>
      </c>
      <c r="I25" s="600">
        <f t="shared" si="0"/>
        <v>0</v>
      </c>
      <c r="J25" s="601">
        <f t="shared" si="0"/>
        <v>0</v>
      </c>
      <c r="K25" s="601">
        <f t="shared" si="0"/>
        <v>0</v>
      </c>
      <c r="L25" s="601">
        <f t="shared" si="0"/>
        <v>0</v>
      </c>
      <c r="M25" s="602">
        <f t="shared" si="0"/>
        <v>0</v>
      </c>
    </row>
    <row r="26" spans="2:13" ht="15" customHeight="1">
      <c r="B26" s="603"/>
      <c r="C26" s="604"/>
      <c r="D26" s="605"/>
      <c r="E26" s="605"/>
      <c r="F26" s="605"/>
    </row>
    <row r="27" spans="2:13" ht="15" customHeight="1"/>
    <row r="28" spans="2:13" ht="15" customHeight="1">
      <c r="B28" s="567" t="s">
        <v>480</v>
      </c>
      <c r="C28" s="567"/>
      <c r="D28" s="567"/>
      <c r="E28" s="567"/>
      <c r="F28" s="567"/>
      <c r="G28" s="567"/>
      <c r="H28" s="567"/>
      <c r="I28" s="567"/>
      <c r="J28" s="567"/>
      <c r="K28" s="567"/>
    </row>
    <row r="29" spans="2:13" ht="15" customHeight="1">
      <c r="B29" s="567"/>
      <c r="C29" s="567"/>
      <c r="D29" s="567"/>
      <c r="E29" s="567"/>
      <c r="F29" s="567"/>
      <c r="G29" s="567"/>
      <c r="H29" s="567"/>
      <c r="I29" s="567"/>
      <c r="J29" s="567"/>
      <c r="K29" s="567"/>
    </row>
    <row r="30" spans="2:13" ht="15" customHeight="1" thickBot="1">
      <c r="B30" s="606" t="s">
        <v>481</v>
      </c>
      <c r="C30" s="567"/>
      <c r="D30" s="567"/>
      <c r="E30" s="567"/>
      <c r="F30" s="567"/>
      <c r="G30" s="567"/>
      <c r="H30" s="567"/>
      <c r="I30" s="567"/>
      <c r="J30" s="567"/>
      <c r="K30" s="567"/>
    </row>
    <row r="31" spans="2:13" ht="15" customHeight="1">
      <c r="B31" s="1295"/>
      <c r="C31" s="1296"/>
      <c r="D31" s="569" t="s">
        <v>191</v>
      </c>
      <c r="E31" s="569"/>
      <c r="F31" s="569"/>
      <c r="G31" s="569"/>
      <c r="H31" s="570"/>
      <c r="I31" s="568" t="s">
        <v>192</v>
      </c>
      <c r="J31" s="571"/>
      <c r="K31" s="571"/>
      <c r="L31" s="571"/>
      <c r="M31" s="570"/>
    </row>
    <row r="32" spans="2:13" ht="15" customHeight="1">
      <c r="B32" s="1297"/>
      <c r="C32" s="1298"/>
      <c r="D32" s="607" t="s">
        <v>79</v>
      </c>
      <c r="E32" s="573" t="s">
        <v>80</v>
      </c>
      <c r="F32" s="573" t="s">
        <v>81</v>
      </c>
      <c r="G32" s="573" t="s">
        <v>82</v>
      </c>
      <c r="H32" s="574" t="s">
        <v>44</v>
      </c>
      <c r="I32" s="572" t="s">
        <v>193</v>
      </c>
      <c r="J32" s="573" t="s">
        <v>194</v>
      </c>
      <c r="K32" s="573" t="s">
        <v>195</v>
      </c>
      <c r="L32" s="573" t="s">
        <v>196</v>
      </c>
      <c r="M32" s="574" t="s">
        <v>197</v>
      </c>
    </row>
    <row r="33" spans="2:13" ht="15" customHeight="1">
      <c r="B33" s="580" t="s">
        <v>414</v>
      </c>
      <c r="C33" s="576" t="s">
        <v>203</v>
      </c>
      <c r="D33" s="585"/>
      <c r="E33" s="585"/>
      <c r="F33" s="585"/>
      <c r="G33" s="585"/>
      <c r="H33" s="586"/>
      <c r="I33" s="587"/>
      <c r="J33" s="588"/>
      <c r="K33" s="588"/>
      <c r="L33" s="588"/>
      <c r="M33" s="589"/>
    </row>
    <row r="34" spans="2:13" ht="15" customHeight="1">
      <c r="B34" s="580" t="s">
        <v>223</v>
      </c>
      <c r="C34" s="576" t="s">
        <v>203</v>
      </c>
      <c r="D34" s="585"/>
      <c r="E34" s="585"/>
      <c r="F34" s="585"/>
      <c r="G34" s="585"/>
      <c r="H34" s="586"/>
      <c r="I34" s="587"/>
      <c r="J34" s="588"/>
      <c r="K34" s="588"/>
      <c r="L34" s="588"/>
      <c r="M34" s="589"/>
    </row>
    <row r="35" spans="2:13" ht="15" customHeight="1">
      <c r="B35" s="580" t="s">
        <v>403</v>
      </c>
      <c r="C35" s="576" t="s">
        <v>203</v>
      </c>
      <c r="D35" s="585"/>
      <c r="E35" s="585"/>
      <c r="F35" s="585"/>
      <c r="G35" s="585"/>
      <c r="H35" s="586"/>
      <c r="I35" s="587"/>
      <c r="J35" s="588"/>
      <c r="K35" s="588"/>
      <c r="L35" s="588"/>
      <c r="M35" s="589"/>
    </row>
    <row r="36" spans="2:13" ht="15" customHeight="1">
      <c r="B36" s="580" t="s">
        <v>482</v>
      </c>
      <c r="C36" s="608" t="s">
        <v>203</v>
      </c>
      <c r="D36" s="585"/>
      <c r="E36" s="585"/>
      <c r="F36" s="585"/>
      <c r="G36" s="585"/>
      <c r="H36" s="586"/>
      <c r="I36" s="587"/>
      <c r="J36" s="588"/>
      <c r="K36" s="588"/>
      <c r="L36" s="588"/>
      <c r="M36" s="589"/>
    </row>
    <row r="37" spans="2:13" ht="15" customHeight="1" thickBot="1">
      <c r="B37" s="609" t="s">
        <v>200</v>
      </c>
      <c r="C37" s="610" t="s">
        <v>203</v>
      </c>
      <c r="D37" s="611">
        <f t="shared" ref="D37:M37" si="1">SUM(D33:D36)</f>
        <v>0</v>
      </c>
      <c r="E37" s="612">
        <f t="shared" si="1"/>
        <v>0</v>
      </c>
      <c r="F37" s="612">
        <f t="shared" si="1"/>
        <v>0</v>
      </c>
      <c r="G37" s="612">
        <f t="shared" si="1"/>
        <v>0</v>
      </c>
      <c r="H37" s="613">
        <f t="shared" si="1"/>
        <v>0</v>
      </c>
      <c r="I37" s="614">
        <f t="shared" si="1"/>
        <v>0</v>
      </c>
      <c r="J37" s="612">
        <f t="shared" si="1"/>
        <v>0</v>
      </c>
      <c r="K37" s="612">
        <f t="shared" si="1"/>
        <v>0</v>
      </c>
      <c r="L37" s="612">
        <f t="shared" si="1"/>
        <v>0</v>
      </c>
      <c r="M37" s="613">
        <f t="shared" si="1"/>
        <v>0</v>
      </c>
    </row>
    <row r="38" spans="2:13" ht="15" customHeight="1"/>
    <row r="39" spans="2:13" ht="15" customHeight="1" thickBot="1">
      <c r="B39" s="606" t="s">
        <v>483</v>
      </c>
      <c r="C39" s="567"/>
      <c r="D39" s="567"/>
      <c r="E39" s="567"/>
      <c r="F39" s="567"/>
      <c r="G39" s="567"/>
      <c r="H39" s="567"/>
      <c r="I39" s="567"/>
      <c r="J39" s="567"/>
      <c r="K39" s="567"/>
    </row>
    <row r="40" spans="2:13" ht="15" customHeight="1">
      <c r="B40" s="1295"/>
      <c r="C40" s="1296"/>
      <c r="D40" s="569" t="s">
        <v>191</v>
      </c>
      <c r="E40" s="569"/>
      <c r="F40" s="569"/>
      <c r="G40" s="569"/>
      <c r="H40" s="570"/>
      <c r="I40" s="568" t="s">
        <v>192</v>
      </c>
      <c r="J40" s="571"/>
      <c r="K40" s="571"/>
      <c r="L40" s="571"/>
      <c r="M40" s="570"/>
    </row>
    <row r="41" spans="2:13" ht="15" customHeight="1">
      <c r="B41" s="1297"/>
      <c r="C41" s="1298"/>
      <c r="D41" s="607" t="s">
        <v>79</v>
      </c>
      <c r="E41" s="573" t="s">
        <v>80</v>
      </c>
      <c r="F41" s="573" t="s">
        <v>81</v>
      </c>
      <c r="G41" s="573" t="s">
        <v>82</v>
      </c>
      <c r="H41" s="574" t="s">
        <v>44</v>
      </c>
      <c r="I41" s="572" t="s">
        <v>193</v>
      </c>
      <c r="J41" s="573" t="s">
        <v>194</v>
      </c>
      <c r="K41" s="573" t="s">
        <v>195</v>
      </c>
      <c r="L41" s="573" t="s">
        <v>196</v>
      </c>
      <c r="M41" s="574" t="s">
        <v>197</v>
      </c>
    </row>
    <row r="42" spans="2:13" ht="15" customHeight="1">
      <c r="B42" s="580" t="s">
        <v>414</v>
      </c>
      <c r="C42" s="576" t="s">
        <v>203</v>
      </c>
      <c r="D42" s="615"/>
      <c r="E42" s="616"/>
      <c r="F42" s="585"/>
      <c r="G42" s="585"/>
      <c r="H42" s="586"/>
      <c r="I42" s="587"/>
      <c r="J42" s="588"/>
      <c r="K42" s="588"/>
      <c r="L42" s="588"/>
      <c r="M42" s="589"/>
    </row>
    <row r="43" spans="2:13" ht="15" customHeight="1">
      <c r="B43" s="580" t="s">
        <v>223</v>
      </c>
      <c r="C43" s="576" t="s">
        <v>203</v>
      </c>
      <c r="D43" s="615"/>
      <c r="E43" s="616"/>
      <c r="F43" s="585"/>
      <c r="G43" s="585"/>
      <c r="H43" s="586"/>
      <c r="I43" s="587"/>
      <c r="J43" s="588"/>
      <c r="K43" s="588"/>
      <c r="L43" s="588"/>
      <c r="M43" s="589"/>
    </row>
    <row r="44" spans="2:13" ht="15" customHeight="1">
      <c r="B44" s="580" t="s">
        <v>403</v>
      </c>
      <c r="C44" s="576" t="s">
        <v>203</v>
      </c>
      <c r="D44" s="615"/>
      <c r="E44" s="616"/>
      <c r="F44" s="585"/>
      <c r="G44" s="585"/>
      <c r="H44" s="586"/>
      <c r="I44" s="587"/>
      <c r="J44" s="588"/>
      <c r="K44" s="588"/>
      <c r="L44" s="588"/>
      <c r="M44" s="589"/>
    </row>
    <row r="45" spans="2:13" ht="15" customHeight="1">
      <c r="B45" s="580" t="s">
        <v>482</v>
      </c>
      <c r="C45" s="608" t="s">
        <v>203</v>
      </c>
      <c r="D45" s="615"/>
      <c r="E45" s="616"/>
      <c r="F45" s="585"/>
      <c r="G45" s="585"/>
      <c r="H45" s="586"/>
      <c r="I45" s="587"/>
      <c r="J45" s="588"/>
      <c r="K45" s="588"/>
      <c r="L45" s="588"/>
      <c r="M45" s="589"/>
    </row>
    <row r="46" spans="2:13" ht="15" customHeight="1" thickBot="1">
      <c r="B46" s="609" t="s">
        <v>200</v>
      </c>
      <c r="C46" s="610" t="s">
        <v>203</v>
      </c>
      <c r="D46" s="611">
        <f t="shared" ref="D46:M46" si="2">SUM(D42:D45)</f>
        <v>0</v>
      </c>
      <c r="E46" s="612">
        <f t="shared" si="2"/>
        <v>0</v>
      </c>
      <c r="F46" s="612">
        <f t="shared" si="2"/>
        <v>0</v>
      </c>
      <c r="G46" s="612">
        <f t="shared" si="2"/>
        <v>0</v>
      </c>
      <c r="H46" s="613">
        <f t="shared" si="2"/>
        <v>0</v>
      </c>
      <c r="I46" s="614">
        <f t="shared" si="2"/>
        <v>0</v>
      </c>
      <c r="J46" s="612">
        <f t="shared" si="2"/>
        <v>0</v>
      </c>
      <c r="K46" s="612">
        <f t="shared" si="2"/>
        <v>0</v>
      </c>
      <c r="L46" s="612">
        <f t="shared" si="2"/>
        <v>0</v>
      </c>
      <c r="M46" s="613">
        <f t="shared" si="2"/>
        <v>0</v>
      </c>
    </row>
    <row r="47" spans="2:13" ht="15" customHeight="1"/>
    <row r="48" spans="2:13" ht="15" customHeight="1">
      <c r="B48" s="567" t="s">
        <v>484</v>
      </c>
      <c r="C48" s="567"/>
      <c r="D48" s="567"/>
      <c r="E48" s="567"/>
      <c r="F48" s="567"/>
      <c r="G48" s="567"/>
      <c r="H48" s="567"/>
      <c r="I48" s="567"/>
      <c r="J48" s="567"/>
      <c r="K48" s="567"/>
      <c r="L48" s="567"/>
    </row>
    <row r="49" spans="2:24" ht="15" customHeight="1" thickBot="1">
      <c r="B49" s="606"/>
      <c r="C49" s="567"/>
      <c r="D49" s="567"/>
      <c r="E49" s="567"/>
      <c r="F49" s="567"/>
      <c r="G49" s="567"/>
      <c r="H49" s="567"/>
      <c r="I49" s="567"/>
      <c r="J49" s="567"/>
      <c r="K49" s="567"/>
      <c r="L49" s="567"/>
    </row>
    <row r="50" spans="2:24" ht="15" customHeight="1">
      <c r="B50" s="617"/>
      <c r="C50" s="618" t="s">
        <v>485</v>
      </c>
      <c r="D50" s="619" t="s">
        <v>486</v>
      </c>
      <c r="E50" s="619" t="s">
        <v>487</v>
      </c>
      <c r="F50" s="619" t="s">
        <v>488</v>
      </c>
      <c r="G50" s="619" t="s">
        <v>489</v>
      </c>
      <c r="H50" s="620" t="s">
        <v>490</v>
      </c>
      <c r="I50" s="567"/>
    </row>
    <row r="51" spans="2:24" ht="15" customHeight="1">
      <c r="B51" s="621" t="s">
        <v>414</v>
      </c>
      <c r="C51" s="622">
        <f>D51+E51</f>
        <v>0</v>
      </c>
      <c r="D51" s="623">
        <f>C61</f>
        <v>0</v>
      </c>
      <c r="E51" s="624"/>
      <c r="F51" s="623">
        <f>K61</f>
        <v>0</v>
      </c>
      <c r="G51" s="623">
        <f>S61</f>
        <v>0</v>
      </c>
      <c r="H51" s="625">
        <f>E51-SUM(F51:G51)</f>
        <v>0</v>
      </c>
      <c r="I51" s="567"/>
    </row>
    <row r="52" spans="2:24" ht="15" customHeight="1">
      <c r="B52" s="621" t="s">
        <v>223</v>
      </c>
      <c r="C52" s="622">
        <f>D52+E52</f>
        <v>0</v>
      </c>
      <c r="D52" s="623">
        <f>C62</f>
        <v>0</v>
      </c>
      <c r="E52" s="624"/>
      <c r="F52" s="623">
        <f>K62</f>
        <v>0</v>
      </c>
      <c r="G52" s="623">
        <f>S62</f>
        <v>0</v>
      </c>
      <c r="H52" s="625">
        <f>E52-SUM(F52:G52)</f>
        <v>0</v>
      </c>
      <c r="I52" s="567"/>
    </row>
    <row r="53" spans="2:24" ht="15" customHeight="1">
      <c r="B53" s="621" t="s">
        <v>403</v>
      </c>
      <c r="C53" s="622">
        <f>D53+E53</f>
        <v>0</v>
      </c>
      <c r="D53" s="623">
        <f>C63</f>
        <v>0</v>
      </c>
      <c r="E53" s="624"/>
      <c r="F53" s="623">
        <f>K63</f>
        <v>0</v>
      </c>
      <c r="G53" s="623">
        <f>S63</f>
        <v>0</v>
      </c>
      <c r="H53" s="625">
        <f>E53-SUM(F53:G53)</f>
        <v>0</v>
      </c>
      <c r="I53" s="567"/>
    </row>
    <row r="54" spans="2:24" ht="15" customHeight="1">
      <c r="B54" s="621" t="s">
        <v>482</v>
      </c>
      <c r="C54" s="622">
        <f>D54+E54</f>
        <v>0</v>
      </c>
      <c r="D54" s="623">
        <f>C64</f>
        <v>0</v>
      </c>
      <c r="E54" s="624"/>
      <c r="F54" s="623">
        <f>K64</f>
        <v>0</v>
      </c>
      <c r="G54" s="623">
        <f>S64</f>
        <v>0</v>
      </c>
      <c r="H54" s="625">
        <f>E54-SUM(F54:G54)</f>
        <v>0</v>
      </c>
      <c r="I54" s="567"/>
    </row>
    <row r="55" spans="2:24" ht="15" customHeight="1" thickBot="1">
      <c r="B55" s="626" t="s">
        <v>200</v>
      </c>
      <c r="C55" s="627">
        <f t="shared" ref="C55:H55" si="3">SUM(C51:C54)</f>
        <v>0</v>
      </c>
      <c r="D55" s="628">
        <f t="shared" si="3"/>
        <v>0</v>
      </c>
      <c r="E55" s="628">
        <f t="shared" si="3"/>
        <v>0</v>
      </c>
      <c r="F55" s="628">
        <f t="shared" si="3"/>
        <v>0</v>
      </c>
      <c r="G55" s="628">
        <f t="shared" si="3"/>
        <v>0</v>
      </c>
      <c r="H55" s="629">
        <f t="shared" si="3"/>
        <v>0</v>
      </c>
      <c r="I55" s="567"/>
    </row>
    <row r="56" spans="2:24" ht="15" customHeight="1">
      <c r="B56" s="567"/>
      <c r="C56" s="567"/>
      <c r="D56" s="567"/>
      <c r="E56" s="567"/>
      <c r="F56" s="567"/>
      <c r="G56" s="567"/>
      <c r="H56" s="567"/>
      <c r="I56" s="567"/>
    </row>
    <row r="57" spans="2:24" ht="15" customHeight="1" thickBot="1"/>
    <row r="58" spans="2:24" ht="15" customHeight="1">
      <c r="B58" s="1274" t="s">
        <v>491</v>
      </c>
      <c r="C58" s="1275"/>
      <c r="D58" s="1275"/>
      <c r="E58" s="1275"/>
      <c r="F58" s="1275"/>
      <c r="G58" s="1275"/>
      <c r="H58" s="1276"/>
      <c r="I58" s="630"/>
      <c r="J58" s="1274" t="s">
        <v>492</v>
      </c>
      <c r="K58" s="1275"/>
      <c r="L58" s="1275"/>
      <c r="M58" s="1275"/>
      <c r="N58" s="1275"/>
      <c r="O58" s="1275"/>
      <c r="P58" s="1276"/>
      <c r="R58" s="1274" t="s">
        <v>192</v>
      </c>
      <c r="S58" s="1275"/>
      <c r="T58" s="1275"/>
      <c r="U58" s="1275"/>
      <c r="V58" s="1275"/>
      <c r="W58" s="1275"/>
      <c r="X58" s="1276"/>
    </row>
    <row r="59" spans="2:24" ht="15" customHeight="1">
      <c r="B59" s="1277"/>
      <c r="C59" s="1279" t="s">
        <v>493</v>
      </c>
      <c r="D59" s="1290" t="s">
        <v>494</v>
      </c>
      <c r="E59" s="1291"/>
      <c r="F59" s="1291"/>
      <c r="G59" s="1291"/>
      <c r="H59" s="1292"/>
      <c r="J59" s="631"/>
      <c r="K59" s="1279" t="s">
        <v>493</v>
      </c>
      <c r="L59" s="632" t="s">
        <v>495</v>
      </c>
      <c r="M59" s="633"/>
      <c r="N59" s="633"/>
      <c r="O59" s="633"/>
      <c r="P59" s="634"/>
      <c r="R59" s="1277"/>
      <c r="S59" s="1279" t="s">
        <v>493</v>
      </c>
      <c r="T59" s="1290" t="s">
        <v>495</v>
      </c>
      <c r="U59" s="1291"/>
      <c r="V59" s="1291"/>
      <c r="W59" s="1291"/>
      <c r="X59" s="1292"/>
    </row>
    <row r="60" spans="2:24" ht="25.5">
      <c r="B60" s="1278"/>
      <c r="C60" s="1280"/>
      <c r="D60" s="635" t="s">
        <v>496</v>
      </c>
      <c r="E60" s="635" t="s">
        <v>497</v>
      </c>
      <c r="F60" s="635" t="s">
        <v>498</v>
      </c>
      <c r="G60" s="636" t="s">
        <v>499</v>
      </c>
      <c r="H60" s="637" t="s">
        <v>500</v>
      </c>
      <c r="I60" s="638"/>
      <c r="J60" s="639"/>
      <c r="K60" s="1294"/>
      <c r="L60" s="636" t="s">
        <v>496</v>
      </c>
      <c r="M60" s="636" t="s">
        <v>497</v>
      </c>
      <c r="N60" s="636" t="s">
        <v>498</v>
      </c>
      <c r="O60" s="636" t="s">
        <v>499</v>
      </c>
      <c r="P60" s="637" t="s">
        <v>500</v>
      </c>
      <c r="R60" s="1278"/>
      <c r="S60" s="1294"/>
      <c r="T60" s="636" t="s">
        <v>496</v>
      </c>
      <c r="U60" s="636" t="s">
        <v>497</v>
      </c>
      <c r="V60" s="636" t="s">
        <v>498</v>
      </c>
      <c r="W60" s="636" t="s">
        <v>499</v>
      </c>
      <c r="X60" s="637" t="s">
        <v>500</v>
      </c>
    </row>
    <row r="61" spans="2:24" ht="15" customHeight="1">
      <c r="B61" s="621" t="s">
        <v>414</v>
      </c>
      <c r="C61" s="622">
        <f>SUM(D61:H61)</f>
        <v>0</v>
      </c>
      <c r="D61" s="640"/>
      <c r="E61" s="640"/>
      <c r="F61" s="640"/>
      <c r="G61" s="624"/>
      <c r="H61" s="641"/>
      <c r="I61" s="638"/>
      <c r="J61" s="642" t="s">
        <v>414</v>
      </c>
      <c r="K61" s="643">
        <f>SUM(L61:P61)</f>
        <v>0</v>
      </c>
      <c r="L61" s="644"/>
      <c r="M61" s="644"/>
      <c r="N61" s="644"/>
      <c r="O61" s="645"/>
      <c r="P61" s="646"/>
      <c r="R61" s="642" t="s">
        <v>414</v>
      </c>
      <c r="S61" s="643">
        <f>SUM(T61:X61)</f>
        <v>0</v>
      </c>
      <c r="T61" s="644"/>
      <c r="U61" s="644"/>
      <c r="V61" s="644"/>
      <c r="W61" s="645"/>
      <c r="X61" s="646"/>
    </row>
    <row r="62" spans="2:24" ht="15" customHeight="1">
      <c r="B62" s="621" t="s">
        <v>223</v>
      </c>
      <c r="C62" s="643">
        <f>SUM(D62:H62)</f>
        <v>0</v>
      </c>
      <c r="D62" s="640"/>
      <c r="E62" s="640"/>
      <c r="F62" s="640"/>
      <c r="G62" s="624"/>
      <c r="H62" s="641"/>
      <c r="I62" s="638"/>
      <c r="J62" s="621" t="s">
        <v>223</v>
      </c>
      <c r="K62" s="643">
        <f>SUM(L62:P62)</f>
        <v>0</v>
      </c>
      <c r="L62" s="640"/>
      <c r="M62" s="640"/>
      <c r="N62" s="640"/>
      <c r="O62" s="624"/>
      <c r="P62" s="641"/>
      <c r="R62" s="621" t="s">
        <v>223</v>
      </c>
      <c r="S62" s="643">
        <f>SUM(T62:X62)</f>
        <v>0</v>
      </c>
      <c r="T62" s="640"/>
      <c r="U62" s="640"/>
      <c r="V62" s="640"/>
      <c r="W62" s="624"/>
      <c r="X62" s="641"/>
    </row>
    <row r="63" spans="2:24" ht="15" customHeight="1">
      <c r="B63" s="621" t="s">
        <v>403</v>
      </c>
      <c r="C63" s="643">
        <f>SUM(D63:H63)</f>
        <v>0</v>
      </c>
      <c r="D63" s="640"/>
      <c r="E63" s="640"/>
      <c r="F63" s="640"/>
      <c r="G63" s="624"/>
      <c r="H63" s="641"/>
      <c r="I63" s="638"/>
      <c r="J63" s="621" t="s">
        <v>403</v>
      </c>
      <c r="K63" s="643">
        <f>SUM(L63:P63)</f>
        <v>0</v>
      </c>
      <c r="L63" s="640"/>
      <c r="M63" s="640"/>
      <c r="N63" s="640"/>
      <c r="O63" s="624"/>
      <c r="P63" s="641"/>
      <c r="R63" s="621" t="s">
        <v>403</v>
      </c>
      <c r="S63" s="643">
        <f>SUM(T63:X63)</f>
        <v>0</v>
      </c>
      <c r="T63" s="640"/>
      <c r="U63" s="640"/>
      <c r="V63" s="640"/>
      <c r="W63" s="624"/>
      <c r="X63" s="641"/>
    </row>
    <row r="64" spans="2:24" ht="15" customHeight="1">
      <c r="B64" s="621" t="s">
        <v>482</v>
      </c>
      <c r="C64" s="643">
        <f>SUM(D64:H64)</f>
        <v>0</v>
      </c>
      <c r="D64" s="640"/>
      <c r="E64" s="640"/>
      <c r="F64" s="640"/>
      <c r="G64" s="624"/>
      <c r="H64" s="641"/>
      <c r="I64" s="638"/>
      <c r="J64" s="621" t="s">
        <v>482</v>
      </c>
      <c r="K64" s="643">
        <f>SUM(L64:P64)</f>
        <v>0</v>
      </c>
      <c r="L64" s="640"/>
      <c r="M64" s="640"/>
      <c r="N64" s="640"/>
      <c r="O64" s="624"/>
      <c r="P64" s="641"/>
      <c r="R64" s="621" t="s">
        <v>482</v>
      </c>
      <c r="S64" s="643">
        <f>SUM(T64:X64)</f>
        <v>0</v>
      </c>
      <c r="T64" s="640"/>
      <c r="U64" s="640"/>
      <c r="V64" s="640"/>
      <c r="W64" s="624"/>
      <c r="X64" s="641"/>
    </row>
    <row r="65" spans="2:24" ht="15" customHeight="1" thickBot="1">
      <c r="B65" s="626" t="s">
        <v>200</v>
      </c>
      <c r="C65" s="627">
        <f t="shared" ref="C65:H65" si="4">SUM(C61:C64)</f>
        <v>0</v>
      </c>
      <c r="D65" s="628">
        <f t="shared" si="4"/>
        <v>0</v>
      </c>
      <c r="E65" s="628">
        <f t="shared" si="4"/>
        <v>0</v>
      </c>
      <c r="F65" s="628">
        <f t="shared" si="4"/>
        <v>0</v>
      </c>
      <c r="G65" s="628">
        <f t="shared" si="4"/>
        <v>0</v>
      </c>
      <c r="H65" s="629">
        <f t="shared" si="4"/>
        <v>0</v>
      </c>
      <c r="I65" s="638"/>
      <c r="J65" s="626" t="s">
        <v>200</v>
      </c>
      <c r="K65" s="627">
        <f t="shared" ref="K65:P65" si="5">SUM(K61:K64)</f>
        <v>0</v>
      </c>
      <c r="L65" s="628">
        <f t="shared" si="5"/>
        <v>0</v>
      </c>
      <c r="M65" s="628">
        <f t="shared" si="5"/>
        <v>0</v>
      </c>
      <c r="N65" s="628">
        <f t="shared" si="5"/>
        <v>0</v>
      </c>
      <c r="O65" s="628">
        <f t="shared" si="5"/>
        <v>0</v>
      </c>
      <c r="P65" s="629">
        <f t="shared" si="5"/>
        <v>0</v>
      </c>
      <c r="R65" s="626" t="s">
        <v>200</v>
      </c>
      <c r="S65" s="627">
        <f t="shared" ref="S65:X65" si="6">SUM(S61:S64)</f>
        <v>0</v>
      </c>
      <c r="T65" s="628">
        <f t="shared" si="6"/>
        <v>0</v>
      </c>
      <c r="U65" s="628">
        <f t="shared" si="6"/>
        <v>0</v>
      </c>
      <c r="V65" s="628">
        <f t="shared" si="6"/>
        <v>0</v>
      </c>
      <c r="W65" s="628">
        <f t="shared" si="6"/>
        <v>0</v>
      </c>
      <c r="X65" s="629">
        <f t="shared" si="6"/>
        <v>0</v>
      </c>
    </row>
    <row r="66" spans="2:24" ht="15" customHeight="1" thickBot="1">
      <c r="B66" s="647"/>
      <c r="C66" s="648"/>
      <c r="D66" s="648"/>
      <c r="E66" s="648"/>
      <c r="F66" s="648"/>
      <c r="G66" s="648"/>
      <c r="H66" s="648"/>
      <c r="I66" s="638"/>
      <c r="J66" s="647"/>
      <c r="K66" s="648"/>
      <c r="L66" s="648"/>
      <c r="M66" s="648"/>
      <c r="N66" s="648"/>
      <c r="O66" s="648"/>
      <c r="P66" s="648"/>
      <c r="R66" s="647"/>
      <c r="S66" s="648"/>
      <c r="T66" s="648"/>
      <c r="U66" s="648"/>
      <c r="V66" s="648"/>
      <c r="W66" s="648"/>
      <c r="X66" s="648"/>
    </row>
    <row r="67" spans="2:24" ht="15" customHeight="1">
      <c r="B67" s="1274" t="s">
        <v>491</v>
      </c>
      <c r="C67" s="1275"/>
      <c r="D67" s="1275"/>
      <c r="E67" s="1275"/>
      <c r="F67" s="1275"/>
      <c r="G67" s="1275"/>
      <c r="H67" s="1276"/>
      <c r="I67" s="630"/>
      <c r="J67" s="1274" t="s">
        <v>492</v>
      </c>
      <c r="K67" s="1275"/>
      <c r="L67" s="1275"/>
      <c r="M67" s="1275"/>
      <c r="N67" s="1275"/>
      <c r="O67" s="1275"/>
      <c r="P67" s="1276"/>
      <c r="R67" s="1274" t="s">
        <v>192</v>
      </c>
      <c r="S67" s="1275"/>
      <c r="T67" s="1275"/>
      <c r="U67" s="1275"/>
      <c r="V67" s="1275"/>
      <c r="W67" s="1275"/>
      <c r="X67" s="1276"/>
    </row>
    <row r="68" spans="2:24" ht="15" customHeight="1">
      <c r="B68" s="1277"/>
      <c r="C68" s="1293" t="s">
        <v>501</v>
      </c>
      <c r="D68" s="649" t="s">
        <v>494</v>
      </c>
      <c r="E68" s="650"/>
      <c r="F68" s="650"/>
      <c r="G68" s="650"/>
      <c r="H68" s="651"/>
      <c r="J68" s="652"/>
      <c r="K68" s="1279" t="s">
        <v>501</v>
      </c>
      <c r="L68" s="653" t="s">
        <v>495</v>
      </c>
      <c r="M68" s="654"/>
      <c r="N68" s="654"/>
      <c r="O68" s="654"/>
      <c r="P68" s="655"/>
      <c r="R68" s="1277"/>
      <c r="S68" s="1279" t="s">
        <v>501</v>
      </c>
      <c r="T68" s="649" t="s">
        <v>495</v>
      </c>
      <c r="U68" s="650"/>
      <c r="V68" s="650"/>
      <c r="W68" s="650"/>
      <c r="X68" s="651"/>
    </row>
    <row r="69" spans="2:24" ht="25.5">
      <c r="B69" s="1278"/>
      <c r="C69" s="1283"/>
      <c r="D69" s="636" t="s">
        <v>496</v>
      </c>
      <c r="E69" s="636" t="s">
        <v>497</v>
      </c>
      <c r="F69" s="636" t="s">
        <v>498</v>
      </c>
      <c r="G69" s="636" t="s">
        <v>499</v>
      </c>
      <c r="H69" s="656" t="s">
        <v>500</v>
      </c>
      <c r="I69" s="638"/>
      <c r="J69" s="657"/>
      <c r="K69" s="1280"/>
      <c r="L69" s="636" t="s">
        <v>496</v>
      </c>
      <c r="M69" s="636" t="s">
        <v>497</v>
      </c>
      <c r="N69" s="636" t="s">
        <v>498</v>
      </c>
      <c r="O69" s="636" t="s">
        <v>499</v>
      </c>
      <c r="P69" s="656" t="s">
        <v>500</v>
      </c>
      <c r="R69" s="1278"/>
      <c r="S69" s="1280"/>
      <c r="T69" s="636" t="s">
        <v>496</v>
      </c>
      <c r="U69" s="636" t="s">
        <v>497</v>
      </c>
      <c r="V69" s="636" t="s">
        <v>498</v>
      </c>
      <c r="W69" s="636" t="s">
        <v>499</v>
      </c>
      <c r="X69" s="656" t="s">
        <v>500</v>
      </c>
    </row>
    <row r="70" spans="2:24" ht="15" customHeight="1">
      <c r="B70" s="658" t="s">
        <v>414</v>
      </c>
      <c r="C70" s="644"/>
      <c r="D70" s="644"/>
      <c r="E70" s="644"/>
      <c r="F70" s="644"/>
      <c r="G70" s="645"/>
      <c r="H70" s="659"/>
      <c r="I70" s="638"/>
      <c r="J70" s="642" t="s">
        <v>414</v>
      </c>
      <c r="K70" s="660"/>
      <c r="L70" s="644"/>
      <c r="M70" s="644"/>
      <c r="N70" s="644"/>
      <c r="O70" s="645"/>
      <c r="P70" s="661"/>
      <c r="R70" s="642" t="s">
        <v>414</v>
      </c>
      <c r="S70" s="660"/>
      <c r="T70" s="644"/>
      <c r="U70" s="644"/>
      <c r="V70" s="644"/>
      <c r="W70" s="645"/>
      <c r="X70" s="661"/>
    </row>
    <row r="71" spans="2:24" ht="15" customHeight="1">
      <c r="B71" s="662" t="s">
        <v>223</v>
      </c>
      <c r="C71" s="640"/>
      <c r="D71" s="640"/>
      <c r="E71" s="640"/>
      <c r="F71" s="640"/>
      <c r="G71" s="624"/>
      <c r="H71" s="663"/>
      <c r="I71" s="638"/>
      <c r="J71" s="621" t="s">
        <v>223</v>
      </c>
      <c r="K71" s="664"/>
      <c r="L71" s="640"/>
      <c r="M71" s="640"/>
      <c r="N71" s="640"/>
      <c r="O71" s="624"/>
      <c r="P71" s="665"/>
      <c r="R71" s="621" t="s">
        <v>223</v>
      </c>
      <c r="S71" s="664"/>
      <c r="T71" s="640"/>
      <c r="U71" s="640"/>
      <c r="V71" s="640"/>
      <c r="W71" s="624"/>
      <c r="X71" s="665"/>
    </row>
    <row r="72" spans="2:24" ht="15" customHeight="1">
      <c r="B72" s="662" t="s">
        <v>403</v>
      </c>
      <c r="C72" s="640"/>
      <c r="D72" s="640"/>
      <c r="E72" s="640"/>
      <c r="F72" s="640"/>
      <c r="G72" s="624"/>
      <c r="H72" s="663"/>
      <c r="I72" s="638"/>
      <c r="J72" s="621" t="s">
        <v>403</v>
      </c>
      <c r="K72" s="664"/>
      <c r="L72" s="640"/>
      <c r="M72" s="640"/>
      <c r="N72" s="640"/>
      <c r="O72" s="624"/>
      <c r="P72" s="665"/>
      <c r="R72" s="621" t="s">
        <v>403</v>
      </c>
      <c r="S72" s="664"/>
      <c r="T72" s="640"/>
      <c r="U72" s="640"/>
      <c r="V72" s="640"/>
      <c r="W72" s="624"/>
      <c r="X72" s="665"/>
    </row>
    <row r="73" spans="2:24" ht="15" customHeight="1">
      <c r="B73" s="662" t="s">
        <v>482</v>
      </c>
      <c r="C73" s="640"/>
      <c r="D73" s="640"/>
      <c r="E73" s="640"/>
      <c r="F73" s="640"/>
      <c r="G73" s="624"/>
      <c r="H73" s="663"/>
      <c r="I73" s="638"/>
      <c r="J73" s="621" t="s">
        <v>482</v>
      </c>
      <c r="K73" s="664"/>
      <c r="L73" s="640"/>
      <c r="M73" s="640"/>
      <c r="N73" s="640"/>
      <c r="O73" s="624"/>
      <c r="P73" s="665"/>
      <c r="R73" s="621" t="s">
        <v>482</v>
      </c>
      <c r="S73" s="664"/>
      <c r="T73" s="640"/>
      <c r="U73" s="640"/>
      <c r="V73" s="640"/>
      <c r="W73" s="624"/>
      <c r="X73" s="665"/>
    </row>
    <row r="74" spans="2:24" ht="15" customHeight="1" thickBot="1">
      <c r="B74" s="666" t="s">
        <v>200</v>
      </c>
      <c r="C74" s="667">
        <f t="shared" ref="C74:H74" si="7">SUM(C70:C73)</f>
        <v>0</v>
      </c>
      <c r="D74" s="628">
        <f t="shared" si="7"/>
        <v>0</v>
      </c>
      <c r="E74" s="628">
        <f t="shared" si="7"/>
        <v>0</v>
      </c>
      <c r="F74" s="628">
        <f t="shared" si="7"/>
        <v>0</v>
      </c>
      <c r="G74" s="628">
        <f t="shared" si="7"/>
        <v>0</v>
      </c>
      <c r="H74" s="668">
        <f t="shared" si="7"/>
        <v>0</v>
      </c>
      <c r="I74" s="638"/>
      <c r="J74" s="626" t="s">
        <v>200</v>
      </c>
      <c r="K74" s="627">
        <f t="shared" ref="K74:P74" si="8">SUM(K70:K73)</f>
        <v>0</v>
      </c>
      <c r="L74" s="628">
        <f t="shared" si="8"/>
        <v>0</v>
      </c>
      <c r="M74" s="628">
        <f t="shared" si="8"/>
        <v>0</v>
      </c>
      <c r="N74" s="628">
        <f t="shared" si="8"/>
        <v>0</v>
      </c>
      <c r="O74" s="628">
        <f t="shared" si="8"/>
        <v>0</v>
      </c>
      <c r="P74" s="668">
        <f t="shared" si="8"/>
        <v>0</v>
      </c>
      <c r="R74" s="626" t="s">
        <v>200</v>
      </c>
      <c r="S74" s="627">
        <f t="shared" ref="S74:X74" si="9">SUM(S70:S73)</f>
        <v>0</v>
      </c>
      <c r="T74" s="628">
        <f t="shared" si="9"/>
        <v>0</v>
      </c>
      <c r="U74" s="628">
        <f t="shared" si="9"/>
        <v>0</v>
      </c>
      <c r="V74" s="628">
        <f t="shared" si="9"/>
        <v>0</v>
      </c>
      <c r="W74" s="628">
        <f t="shared" si="9"/>
        <v>0</v>
      </c>
      <c r="X74" s="668">
        <f t="shared" si="9"/>
        <v>0</v>
      </c>
    </row>
    <row r="75" spans="2:24" ht="15" customHeight="1" thickBot="1">
      <c r="B75" s="647"/>
      <c r="C75" s="648"/>
      <c r="D75" s="648"/>
      <c r="E75" s="648"/>
      <c r="F75" s="648"/>
      <c r="G75" s="648"/>
      <c r="H75" s="648"/>
      <c r="I75" s="638"/>
      <c r="J75" s="669"/>
      <c r="K75" s="670"/>
      <c r="L75" s="670"/>
      <c r="M75" s="670"/>
      <c r="N75" s="670"/>
      <c r="O75" s="670"/>
      <c r="P75" s="670"/>
      <c r="R75" s="647"/>
      <c r="S75" s="648"/>
      <c r="T75" s="648"/>
      <c r="U75" s="648"/>
      <c r="V75" s="648"/>
      <c r="W75" s="648"/>
      <c r="X75" s="648"/>
    </row>
    <row r="76" spans="2:24" ht="15" customHeight="1">
      <c r="B76" s="1274" t="s">
        <v>491</v>
      </c>
      <c r="C76" s="1275"/>
      <c r="D76" s="1275"/>
      <c r="E76" s="1275"/>
      <c r="F76" s="1275"/>
      <c r="G76" s="1275"/>
      <c r="H76" s="1276"/>
      <c r="J76" s="1274" t="s">
        <v>492</v>
      </c>
      <c r="K76" s="1275"/>
      <c r="L76" s="1275"/>
      <c r="M76" s="1275"/>
      <c r="N76" s="1275"/>
      <c r="O76" s="1275"/>
      <c r="P76" s="1276"/>
      <c r="R76" s="1274" t="s">
        <v>192</v>
      </c>
      <c r="S76" s="1275"/>
      <c r="T76" s="1275"/>
      <c r="U76" s="1275"/>
      <c r="V76" s="1275"/>
      <c r="W76" s="1275"/>
      <c r="X76" s="1276"/>
    </row>
    <row r="77" spans="2:24" ht="15" customHeight="1">
      <c r="B77" s="1277"/>
      <c r="C77" s="1281" t="s">
        <v>502</v>
      </c>
      <c r="D77" s="653" t="s">
        <v>503</v>
      </c>
      <c r="E77" s="654"/>
      <c r="F77" s="654"/>
      <c r="G77" s="654"/>
      <c r="H77" s="655"/>
      <c r="J77" s="631"/>
      <c r="K77" s="1281" t="s">
        <v>502</v>
      </c>
      <c r="L77" s="653" t="s">
        <v>504</v>
      </c>
      <c r="M77" s="654"/>
      <c r="N77" s="654"/>
      <c r="O77" s="654"/>
      <c r="P77" s="655"/>
      <c r="R77" s="1277"/>
      <c r="S77" s="1281" t="s">
        <v>502</v>
      </c>
      <c r="T77" s="653" t="s">
        <v>504</v>
      </c>
      <c r="U77" s="654"/>
      <c r="V77" s="654"/>
      <c r="W77" s="654"/>
      <c r="X77" s="655"/>
    </row>
    <row r="78" spans="2:24" ht="25.5">
      <c r="B78" s="1278"/>
      <c r="C78" s="1280"/>
      <c r="D78" s="636" t="s">
        <v>496</v>
      </c>
      <c r="E78" s="636" t="s">
        <v>497</v>
      </c>
      <c r="F78" s="636" t="s">
        <v>498</v>
      </c>
      <c r="G78" s="636" t="s">
        <v>499</v>
      </c>
      <c r="H78" s="656" t="s">
        <v>500</v>
      </c>
      <c r="J78" s="671"/>
      <c r="K78" s="1280"/>
      <c r="L78" s="636" t="s">
        <v>496</v>
      </c>
      <c r="M78" s="636" t="s">
        <v>497</v>
      </c>
      <c r="N78" s="636" t="s">
        <v>498</v>
      </c>
      <c r="O78" s="636" t="s">
        <v>499</v>
      </c>
      <c r="P78" s="656" t="s">
        <v>500</v>
      </c>
      <c r="R78" s="1278"/>
      <c r="S78" s="1280"/>
      <c r="T78" s="636" t="s">
        <v>496</v>
      </c>
      <c r="U78" s="636" t="s">
        <v>497</v>
      </c>
      <c r="V78" s="636" t="s">
        <v>498</v>
      </c>
      <c r="W78" s="636" t="s">
        <v>499</v>
      </c>
      <c r="X78" s="656" t="s">
        <v>500</v>
      </c>
    </row>
    <row r="79" spans="2:24" ht="15" customHeight="1">
      <c r="B79" s="642" t="s">
        <v>414</v>
      </c>
      <c r="C79" s="672"/>
      <c r="D79" s="673"/>
      <c r="E79" s="673"/>
      <c r="F79" s="673"/>
      <c r="G79" s="588"/>
      <c r="H79" s="674"/>
      <c r="J79" s="642" t="s">
        <v>414</v>
      </c>
      <c r="K79" s="672">
        <f>SUM(G33:H33)</f>
        <v>0</v>
      </c>
      <c r="L79" s="673"/>
      <c r="M79" s="673"/>
      <c r="N79" s="673"/>
      <c r="O79" s="675"/>
      <c r="P79" s="676"/>
      <c r="R79" s="642" t="s">
        <v>414</v>
      </c>
      <c r="S79" s="672">
        <f>SUM(I33:M33)</f>
        <v>0</v>
      </c>
      <c r="T79" s="673"/>
      <c r="U79" s="673"/>
      <c r="V79" s="673"/>
      <c r="W79" s="675"/>
      <c r="X79" s="676"/>
    </row>
    <row r="80" spans="2:24" ht="15" customHeight="1">
      <c r="B80" s="621" t="s">
        <v>223</v>
      </c>
      <c r="C80" s="672"/>
      <c r="D80" s="585"/>
      <c r="E80" s="585"/>
      <c r="F80" s="585"/>
      <c r="G80" s="588"/>
      <c r="H80" s="674"/>
      <c r="J80" s="621" t="s">
        <v>223</v>
      </c>
      <c r="K80" s="672">
        <f>SUM(G34:H34)</f>
        <v>0</v>
      </c>
      <c r="L80" s="585"/>
      <c r="M80" s="585"/>
      <c r="N80" s="585"/>
      <c r="O80" s="588"/>
      <c r="P80" s="674"/>
      <c r="R80" s="621" t="s">
        <v>223</v>
      </c>
      <c r="S80" s="672">
        <f>SUM(I34:M34)</f>
        <v>0</v>
      </c>
      <c r="T80" s="585"/>
      <c r="U80" s="585"/>
      <c r="V80" s="585"/>
      <c r="W80" s="588"/>
      <c r="X80" s="674"/>
    </row>
    <row r="81" spans="2:24" ht="15" customHeight="1">
      <c r="B81" s="621" t="s">
        <v>403</v>
      </c>
      <c r="C81" s="672"/>
      <c r="D81" s="585"/>
      <c r="E81" s="585"/>
      <c r="F81" s="585"/>
      <c r="G81" s="588"/>
      <c r="H81" s="674"/>
      <c r="J81" s="621" t="s">
        <v>403</v>
      </c>
      <c r="K81" s="672">
        <f>SUM(G35:H35)</f>
        <v>0</v>
      </c>
      <c r="L81" s="585"/>
      <c r="M81" s="585"/>
      <c r="N81" s="585"/>
      <c r="O81" s="588"/>
      <c r="P81" s="674"/>
      <c r="R81" s="621" t="s">
        <v>403</v>
      </c>
      <c r="S81" s="672">
        <f>SUM(I35:M35)</f>
        <v>0</v>
      </c>
      <c r="T81" s="585"/>
      <c r="U81" s="585"/>
      <c r="V81" s="585"/>
      <c r="W81" s="588"/>
      <c r="X81" s="674"/>
    </row>
    <row r="82" spans="2:24" ht="15" customHeight="1">
      <c r="B82" s="621" t="s">
        <v>482</v>
      </c>
      <c r="C82" s="672"/>
      <c r="D82" s="585"/>
      <c r="E82" s="585"/>
      <c r="F82" s="585"/>
      <c r="G82" s="588"/>
      <c r="H82" s="674"/>
      <c r="J82" s="621" t="s">
        <v>482</v>
      </c>
      <c r="K82" s="672">
        <f>SUM(G36:H36)</f>
        <v>0</v>
      </c>
      <c r="L82" s="585"/>
      <c r="M82" s="585"/>
      <c r="N82" s="585"/>
      <c r="O82" s="588"/>
      <c r="P82" s="674"/>
      <c r="R82" s="621" t="s">
        <v>482</v>
      </c>
      <c r="S82" s="672">
        <f>SUM(I36:M36)</f>
        <v>0</v>
      </c>
      <c r="T82" s="585"/>
      <c r="U82" s="585"/>
      <c r="V82" s="585"/>
      <c r="W82" s="588"/>
      <c r="X82" s="674"/>
    </row>
    <row r="83" spans="2:24" ht="15" customHeight="1" thickBot="1">
      <c r="B83" s="626" t="s">
        <v>200</v>
      </c>
      <c r="C83" s="677">
        <f t="shared" ref="C83:H83" si="10">SUM(C79:C82)</f>
        <v>0</v>
      </c>
      <c r="D83" s="678">
        <f t="shared" si="10"/>
        <v>0</v>
      </c>
      <c r="E83" s="678">
        <f t="shared" si="10"/>
        <v>0</v>
      </c>
      <c r="F83" s="678">
        <f t="shared" si="10"/>
        <v>0</v>
      </c>
      <c r="G83" s="678">
        <f t="shared" si="10"/>
        <v>0</v>
      </c>
      <c r="H83" s="668">
        <f t="shared" si="10"/>
        <v>0</v>
      </c>
      <c r="J83" s="626" t="s">
        <v>200</v>
      </c>
      <c r="K83" s="677">
        <f t="shared" ref="K83:P83" si="11">SUM(K79:K82)</f>
        <v>0</v>
      </c>
      <c r="L83" s="678">
        <f t="shared" si="11"/>
        <v>0</v>
      </c>
      <c r="M83" s="678">
        <f t="shared" si="11"/>
        <v>0</v>
      </c>
      <c r="N83" s="678">
        <f t="shared" si="11"/>
        <v>0</v>
      </c>
      <c r="O83" s="678">
        <f t="shared" si="11"/>
        <v>0</v>
      </c>
      <c r="P83" s="668">
        <f t="shared" si="11"/>
        <v>0</v>
      </c>
      <c r="R83" s="626" t="s">
        <v>200</v>
      </c>
      <c r="S83" s="677">
        <f t="shared" ref="S83:X83" si="12">SUM(S79:S82)</f>
        <v>0</v>
      </c>
      <c r="T83" s="678">
        <f t="shared" si="12"/>
        <v>0</v>
      </c>
      <c r="U83" s="678">
        <f t="shared" si="12"/>
        <v>0</v>
      </c>
      <c r="V83" s="678">
        <f t="shared" si="12"/>
        <v>0</v>
      </c>
      <c r="W83" s="678">
        <f t="shared" si="12"/>
        <v>0</v>
      </c>
      <c r="X83" s="668">
        <f t="shared" si="12"/>
        <v>0</v>
      </c>
    </row>
    <row r="84" spans="2:24" ht="15" customHeight="1" thickBot="1">
      <c r="J84" s="679"/>
      <c r="K84" s="679"/>
      <c r="L84" s="679"/>
      <c r="M84" s="679"/>
      <c r="N84" s="679"/>
      <c r="O84" s="679"/>
      <c r="P84" s="679"/>
    </row>
    <row r="85" spans="2:24" ht="15" customHeight="1">
      <c r="B85" s="1274" t="s">
        <v>491</v>
      </c>
      <c r="C85" s="1275"/>
      <c r="D85" s="1275"/>
      <c r="E85" s="1275"/>
      <c r="F85" s="1275"/>
      <c r="G85" s="1275"/>
      <c r="H85" s="1276"/>
      <c r="J85" s="1274" t="s">
        <v>492</v>
      </c>
      <c r="K85" s="1275"/>
      <c r="L85" s="1275"/>
      <c r="M85" s="1275"/>
      <c r="N85" s="1275"/>
      <c r="O85" s="1275"/>
      <c r="P85" s="1276"/>
      <c r="R85" s="1274" t="s">
        <v>192</v>
      </c>
      <c r="S85" s="1275"/>
      <c r="T85" s="1275"/>
      <c r="U85" s="1275"/>
      <c r="V85" s="1275"/>
      <c r="W85" s="1275"/>
      <c r="X85" s="1276"/>
    </row>
    <row r="86" spans="2:24" ht="15" customHeight="1">
      <c r="B86" s="1277"/>
      <c r="C86" s="1281" t="s">
        <v>505</v>
      </c>
      <c r="D86" s="1290" t="s">
        <v>506</v>
      </c>
      <c r="E86" s="1291"/>
      <c r="F86" s="1291"/>
      <c r="G86" s="1291"/>
      <c r="H86" s="1292"/>
      <c r="J86" s="631"/>
      <c r="K86" s="1281" t="s">
        <v>505</v>
      </c>
      <c r="L86" s="653" t="s">
        <v>507</v>
      </c>
      <c r="M86" s="654"/>
      <c r="N86" s="654"/>
      <c r="O86" s="654"/>
      <c r="P86" s="655"/>
      <c r="R86" s="1277"/>
      <c r="S86" s="1281" t="s">
        <v>505</v>
      </c>
      <c r="T86" s="653" t="s">
        <v>507</v>
      </c>
      <c r="U86" s="654"/>
      <c r="V86" s="654"/>
      <c r="W86" s="654"/>
      <c r="X86" s="655"/>
    </row>
    <row r="87" spans="2:24" ht="26.25" thickBot="1">
      <c r="B87" s="1278"/>
      <c r="C87" s="1280"/>
      <c r="D87" s="636" t="s">
        <v>496</v>
      </c>
      <c r="E87" s="636" t="s">
        <v>497</v>
      </c>
      <c r="F87" s="636" t="s">
        <v>498</v>
      </c>
      <c r="G87" s="636" t="s">
        <v>499</v>
      </c>
      <c r="H87" s="680" t="s">
        <v>500</v>
      </c>
      <c r="J87" s="671"/>
      <c r="K87" s="1280"/>
      <c r="L87" s="636" t="s">
        <v>496</v>
      </c>
      <c r="M87" s="636" t="s">
        <v>497</v>
      </c>
      <c r="N87" s="636" t="s">
        <v>498</v>
      </c>
      <c r="O87" s="636" t="s">
        <v>499</v>
      </c>
      <c r="P87" s="656"/>
      <c r="R87" s="1278"/>
      <c r="S87" s="1280"/>
      <c r="T87" s="636" t="s">
        <v>496</v>
      </c>
      <c r="U87" s="636" t="s">
        <v>497</v>
      </c>
      <c r="V87" s="636" t="s">
        <v>498</v>
      </c>
      <c r="W87" s="636" t="s">
        <v>499</v>
      </c>
      <c r="X87" s="656"/>
    </row>
    <row r="88" spans="2:24" ht="15" customHeight="1">
      <c r="B88" s="642" t="s">
        <v>414</v>
      </c>
      <c r="C88" s="672">
        <f t="shared" ref="C88:G91" si="13">IF(C70&gt;0,C79*1000/C70,0)</f>
        <v>0</v>
      </c>
      <c r="D88" s="681">
        <f t="shared" si="13"/>
        <v>0</v>
      </c>
      <c r="E88" s="681">
        <f t="shared" si="13"/>
        <v>0</v>
      </c>
      <c r="F88" s="681">
        <f t="shared" si="13"/>
        <v>0</v>
      </c>
      <c r="G88" s="681">
        <f t="shared" si="13"/>
        <v>0</v>
      </c>
      <c r="H88" s="682"/>
      <c r="J88" s="642" t="s">
        <v>414</v>
      </c>
      <c r="K88" s="672">
        <f t="shared" ref="K88:O91" si="14">IF(K70&gt;0,K79*1000/K70,0)</f>
        <v>0</v>
      </c>
      <c r="L88" s="681">
        <f t="shared" si="14"/>
        <v>0</v>
      </c>
      <c r="M88" s="681">
        <f t="shared" si="14"/>
        <v>0</v>
      </c>
      <c r="N88" s="681">
        <f t="shared" si="14"/>
        <v>0</v>
      </c>
      <c r="O88" s="681">
        <f t="shared" si="14"/>
        <v>0</v>
      </c>
      <c r="P88" s="676"/>
      <c r="R88" s="642" t="s">
        <v>414</v>
      </c>
      <c r="S88" s="672">
        <f t="shared" ref="S88:W91" si="15">IF(S70&gt;0,S79*1000/S70,0)</f>
        <v>0</v>
      </c>
      <c r="T88" s="681">
        <f t="shared" si="15"/>
        <v>0</v>
      </c>
      <c r="U88" s="681">
        <f t="shared" si="15"/>
        <v>0</v>
      </c>
      <c r="V88" s="681">
        <f t="shared" si="15"/>
        <v>0</v>
      </c>
      <c r="W88" s="681">
        <f t="shared" si="15"/>
        <v>0</v>
      </c>
      <c r="X88" s="676"/>
    </row>
    <row r="89" spans="2:24" ht="15" customHeight="1">
      <c r="B89" s="621" t="s">
        <v>223</v>
      </c>
      <c r="C89" s="683">
        <f t="shared" si="13"/>
        <v>0</v>
      </c>
      <c r="D89" s="684">
        <f t="shared" si="13"/>
        <v>0</v>
      </c>
      <c r="E89" s="684">
        <f t="shared" si="13"/>
        <v>0</v>
      </c>
      <c r="F89" s="684">
        <f t="shared" si="13"/>
        <v>0</v>
      </c>
      <c r="G89" s="684">
        <f t="shared" si="13"/>
        <v>0</v>
      </c>
      <c r="H89" s="674"/>
      <c r="J89" s="621" t="s">
        <v>223</v>
      </c>
      <c r="K89" s="683">
        <f t="shared" si="14"/>
        <v>0</v>
      </c>
      <c r="L89" s="684">
        <f t="shared" si="14"/>
        <v>0</v>
      </c>
      <c r="M89" s="684">
        <f t="shared" si="14"/>
        <v>0</v>
      </c>
      <c r="N89" s="684">
        <f t="shared" si="14"/>
        <v>0</v>
      </c>
      <c r="O89" s="684">
        <f t="shared" si="14"/>
        <v>0</v>
      </c>
      <c r="P89" s="674"/>
      <c r="R89" s="621" t="s">
        <v>223</v>
      </c>
      <c r="S89" s="683">
        <f t="shared" si="15"/>
        <v>0</v>
      </c>
      <c r="T89" s="684">
        <f t="shared" si="15"/>
        <v>0</v>
      </c>
      <c r="U89" s="684">
        <f t="shared" si="15"/>
        <v>0</v>
      </c>
      <c r="V89" s="684">
        <f t="shared" si="15"/>
        <v>0</v>
      </c>
      <c r="W89" s="684">
        <f t="shared" si="15"/>
        <v>0</v>
      </c>
      <c r="X89" s="674"/>
    </row>
    <row r="90" spans="2:24" ht="15" customHeight="1">
      <c r="B90" s="621" t="s">
        <v>403</v>
      </c>
      <c r="C90" s="683">
        <f t="shared" si="13"/>
        <v>0</v>
      </c>
      <c r="D90" s="684">
        <f t="shared" si="13"/>
        <v>0</v>
      </c>
      <c r="E90" s="684">
        <f t="shared" si="13"/>
        <v>0</v>
      </c>
      <c r="F90" s="684">
        <f t="shared" si="13"/>
        <v>0</v>
      </c>
      <c r="G90" s="684">
        <f t="shared" si="13"/>
        <v>0</v>
      </c>
      <c r="H90" s="674"/>
      <c r="J90" s="621" t="s">
        <v>403</v>
      </c>
      <c r="K90" s="683">
        <f t="shared" si="14"/>
        <v>0</v>
      </c>
      <c r="L90" s="684">
        <f t="shared" si="14"/>
        <v>0</v>
      </c>
      <c r="M90" s="684">
        <f t="shared" si="14"/>
        <v>0</v>
      </c>
      <c r="N90" s="684">
        <f t="shared" si="14"/>
        <v>0</v>
      </c>
      <c r="O90" s="684">
        <f t="shared" si="14"/>
        <v>0</v>
      </c>
      <c r="P90" s="674"/>
      <c r="R90" s="621" t="s">
        <v>403</v>
      </c>
      <c r="S90" s="683">
        <f t="shared" si="15"/>
        <v>0</v>
      </c>
      <c r="T90" s="684">
        <f t="shared" si="15"/>
        <v>0</v>
      </c>
      <c r="U90" s="684">
        <f t="shared" si="15"/>
        <v>0</v>
      </c>
      <c r="V90" s="684">
        <f t="shared" si="15"/>
        <v>0</v>
      </c>
      <c r="W90" s="684">
        <f t="shared" si="15"/>
        <v>0</v>
      </c>
      <c r="X90" s="674"/>
    </row>
    <row r="91" spans="2:24" ht="15" customHeight="1" thickBot="1">
      <c r="B91" s="685" t="s">
        <v>482</v>
      </c>
      <c r="C91" s="686">
        <f t="shared" si="13"/>
        <v>0</v>
      </c>
      <c r="D91" s="687">
        <f t="shared" si="13"/>
        <v>0</v>
      </c>
      <c r="E91" s="687">
        <f t="shared" si="13"/>
        <v>0</v>
      </c>
      <c r="F91" s="687">
        <f t="shared" si="13"/>
        <v>0</v>
      </c>
      <c r="G91" s="687">
        <f t="shared" si="13"/>
        <v>0</v>
      </c>
      <c r="H91" s="688"/>
      <c r="J91" s="685" t="s">
        <v>482</v>
      </c>
      <c r="K91" s="686">
        <f t="shared" si="14"/>
        <v>0</v>
      </c>
      <c r="L91" s="687">
        <f t="shared" si="14"/>
        <v>0</v>
      </c>
      <c r="M91" s="687">
        <f t="shared" si="14"/>
        <v>0</v>
      </c>
      <c r="N91" s="687">
        <f t="shared" si="14"/>
        <v>0</v>
      </c>
      <c r="O91" s="687">
        <f t="shared" si="14"/>
        <v>0</v>
      </c>
      <c r="P91" s="688"/>
      <c r="R91" s="685" t="s">
        <v>482</v>
      </c>
      <c r="S91" s="686">
        <f t="shared" si="15"/>
        <v>0</v>
      </c>
      <c r="T91" s="687">
        <f t="shared" si="15"/>
        <v>0</v>
      </c>
      <c r="U91" s="687">
        <f t="shared" si="15"/>
        <v>0</v>
      </c>
      <c r="V91" s="687">
        <f t="shared" si="15"/>
        <v>0</v>
      </c>
      <c r="W91" s="687">
        <f t="shared" si="15"/>
        <v>0</v>
      </c>
      <c r="X91" s="688"/>
    </row>
    <row r="92" spans="2:24" ht="15" customHeight="1"/>
    <row r="93" spans="2:24" ht="15" customHeight="1"/>
    <row r="94" spans="2:24" ht="15" customHeight="1">
      <c r="B94" s="567" t="s">
        <v>508</v>
      </c>
    </row>
    <row r="95" spans="2:24" ht="15" customHeight="1" thickBot="1"/>
    <row r="96" spans="2:24" ht="15" customHeight="1">
      <c r="B96" s="689"/>
      <c r="C96" s="618" t="s">
        <v>485</v>
      </c>
      <c r="D96" s="619" t="s">
        <v>486</v>
      </c>
      <c r="E96" s="619" t="s">
        <v>487</v>
      </c>
      <c r="F96" s="619" t="s">
        <v>488</v>
      </c>
      <c r="G96" s="619" t="s">
        <v>489</v>
      </c>
      <c r="H96" s="620" t="s">
        <v>490</v>
      </c>
      <c r="I96" s="567"/>
    </row>
    <row r="97" spans="2:24" ht="15" customHeight="1">
      <c r="B97" s="642" t="s">
        <v>414</v>
      </c>
      <c r="C97" s="643">
        <f>D97+E97</f>
        <v>0</v>
      </c>
      <c r="D97" s="690">
        <f>C107</f>
        <v>0</v>
      </c>
      <c r="E97" s="645"/>
      <c r="F97" s="690">
        <f>K107</f>
        <v>0</v>
      </c>
      <c r="G97" s="690">
        <f>S107</f>
        <v>0</v>
      </c>
      <c r="H97" s="691">
        <f>E97-SUM(F97:G97)</f>
        <v>0</v>
      </c>
      <c r="I97" s="567"/>
    </row>
    <row r="98" spans="2:24" ht="15" customHeight="1">
      <c r="B98" s="621" t="s">
        <v>223</v>
      </c>
      <c r="C98" s="643">
        <f>D98+E98</f>
        <v>0</v>
      </c>
      <c r="D98" s="690">
        <f>C108</f>
        <v>0</v>
      </c>
      <c r="E98" s="645"/>
      <c r="F98" s="690">
        <f>K108</f>
        <v>0</v>
      </c>
      <c r="G98" s="690">
        <f>S108</f>
        <v>0</v>
      </c>
      <c r="H98" s="691">
        <f>E98-SUM(F98:G98)</f>
        <v>0</v>
      </c>
      <c r="I98" s="567"/>
    </row>
    <row r="99" spans="2:24" ht="15" customHeight="1">
      <c r="B99" s="621" t="s">
        <v>403</v>
      </c>
      <c r="C99" s="643">
        <f>D99+E99</f>
        <v>0</v>
      </c>
      <c r="D99" s="690">
        <f>C109</f>
        <v>0</v>
      </c>
      <c r="E99" s="645"/>
      <c r="F99" s="690">
        <f>K109</f>
        <v>0</v>
      </c>
      <c r="G99" s="690">
        <f>S109</f>
        <v>0</v>
      </c>
      <c r="H99" s="691">
        <f>E99-SUM(F99:G99)</f>
        <v>0</v>
      </c>
      <c r="I99" s="567"/>
    </row>
    <row r="100" spans="2:24" ht="15" customHeight="1">
      <c r="B100" s="621" t="s">
        <v>482</v>
      </c>
      <c r="C100" s="643">
        <f>D100+E100</f>
        <v>0</v>
      </c>
      <c r="D100" s="690">
        <f>C110</f>
        <v>0</v>
      </c>
      <c r="E100" s="645"/>
      <c r="F100" s="690">
        <f>K110</f>
        <v>0</v>
      </c>
      <c r="G100" s="690">
        <f>S110</f>
        <v>0</v>
      </c>
      <c r="H100" s="691">
        <f>E100-SUM(F100:G100)</f>
        <v>0</v>
      </c>
      <c r="I100" s="567"/>
    </row>
    <row r="101" spans="2:24" ht="15" customHeight="1" thickBot="1">
      <c r="B101" s="626" t="s">
        <v>200</v>
      </c>
      <c r="C101" s="627">
        <f t="shared" ref="C101:H101" si="16">SUM(C97:C100)</f>
        <v>0</v>
      </c>
      <c r="D101" s="628">
        <f t="shared" si="16"/>
        <v>0</v>
      </c>
      <c r="E101" s="628">
        <f t="shared" si="16"/>
        <v>0</v>
      </c>
      <c r="F101" s="628">
        <f t="shared" si="16"/>
        <v>0</v>
      </c>
      <c r="G101" s="628">
        <f t="shared" si="16"/>
        <v>0</v>
      </c>
      <c r="H101" s="629">
        <f t="shared" si="16"/>
        <v>0</v>
      </c>
      <c r="I101" s="567"/>
    </row>
    <row r="102" spans="2:24" ht="15" customHeight="1">
      <c r="B102" s="567"/>
      <c r="C102" s="567"/>
      <c r="D102" s="567"/>
      <c r="E102" s="567"/>
      <c r="F102" s="567"/>
      <c r="G102" s="567"/>
      <c r="H102" s="567"/>
      <c r="I102" s="567"/>
    </row>
    <row r="103" spans="2:24" ht="15" customHeight="1" thickBot="1"/>
    <row r="104" spans="2:24" ht="15" customHeight="1">
      <c r="B104" s="1274" t="s">
        <v>491</v>
      </c>
      <c r="C104" s="1275"/>
      <c r="D104" s="1275"/>
      <c r="E104" s="1275"/>
      <c r="F104" s="1275"/>
      <c r="G104" s="1275"/>
      <c r="H104" s="1276"/>
      <c r="I104" s="630"/>
      <c r="J104" s="1274" t="s">
        <v>492</v>
      </c>
      <c r="K104" s="1275"/>
      <c r="L104" s="1275"/>
      <c r="M104" s="1275"/>
      <c r="N104" s="1275"/>
      <c r="O104" s="1275"/>
      <c r="P104" s="1276"/>
      <c r="R104" s="1274" t="s">
        <v>192</v>
      </c>
      <c r="S104" s="1275"/>
      <c r="T104" s="1275"/>
      <c r="U104" s="1275"/>
      <c r="V104" s="1275"/>
      <c r="W104" s="1275"/>
      <c r="X104" s="1276"/>
    </row>
    <row r="105" spans="2:24" ht="15" customHeight="1">
      <c r="B105" s="1277"/>
      <c r="C105" s="1281" t="s">
        <v>493</v>
      </c>
      <c r="D105" s="1284" t="s">
        <v>494</v>
      </c>
      <c r="E105" s="1285"/>
      <c r="F105" s="1285"/>
      <c r="G105" s="1285"/>
      <c r="H105" s="1286"/>
      <c r="J105" s="692"/>
      <c r="K105" s="1287" t="s">
        <v>493</v>
      </c>
      <c r="L105" s="649" t="s">
        <v>495</v>
      </c>
      <c r="M105" s="650"/>
      <c r="N105" s="650"/>
      <c r="O105" s="650"/>
      <c r="P105" s="651"/>
      <c r="R105" s="631"/>
      <c r="S105" s="1289" t="s">
        <v>493</v>
      </c>
      <c r="T105" s="653" t="s">
        <v>495</v>
      </c>
      <c r="U105" s="654"/>
      <c r="V105" s="654"/>
      <c r="W105" s="654"/>
      <c r="X105" s="655"/>
    </row>
    <row r="106" spans="2:24" ht="25.5">
      <c r="B106" s="1278"/>
      <c r="C106" s="1280"/>
      <c r="D106" s="636" t="s">
        <v>509</v>
      </c>
      <c r="E106" s="636" t="s">
        <v>498</v>
      </c>
      <c r="F106" s="636" t="s">
        <v>411</v>
      </c>
      <c r="G106" s="636" t="s">
        <v>510</v>
      </c>
      <c r="H106" s="637" t="s">
        <v>500</v>
      </c>
      <c r="I106" s="638"/>
      <c r="J106" s="639"/>
      <c r="K106" s="1288"/>
      <c r="L106" s="636" t="s">
        <v>509</v>
      </c>
      <c r="M106" s="636" t="s">
        <v>498</v>
      </c>
      <c r="N106" s="636" t="s">
        <v>411</v>
      </c>
      <c r="O106" s="636" t="s">
        <v>510</v>
      </c>
      <c r="P106" s="637" t="s">
        <v>500</v>
      </c>
      <c r="R106" s="639"/>
      <c r="S106" s="1288"/>
      <c r="T106" s="693" t="s">
        <v>509</v>
      </c>
      <c r="U106" s="693" t="s">
        <v>498</v>
      </c>
      <c r="V106" s="693" t="s">
        <v>411</v>
      </c>
      <c r="W106" s="693" t="s">
        <v>510</v>
      </c>
      <c r="X106" s="694" t="s">
        <v>500</v>
      </c>
    </row>
    <row r="107" spans="2:24" ht="15" customHeight="1">
      <c r="B107" s="642" t="s">
        <v>414</v>
      </c>
      <c r="C107" s="643">
        <f>SUM(D107:H107)</f>
        <v>0</v>
      </c>
      <c r="D107" s="644"/>
      <c r="E107" s="644"/>
      <c r="F107" s="644"/>
      <c r="G107" s="645"/>
      <c r="H107" s="646"/>
      <c r="I107" s="638"/>
      <c r="J107" s="642" t="s">
        <v>414</v>
      </c>
      <c r="K107" s="643">
        <f>SUM(L107:P107)</f>
        <v>0</v>
      </c>
      <c r="L107" s="644"/>
      <c r="M107" s="644"/>
      <c r="N107" s="644"/>
      <c r="O107" s="645"/>
      <c r="P107" s="646"/>
      <c r="R107" s="642" t="s">
        <v>414</v>
      </c>
      <c r="S107" s="643">
        <f>SUM(T107:X107)</f>
        <v>0</v>
      </c>
      <c r="T107" s="644"/>
      <c r="U107" s="644"/>
      <c r="V107" s="644"/>
      <c r="W107" s="645"/>
      <c r="X107" s="646"/>
    </row>
    <row r="108" spans="2:24" ht="15" customHeight="1">
      <c r="B108" s="621" t="s">
        <v>223</v>
      </c>
      <c r="C108" s="643">
        <f>SUM(D108:H108)</f>
        <v>0</v>
      </c>
      <c r="D108" s="640"/>
      <c r="E108" s="640"/>
      <c r="F108" s="640"/>
      <c r="G108" s="624"/>
      <c r="H108" s="641"/>
      <c r="I108" s="638"/>
      <c r="J108" s="621" t="s">
        <v>223</v>
      </c>
      <c r="K108" s="643">
        <f>SUM(L108:P108)</f>
        <v>0</v>
      </c>
      <c r="L108" s="640"/>
      <c r="M108" s="640"/>
      <c r="N108" s="640"/>
      <c r="O108" s="624"/>
      <c r="P108" s="641"/>
      <c r="R108" s="621" t="s">
        <v>223</v>
      </c>
      <c r="S108" s="643">
        <f>SUM(T108:X108)</f>
        <v>0</v>
      </c>
      <c r="T108" s="640"/>
      <c r="U108" s="640"/>
      <c r="V108" s="640"/>
      <c r="W108" s="624"/>
      <c r="X108" s="641"/>
    </row>
    <row r="109" spans="2:24" ht="15" customHeight="1">
      <c r="B109" s="621" t="s">
        <v>403</v>
      </c>
      <c r="C109" s="643">
        <f>SUM(D109:H109)</f>
        <v>0</v>
      </c>
      <c r="D109" s="640"/>
      <c r="E109" s="640"/>
      <c r="F109" s="640"/>
      <c r="G109" s="624"/>
      <c r="H109" s="641"/>
      <c r="I109" s="638"/>
      <c r="J109" s="621" t="s">
        <v>403</v>
      </c>
      <c r="K109" s="643">
        <f>SUM(L109:P109)</f>
        <v>0</v>
      </c>
      <c r="L109" s="640"/>
      <c r="M109" s="640"/>
      <c r="N109" s="640"/>
      <c r="O109" s="624"/>
      <c r="P109" s="641"/>
      <c r="R109" s="621" t="s">
        <v>403</v>
      </c>
      <c r="S109" s="643">
        <f>SUM(T109:X109)</f>
        <v>0</v>
      </c>
      <c r="T109" s="640"/>
      <c r="U109" s="640"/>
      <c r="V109" s="640"/>
      <c r="W109" s="624"/>
      <c r="X109" s="641"/>
    </row>
    <row r="110" spans="2:24" ht="15" customHeight="1">
      <c r="B110" s="621" t="s">
        <v>482</v>
      </c>
      <c r="C110" s="643">
        <f>SUM(D110:H110)</f>
        <v>0</v>
      </c>
      <c r="D110" s="640"/>
      <c r="E110" s="640"/>
      <c r="F110" s="640"/>
      <c r="G110" s="624"/>
      <c r="H110" s="641"/>
      <c r="I110" s="638"/>
      <c r="J110" s="621" t="s">
        <v>482</v>
      </c>
      <c r="K110" s="643">
        <f>SUM(L110:P110)</f>
        <v>0</v>
      </c>
      <c r="L110" s="640"/>
      <c r="M110" s="640"/>
      <c r="N110" s="640"/>
      <c r="O110" s="624"/>
      <c r="P110" s="641"/>
      <c r="R110" s="621" t="s">
        <v>482</v>
      </c>
      <c r="S110" s="643">
        <f>SUM(T110:X110)</f>
        <v>0</v>
      </c>
      <c r="T110" s="640"/>
      <c r="U110" s="640"/>
      <c r="V110" s="640"/>
      <c r="W110" s="624"/>
      <c r="X110" s="641"/>
    </row>
    <row r="111" spans="2:24" ht="15" customHeight="1" thickBot="1">
      <c r="B111" s="626" t="s">
        <v>200</v>
      </c>
      <c r="C111" s="627">
        <f t="shared" ref="C111:H111" si="17">SUM(C107:C110)</f>
        <v>0</v>
      </c>
      <c r="D111" s="628">
        <f t="shared" si="17"/>
        <v>0</v>
      </c>
      <c r="E111" s="628">
        <f t="shared" si="17"/>
        <v>0</v>
      </c>
      <c r="F111" s="628">
        <f t="shared" si="17"/>
        <v>0</v>
      </c>
      <c r="G111" s="628">
        <f t="shared" si="17"/>
        <v>0</v>
      </c>
      <c r="H111" s="629">
        <f t="shared" si="17"/>
        <v>0</v>
      </c>
      <c r="I111" s="638"/>
      <c r="J111" s="626" t="s">
        <v>200</v>
      </c>
      <c r="K111" s="627">
        <f t="shared" ref="K111:P111" si="18">SUM(K107:K110)</f>
        <v>0</v>
      </c>
      <c r="L111" s="628">
        <f t="shared" si="18"/>
        <v>0</v>
      </c>
      <c r="M111" s="628">
        <f t="shared" si="18"/>
        <v>0</v>
      </c>
      <c r="N111" s="628">
        <f t="shared" si="18"/>
        <v>0</v>
      </c>
      <c r="O111" s="628">
        <f t="shared" si="18"/>
        <v>0</v>
      </c>
      <c r="P111" s="629">
        <f t="shared" si="18"/>
        <v>0</v>
      </c>
      <c r="R111" s="626" t="s">
        <v>200</v>
      </c>
      <c r="S111" s="627">
        <f t="shared" ref="S111:X111" si="19">SUM(S107:S110)</f>
        <v>0</v>
      </c>
      <c r="T111" s="628">
        <f t="shared" si="19"/>
        <v>0</v>
      </c>
      <c r="U111" s="628">
        <f t="shared" si="19"/>
        <v>0</v>
      </c>
      <c r="V111" s="628">
        <f t="shared" si="19"/>
        <v>0</v>
      </c>
      <c r="W111" s="628">
        <f t="shared" si="19"/>
        <v>0</v>
      </c>
      <c r="X111" s="629">
        <f t="shared" si="19"/>
        <v>0</v>
      </c>
    </row>
    <row r="112" spans="2:24" ht="15" customHeight="1" thickBot="1">
      <c r="B112" s="647"/>
      <c r="C112" s="648"/>
      <c r="D112" s="648"/>
      <c r="E112" s="648"/>
      <c r="F112" s="648"/>
      <c r="G112" s="648"/>
      <c r="H112" s="648"/>
      <c r="I112" s="638"/>
      <c r="J112" s="647"/>
      <c r="K112" s="648"/>
      <c r="L112" s="648"/>
      <c r="M112" s="648"/>
      <c r="N112" s="648"/>
      <c r="O112" s="648"/>
      <c r="P112" s="648"/>
      <c r="R112" s="647"/>
      <c r="S112" s="648"/>
      <c r="T112" s="648"/>
      <c r="U112" s="648"/>
      <c r="V112" s="648"/>
      <c r="W112" s="648"/>
      <c r="X112" s="648"/>
    </row>
    <row r="113" spans="2:24" ht="15" customHeight="1">
      <c r="B113" s="1274" t="s">
        <v>491</v>
      </c>
      <c r="C113" s="1275"/>
      <c r="D113" s="1275"/>
      <c r="E113" s="1275"/>
      <c r="F113" s="1275"/>
      <c r="G113" s="1275"/>
      <c r="H113" s="1276"/>
      <c r="I113" s="630"/>
      <c r="J113" s="1274" t="s">
        <v>492</v>
      </c>
      <c r="K113" s="1275"/>
      <c r="L113" s="1275"/>
      <c r="M113" s="1275"/>
      <c r="N113" s="1275"/>
      <c r="O113" s="1275"/>
      <c r="P113" s="1276"/>
      <c r="R113" s="1274" t="s">
        <v>192</v>
      </c>
      <c r="S113" s="1275"/>
      <c r="T113" s="1275"/>
      <c r="U113" s="1275"/>
      <c r="V113" s="1275"/>
      <c r="W113" s="1275"/>
      <c r="X113" s="1276"/>
    </row>
    <row r="114" spans="2:24" ht="15" customHeight="1">
      <c r="B114" s="1277"/>
      <c r="C114" s="1282" t="s">
        <v>501</v>
      </c>
      <c r="D114" s="653" t="s">
        <v>494</v>
      </c>
      <c r="E114" s="654"/>
      <c r="F114" s="654"/>
      <c r="G114" s="654"/>
      <c r="H114" s="655"/>
      <c r="J114" s="695"/>
      <c r="K114" s="1279" t="s">
        <v>501</v>
      </c>
      <c r="L114" s="649" t="s">
        <v>495</v>
      </c>
      <c r="M114" s="650"/>
      <c r="N114" s="650"/>
      <c r="O114" s="650"/>
      <c r="P114" s="651"/>
      <c r="R114" s="652"/>
      <c r="S114" s="1279" t="s">
        <v>501</v>
      </c>
      <c r="T114" s="649" t="s">
        <v>495</v>
      </c>
      <c r="U114" s="650"/>
      <c r="V114" s="650"/>
      <c r="W114" s="650"/>
      <c r="X114" s="651"/>
    </row>
    <row r="115" spans="2:24" ht="25.5">
      <c r="B115" s="1278"/>
      <c r="C115" s="1283"/>
      <c r="D115" s="636" t="s">
        <v>509</v>
      </c>
      <c r="E115" s="636" t="s">
        <v>498</v>
      </c>
      <c r="F115" s="636" t="s">
        <v>411</v>
      </c>
      <c r="G115" s="636" t="s">
        <v>510</v>
      </c>
      <c r="H115" s="637" t="s">
        <v>500</v>
      </c>
      <c r="I115" s="638"/>
      <c r="J115" s="657"/>
      <c r="K115" s="1280"/>
      <c r="L115" s="636" t="s">
        <v>509</v>
      </c>
      <c r="M115" s="636" t="s">
        <v>498</v>
      </c>
      <c r="N115" s="636" t="s">
        <v>411</v>
      </c>
      <c r="O115" s="636" t="s">
        <v>510</v>
      </c>
      <c r="P115" s="637" t="s">
        <v>500</v>
      </c>
      <c r="R115" s="657"/>
      <c r="S115" s="1280"/>
      <c r="T115" s="693" t="s">
        <v>509</v>
      </c>
      <c r="U115" s="693" t="s">
        <v>498</v>
      </c>
      <c r="V115" s="693" t="s">
        <v>411</v>
      </c>
      <c r="W115" s="693" t="s">
        <v>510</v>
      </c>
      <c r="X115" s="694" t="s">
        <v>500</v>
      </c>
    </row>
    <row r="116" spans="2:24" ht="15" customHeight="1">
      <c r="B116" s="658" t="s">
        <v>414</v>
      </c>
      <c r="C116" s="644"/>
      <c r="D116" s="644"/>
      <c r="E116" s="644"/>
      <c r="F116" s="644"/>
      <c r="G116" s="661"/>
      <c r="H116" s="659"/>
      <c r="I116" s="638"/>
      <c r="J116" s="642" t="s">
        <v>414</v>
      </c>
      <c r="K116" s="660"/>
      <c r="L116" s="644"/>
      <c r="M116" s="644"/>
      <c r="N116" s="644"/>
      <c r="O116" s="645"/>
      <c r="P116" s="661"/>
      <c r="R116" s="642" t="s">
        <v>414</v>
      </c>
      <c r="S116" s="660"/>
      <c r="T116" s="644"/>
      <c r="U116" s="644"/>
      <c r="V116" s="644"/>
      <c r="W116" s="645"/>
      <c r="X116" s="661"/>
    </row>
    <row r="117" spans="2:24" ht="15" customHeight="1">
      <c r="B117" s="662" t="s">
        <v>223</v>
      </c>
      <c r="C117" s="640"/>
      <c r="D117" s="640"/>
      <c r="E117" s="640"/>
      <c r="F117" s="640"/>
      <c r="G117" s="665"/>
      <c r="H117" s="663"/>
      <c r="I117" s="638"/>
      <c r="J117" s="621" t="s">
        <v>223</v>
      </c>
      <c r="K117" s="664"/>
      <c r="L117" s="640"/>
      <c r="M117" s="640"/>
      <c r="N117" s="640"/>
      <c r="O117" s="624"/>
      <c r="P117" s="665"/>
      <c r="R117" s="621" t="s">
        <v>223</v>
      </c>
      <c r="S117" s="664"/>
      <c r="T117" s="640"/>
      <c r="U117" s="640"/>
      <c r="V117" s="640"/>
      <c r="W117" s="624"/>
      <c r="X117" s="665"/>
    </row>
    <row r="118" spans="2:24" ht="15" customHeight="1">
      <c r="B118" s="662" t="s">
        <v>403</v>
      </c>
      <c r="C118" s="640"/>
      <c r="D118" s="640"/>
      <c r="E118" s="640"/>
      <c r="F118" s="640"/>
      <c r="G118" s="665"/>
      <c r="H118" s="663"/>
      <c r="I118" s="638"/>
      <c r="J118" s="621" t="s">
        <v>403</v>
      </c>
      <c r="K118" s="664"/>
      <c r="L118" s="640"/>
      <c r="M118" s="640"/>
      <c r="N118" s="640"/>
      <c r="O118" s="624"/>
      <c r="P118" s="665"/>
      <c r="R118" s="621" t="s">
        <v>403</v>
      </c>
      <c r="S118" s="664"/>
      <c r="T118" s="640"/>
      <c r="U118" s="640"/>
      <c r="V118" s="640"/>
      <c r="W118" s="624"/>
      <c r="X118" s="665"/>
    </row>
    <row r="119" spans="2:24" ht="15" customHeight="1">
      <c r="B119" s="662" t="s">
        <v>482</v>
      </c>
      <c r="C119" s="640"/>
      <c r="D119" s="640"/>
      <c r="E119" s="640"/>
      <c r="F119" s="640"/>
      <c r="G119" s="665"/>
      <c r="H119" s="663"/>
      <c r="I119" s="638"/>
      <c r="J119" s="621" t="s">
        <v>482</v>
      </c>
      <c r="K119" s="664"/>
      <c r="L119" s="640"/>
      <c r="M119" s="640"/>
      <c r="N119" s="640"/>
      <c r="O119" s="624"/>
      <c r="P119" s="665"/>
      <c r="R119" s="621" t="s">
        <v>482</v>
      </c>
      <c r="S119" s="664"/>
      <c r="T119" s="640"/>
      <c r="U119" s="640"/>
      <c r="V119" s="640"/>
      <c r="W119" s="624"/>
      <c r="X119" s="665"/>
    </row>
    <row r="120" spans="2:24" ht="15" customHeight="1" thickBot="1">
      <c r="B120" s="666" t="s">
        <v>200</v>
      </c>
      <c r="C120" s="667">
        <f>SUM(C116:C119)</f>
        <v>0</v>
      </c>
      <c r="D120" s="628">
        <f>SUM(D116:D119)</f>
        <v>0</v>
      </c>
      <c r="E120" s="628">
        <f>SUM(E116:E119)</f>
        <v>0</v>
      </c>
      <c r="F120" s="628">
        <f>SUM(F116:F119)</f>
        <v>0</v>
      </c>
      <c r="G120" s="696"/>
      <c r="H120" s="668">
        <f>SUM(H116:H119)</f>
        <v>0</v>
      </c>
      <c r="I120" s="638"/>
      <c r="J120" s="626" t="s">
        <v>200</v>
      </c>
      <c r="K120" s="627">
        <f t="shared" ref="K120:P120" si="20">SUM(K116:K119)</f>
        <v>0</v>
      </c>
      <c r="L120" s="628">
        <f t="shared" si="20"/>
        <v>0</v>
      </c>
      <c r="M120" s="628">
        <f t="shared" si="20"/>
        <v>0</v>
      </c>
      <c r="N120" s="628">
        <f t="shared" si="20"/>
        <v>0</v>
      </c>
      <c r="O120" s="628">
        <f t="shared" si="20"/>
        <v>0</v>
      </c>
      <c r="P120" s="668">
        <f t="shared" si="20"/>
        <v>0</v>
      </c>
      <c r="R120" s="626" t="s">
        <v>200</v>
      </c>
      <c r="S120" s="627">
        <f t="shared" ref="S120:X120" si="21">SUM(S116:S119)</f>
        <v>0</v>
      </c>
      <c r="T120" s="628">
        <f t="shared" si="21"/>
        <v>0</v>
      </c>
      <c r="U120" s="628">
        <f t="shared" si="21"/>
        <v>0</v>
      </c>
      <c r="V120" s="628">
        <f t="shared" si="21"/>
        <v>0</v>
      </c>
      <c r="W120" s="628">
        <f t="shared" si="21"/>
        <v>0</v>
      </c>
      <c r="X120" s="668">
        <f t="shared" si="21"/>
        <v>0</v>
      </c>
    </row>
    <row r="121" spans="2:24" ht="15" customHeight="1" thickBot="1">
      <c r="B121" s="647"/>
      <c r="C121" s="648"/>
      <c r="D121" s="648"/>
      <c r="E121" s="648"/>
      <c r="F121" s="648"/>
      <c r="G121" s="648"/>
      <c r="H121" s="648"/>
      <c r="I121" s="638"/>
      <c r="J121" s="647"/>
      <c r="K121" s="648"/>
      <c r="L121" s="648"/>
      <c r="M121" s="648"/>
      <c r="N121" s="648"/>
      <c r="O121" s="648"/>
      <c r="P121" s="648"/>
      <c r="R121" s="647"/>
      <c r="S121" s="648"/>
      <c r="T121" s="648"/>
      <c r="U121" s="648"/>
      <c r="V121" s="648"/>
      <c r="W121" s="648"/>
      <c r="X121" s="648"/>
    </row>
    <row r="122" spans="2:24" ht="15" customHeight="1">
      <c r="B122" s="1274" t="s">
        <v>491</v>
      </c>
      <c r="C122" s="1275"/>
      <c r="D122" s="1275"/>
      <c r="E122" s="1275"/>
      <c r="F122" s="1275"/>
      <c r="G122" s="1275"/>
      <c r="H122" s="1276"/>
      <c r="J122" s="1274" t="s">
        <v>492</v>
      </c>
      <c r="K122" s="1275"/>
      <c r="L122" s="1275"/>
      <c r="M122" s="1275"/>
      <c r="N122" s="1275"/>
      <c r="O122" s="1275"/>
      <c r="P122" s="1276"/>
      <c r="R122" s="1274" t="s">
        <v>192</v>
      </c>
      <c r="S122" s="1275"/>
      <c r="T122" s="1275"/>
      <c r="U122" s="1275"/>
      <c r="V122" s="1275"/>
      <c r="W122" s="1275"/>
      <c r="X122" s="1276"/>
    </row>
    <row r="123" spans="2:24" ht="15" customHeight="1">
      <c r="B123" s="1277"/>
      <c r="C123" s="1279" t="s">
        <v>502</v>
      </c>
      <c r="D123" s="649" t="s">
        <v>503</v>
      </c>
      <c r="E123" s="650"/>
      <c r="F123" s="650"/>
      <c r="G123" s="650"/>
      <c r="H123" s="651"/>
      <c r="J123" s="631"/>
      <c r="K123" s="1281" t="s">
        <v>502</v>
      </c>
      <c r="L123" s="653" t="s">
        <v>504</v>
      </c>
      <c r="M123" s="654"/>
      <c r="N123" s="654"/>
      <c r="O123" s="654"/>
      <c r="P123" s="655"/>
      <c r="R123" s="692"/>
      <c r="S123" s="1279" t="s">
        <v>502</v>
      </c>
      <c r="T123" s="649" t="s">
        <v>504</v>
      </c>
      <c r="U123" s="650"/>
      <c r="V123" s="650"/>
      <c r="W123" s="650"/>
      <c r="X123" s="651"/>
    </row>
    <row r="124" spans="2:24" ht="25.5">
      <c r="B124" s="1278"/>
      <c r="C124" s="1280"/>
      <c r="D124" s="636" t="s">
        <v>509</v>
      </c>
      <c r="E124" s="636" t="s">
        <v>498</v>
      </c>
      <c r="F124" s="636" t="s">
        <v>411</v>
      </c>
      <c r="G124" s="636" t="s">
        <v>510</v>
      </c>
      <c r="H124" s="637" t="s">
        <v>500</v>
      </c>
      <c r="J124" s="671"/>
      <c r="K124" s="1280"/>
      <c r="L124" s="636" t="s">
        <v>509</v>
      </c>
      <c r="M124" s="636" t="s">
        <v>498</v>
      </c>
      <c r="N124" s="636" t="s">
        <v>411</v>
      </c>
      <c r="O124" s="636" t="s">
        <v>510</v>
      </c>
      <c r="P124" s="637" t="s">
        <v>500</v>
      </c>
      <c r="R124" s="671"/>
      <c r="S124" s="1280"/>
      <c r="T124" s="693" t="s">
        <v>509</v>
      </c>
      <c r="U124" s="693" t="s">
        <v>498</v>
      </c>
      <c r="V124" s="693" t="s">
        <v>411</v>
      </c>
      <c r="W124" s="693" t="s">
        <v>510</v>
      </c>
      <c r="X124" s="694" t="s">
        <v>500</v>
      </c>
    </row>
    <row r="125" spans="2:24" ht="15" customHeight="1">
      <c r="B125" s="642" t="s">
        <v>414</v>
      </c>
      <c r="C125" s="672">
        <f>SUM(D42:F42)</f>
        <v>0</v>
      </c>
      <c r="D125" s="673"/>
      <c r="E125" s="673"/>
      <c r="F125" s="673"/>
      <c r="G125" s="661"/>
      <c r="H125" s="676"/>
      <c r="J125" s="642" t="s">
        <v>414</v>
      </c>
      <c r="K125" s="672">
        <f>SUM(G42:H42)</f>
        <v>0</v>
      </c>
      <c r="L125" s="673"/>
      <c r="M125" s="673"/>
      <c r="N125" s="673"/>
      <c r="O125" s="661"/>
      <c r="P125" s="676"/>
      <c r="R125" s="642" t="s">
        <v>414</v>
      </c>
      <c r="S125" s="672">
        <f>SUM(I42:M42)</f>
        <v>0</v>
      </c>
      <c r="T125" s="673"/>
      <c r="U125" s="673"/>
      <c r="V125" s="673"/>
      <c r="W125" s="661"/>
      <c r="X125" s="676"/>
    </row>
    <row r="126" spans="2:24" ht="15" customHeight="1">
      <c r="B126" s="621" t="s">
        <v>223</v>
      </c>
      <c r="C126" s="672">
        <f>SUM(D43:F43)</f>
        <v>0</v>
      </c>
      <c r="D126" s="585"/>
      <c r="E126" s="585"/>
      <c r="F126" s="585"/>
      <c r="G126" s="665"/>
      <c r="H126" s="674"/>
      <c r="J126" s="621" t="s">
        <v>223</v>
      </c>
      <c r="K126" s="672">
        <f>SUM(G43:H43)</f>
        <v>0</v>
      </c>
      <c r="L126" s="585"/>
      <c r="M126" s="585"/>
      <c r="N126" s="585"/>
      <c r="O126" s="665"/>
      <c r="P126" s="674"/>
      <c r="R126" s="621" t="s">
        <v>223</v>
      </c>
      <c r="S126" s="672">
        <f>SUM(I43:M43)</f>
        <v>0</v>
      </c>
      <c r="T126" s="585"/>
      <c r="U126" s="585"/>
      <c r="V126" s="585"/>
      <c r="W126" s="665"/>
      <c r="X126" s="674"/>
    </row>
    <row r="127" spans="2:24" ht="15" customHeight="1">
      <c r="B127" s="621" t="s">
        <v>403</v>
      </c>
      <c r="C127" s="672">
        <f>SUM(D44:F44)</f>
        <v>0</v>
      </c>
      <c r="D127" s="585"/>
      <c r="E127" s="585"/>
      <c r="F127" s="585"/>
      <c r="G127" s="665"/>
      <c r="H127" s="674"/>
      <c r="J127" s="621" t="s">
        <v>403</v>
      </c>
      <c r="K127" s="672">
        <f>SUM(G44:H44)</f>
        <v>0</v>
      </c>
      <c r="L127" s="585"/>
      <c r="M127" s="585"/>
      <c r="N127" s="585"/>
      <c r="O127" s="665"/>
      <c r="P127" s="674"/>
      <c r="R127" s="621" t="s">
        <v>403</v>
      </c>
      <c r="S127" s="672">
        <f>SUM(I44:M44)</f>
        <v>0</v>
      </c>
      <c r="T127" s="585"/>
      <c r="U127" s="585"/>
      <c r="V127" s="585"/>
      <c r="W127" s="665"/>
      <c r="X127" s="674"/>
    </row>
    <row r="128" spans="2:24" ht="15" customHeight="1">
      <c r="B128" s="621" t="s">
        <v>482</v>
      </c>
      <c r="C128" s="672">
        <f>SUM(D45:F45)</f>
        <v>0</v>
      </c>
      <c r="D128" s="585"/>
      <c r="E128" s="585"/>
      <c r="F128" s="585"/>
      <c r="G128" s="665"/>
      <c r="H128" s="674"/>
      <c r="J128" s="621" t="s">
        <v>482</v>
      </c>
      <c r="K128" s="672">
        <f>SUM(G45:H45)</f>
        <v>0</v>
      </c>
      <c r="L128" s="585"/>
      <c r="M128" s="585"/>
      <c r="N128" s="585"/>
      <c r="O128" s="665"/>
      <c r="P128" s="674"/>
      <c r="R128" s="621" t="s">
        <v>482</v>
      </c>
      <c r="S128" s="672">
        <f>SUM(I45:M45)</f>
        <v>0</v>
      </c>
      <c r="T128" s="585"/>
      <c r="U128" s="585"/>
      <c r="V128" s="585"/>
      <c r="W128" s="665"/>
      <c r="X128" s="674"/>
    </row>
    <row r="129" spans="2:24" ht="15" customHeight="1" thickBot="1">
      <c r="B129" s="626" t="s">
        <v>200</v>
      </c>
      <c r="C129" s="677">
        <f>SUM(C125:C128)</f>
        <v>0</v>
      </c>
      <c r="D129" s="678">
        <f>SUM(D125:D128)</f>
        <v>0</v>
      </c>
      <c r="E129" s="678">
        <f>SUM(E125:E128)</f>
        <v>0</v>
      </c>
      <c r="F129" s="678">
        <f>SUM(F125:F128)</f>
        <v>0</v>
      </c>
      <c r="G129" s="696"/>
      <c r="H129" s="668">
        <f>SUM(H125:H128)</f>
        <v>0</v>
      </c>
      <c r="J129" s="626" t="s">
        <v>200</v>
      </c>
      <c r="K129" s="677">
        <f>SUM(K125:K128)</f>
        <v>0</v>
      </c>
      <c r="L129" s="678">
        <f>SUM(L125:L128)</f>
        <v>0</v>
      </c>
      <c r="M129" s="678">
        <f>SUM(M125:M128)</f>
        <v>0</v>
      </c>
      <c r="N129" s="678">
        <f>SUM(N125:N128)</f>
        <v>0</v>
      </c>
      <c r="O129" s="696"/>
      <c r="P129" s="668">
        <f>SUM(P125:P128)</f>
        <v>0</v>
      </c>
      <c r="R129" s="626" t="s">
        <v>200</v>
      </c>
      <c r="S129" s="677">
        <f>SUM(S125:S128)</f>
        <v>0</v>
      </c>
      <c r="T129" s="678">
        <f>SUM(T125:T128)</f>
        <v>0</v>
      </c>
      <c r="U129" s="678">
        <f>SUM(U125:U128)</f>
        <v>0</v>
      </c>
      <c r="V129" s="678">
        <f>SUM(V125:V128)</f>
        <v>0</v>
      </c>
      <c r="W129" s="696"/>
      <c r="X129" s="668">
        <f>SUM(X125:X128)</f>
        <v>0</v>
      </c>
    </row>
    <row r="130" spans="2:24" ht="15" customHeight="1" thickBot="1"/>
    <row r="131" spans="2:24" ht="15" customHeight="1">
      <c r="B131" s="1274" t="s">
        <v>491</v>
      </c>
      <c r="C131" s="1275"/>
      <c r="D131" s="1275"/>
      <c r="E131" s="1275"/>
      <c r="F131" s="1275"/>
      <c r="G131" s="1275"/>
      <c r="H131" s="1276"/>
      <c r="J131" s="1274" t="s">
        <v>492</v>
      </c>
      <c r="K131" s="1275"/>
      <c r="L131" s="1275"/>
      <c r="M131" s="1275"/>
      <c r="N131" s="1275"/>
      <c r="O131" s="1275"/>
      <c r="P131" s="1276"/>
      <c r="R131" s="1274" t="s">
        <v>192</v>
      </c>
      <c r="S131" s="1275"/>
      <c r="T131" s="1275"/>
      <c r="U131" s="1275"/>
      <c r="V131" s="1275"/>
      <c r="W131" s="1275"/>
      <c r="X131" s="1276"/>
    </row>
    <row r="132" spans="2:24" ht="15" customHeight="1">
      <c r="B132" s="1277"/>
      <c r="C132" s="1279" t="s">
        <v>505</v>
      </c>
      <c r="D132" s="649" t="s">
        <v>506</v>
      </c>
      <c r="E132" s="650"/>
      <c r="F132" s="650"/>
      <c r="G132" s="650"/>
      <c r="H132" s="651"/>
      <c r="J132" s="692"/>
      <c r="K132" s="1279" t="s">
        <v>505</v>
      </c>
      <c r="L132" s="649" t="s">
        <v>507</v>
      </c>
      <c r="M132" s="650"/>
      <c r="N132" s="650"/>
      <c r="O132" s="650"/>
      <c r="P132" s="651"/>
      <c r="R132" s="692"/>
      <c r="S132" s="1279" t="s">
        <v>505</v>
      </c>
      <c r="T132" s="649" t="s">
        <v>507</v>
      </c>
      <c r="U132" s="650"/>
      <c r="V132" s="650"/>
      <c r="W132" s="650"/>
      <c r="X132" s="651"/>
    </row>
    <row r="133" spans="2:24" ht="25.5">
      <c r="B133" s="1278"/>
      <c r="C133" s="1280"/>
      <c r="D133" s="636" t="s">
        <v>509</v>
      </c>
      <c r="E133" s="636" t="s">
        <v>498</v>
      </c>
      <c r="F133" s="636" t="s">
        <v>411</v>
      </c>
      <c r="G133" s="636" t="s">
        <v>510</v>
      </c>
      <c r="H133" s="637" t="s">
        <v>500</v>
      </c>
      <c r="J133" s="671"/>
      <c r="K133" s="1280"/>
      <c r="L133" s="636" t="s">
        <v>509</v>
      </c>
      <c r="M133" s="636" t="s">
        <v>498</v>
      </c>
      <c r="N133" s="636" t="s">
        <v>411</v>
      </c>
      <c r="O133" s="636" t="s">
        <v>510</v>
      </c>
      <c r="P133" s="637" t="s">
        <v>500</v>
      </c>
      <c r="R133" s="671"/>
      <c r="S133" s="1280"/>
      <c r="T133" s="693" t="s">
        <v>509</v>
      </c>
      <c r="U133" s="693" t="s">
        <v>498</v>
      </c>
      <c r="V133" s="693" t="s">
        <v>411</v>
      </c>
      <c r="W133" s="693" t="s">
        <v>510</v>
      </c>
      <c r="X133" s="694" t="s">
        <v>500</v>
      </c>
    </row>
    <row r="134" spans="2:24" ht="15" customHeight="1">
      <c r="B134" s="642" t="s">
        <v>414</v>
      </c>
      <c r="C134" s="672">
        <f t="shared" ref="C134:F137" si="22">IF(C116&gt;0,C125*1000/C116,0)</f>
        <v>0</v>
      </c>
      <c r="D134" s="681">
        <f t="shared" si="22"/>
        <v>0</v>
      </c>
      <c r="E134" s="681">
        <f t="shared" si="22"/>
        <v>0</v>
      </c>
      <c r="F134" s="681">
        <f t="shared" si="22"/>
        <v>0</v>
      </c>
      <c r="G134" s="659"/>
      <c r="H134" s="676"/>
      <c r="J134" s="642" t="s">
        <v>414</v>
      </c>
      <c r="K134" s="672">
        <f t="shared" ref="K134:N137" si="23">IF(K116&gt;0,K125*1000/K116,0)</f>
        <v>0</v>
      </c>
      <c r="L134" s="681">
        <f t="shared" si="23"/>
        <v>0</v>
      </c>
      <c r="M134" s="681">
        <f t="shared" si="23"/>
        <v>0</v>
      </c>
      <c r="N134" s="681">
        <f t="shared" si="23"/>
        <v>0</v>
      </c>
      <c r="O134" s="659"/>
      <c r="P134" s="676"/>
      <c r="R134" s="642" t="s">
        <v>414</v>
      </c>
      <c r="S134" s="672">
        <f t="shared" ref="S134:V137" si="24">IF(S116&gt;0,S125*1000/S116,0)</f>
        <v>0</v>
      </c>
      <c r="T134" s="681">
        <f t="shared" si="24"/>
        <v>0</v>
      </c>
      <c r="U134" s="681">
        <f t="shared" si="24"/>
        <v>0</v>
      </c>
      <c r="V134" s="681">
        <f t="shared" si="24"/>
        <v>0</v>
      </c>
      <c r="W134" s="659"/>
      <c r="X134" s="676"/>
    </row>
    <row r="135" spans="2:24" ht="15" customHeight="1">
      <c r="B135" s="621" t="s">
        <v>223</v>
      </c>
      <c r="C135" s="683">
        <f t="shared" si="22"/>
        <v>0</v>
      </c>
      <c r="D135" s="684">
        <f t="shared" si="22"/>
        <v>0</v>
      </c>
      <c r="E135" s="684">
        <f t="shared" si="22"/>
        <v>0</v>
      </c>
      <c r="F135" s="684">
        <f t="shared" si="22"/>
        <v>0</v>
      </c>
      <c r="G135" s="663"/>
      <c r="H135" s="674"/>
      <c r="J135" s="621" t="s">
        <v>223</v>
      </c>
      <c r="K135" s="683">
        <f t="shared" si="23"/>
        <v>0</v>
      </c>
      <c r="L135" s="684">
        <f t="shared" si="23"/>
        <v>0</v>
      </c>
      <c r="M135" s="684">
        <f t="shared" si="23"/>
        <v>0</v>
      </c>
      <c r="N135" s="684">
        <f t="shared" si="23"/>
        <v>0</v>
      </c>
      <c r="O135" s="663"/>
      <c r="P135" s="674"/>
      <c r="R135" s="621" t="s">
        <v>223</v>
      </c>
      <c r="S135" s="683">
        <f t="shared" si="24"/>
        <v>0</v>
      </c>
      <c r="T135" s="684">
        <f t="shared" si="24"/>
        <v>0</v>
      </c>
      <c r="U135" s="684">
        <f t="shared" si="24"/>
        <v>0</v>
      </c>
      <c r="V135" s="684">
        <f t="shared" si="24"/>
        <v>0</v>
      </c>
      <c r="W135" s="663"/>
      <c r="X135" s="674"/>
    </row>
    <row r="136" spans="2:24" ht="15" customHeight="1">
      <c r="B136" s="621" t="s">
        <v>403</v>
      </c>
      <c r="C136" s="683">
        <f t="shared" si="22"/>
        <v>0</v>
      </c>
      <c r="D136" s="684">
        <f t="shared" si="22"/>
        <v>0</v>
      </c>
      <c r="E136" s="684">
        <f t="shared" si="22"/>
        <v>0</v>
      </c>
      <c r="F136" s="684">
        <f t="shared" si="22"/>
        <v>0</v>
      </c>
      <c r="G136" s="663"/>
      <c r="H136" s="674"/>
      <c r="J136" s="621" t="s">
        <v>403</v>
      </c>
      <c r="K136" s="683">
        <f t="shared" si="23"/>
        <v>0</v>
      </c>
      <c r="L136" s="684">
        <f t="shared" si="23"/>
        <v>0</v>
      </c>
      <c r="M136" s="684">
        <f t="shared" si="23"/>
        <v>0</v>
      </c>
      <c r="N136" s="684">
        <f t="shared" si="23"/>
        <v>0</v>
      </c>
      <c r="O136" s="663"/>
      <c r="P136" s="674"/>
      <c r="R136" s="621" t="s">
        <v>403</v>
      </c>
      <c r="S136" s="683">
        <f t="shared" si="24"/>
        <v>0</v>
      </c>
      <c r="T136" s="684">
        <f t="shared" si="24"/>
        <v>0</v>
      </c>
      <c r="U136" s="684">
        <f t="shared" si="24"/>
        <v>0</v>
      </c>
      <c r="V136" s="684">
        <f t="shared" si="24"/>
        <v>0</v>
      </c>
      <c r="W136" s="663"/>
      <c r="X136" s="674"/>
    </row>
    <row r="137" spans="2:24" ht="15" customHeight="1" thickBot="1">
      <c r="B137" s="685" t="s">
        <v>482</v>
      </c>
      <c r="C137" s="686">
        <f t="shared" si="22"/>
        <v>0</v>
      </c>
      <c r="D137" s="687">
        <f t="shared" si="22"/>
        <v>0</v>
      </c>
      <c r="E137" s="687">
        <f t="shared" si="22"/>
        <v>0</v>
      </c>
      <c r="F137" s="687">
        <f t="shared" si="22"/>
        <v>0</v>
      </c>
      <c r="G137" s="697"/>
      <c r="H137" s="688"/>
      <c r="J137" s="685" t="s">
        <v>482</v>
      </c>
      <c r="K137" s="686">
        <f t="shared" si="23"/>
        <v>0</v>
      </c>
      <c r="L137" s="687">
        <f t="shared" si="23"/>
        <v>0</v>
      </c>
      <c r="M137" s="687">
        <f t="shared" si="23"/>
        <v>0</v>
      </c>
      <c r="N137" s="687">
        <f t="shared" si="23"/>
        <v>0</v>
      </c>
      <c r="O137" s="697"/>
      <c r="P137" s="688"/>
      <c r="R137" s="685" t="s">
        <v>482</v>
      </c>
      <c r="S137" s="686">
        <f t="shared" si="24"/>
        <v>0</v>
      </c>
      <c r="T137" s="687">
        <f t="shared" si="24"/>
        <v>0</v>
      </c>
      <c r="U137" s="687">
        <f t="shared" si="24"/>
        <v>0</v>
      </c>
      <c r="V137" s="687">
        <f t="shared" si="24"/>
        <v>0</v>
      </c>
      <c r="W137" s="697"/>
      <c r="X137" s="688"/>
    </row>
  </sheetData>
  <sheetProtection insertRows="0"/>
  <mergeCells count="67">
    <mergeCell ref="R58:X58"/>
    <mergeCell ref="B7:C8"/>
    <mergeCell ref="B31:C32"/>
    <mergeCell ref="B40:C41"/>
    <mergeCell ref="B58:H58"/>
    <mergeCell ref="J58:P58"/>
    <mergeCell ref="T59:X59"/>
    <mergeCell ref="B67:H67"/>
    <mergeCell ref="J67:P67"/>
    <mergeCell ref="R67:X67"/>
    <mergeCell ref="B68:B69"/>
    <mergeCell ref="C68:C69"/>
    <mergeCell ref="K68:K69"/>
    <mergeCell ref="R68:R69"/>
    <mergeCell ref="S68:S69"/>
    <mergeCell ref="B59:B60"/>
    <mergeCell ref="C59:C60"/>
    <mergeCell ref="D59:H59"/>
    <mergeCell ref="K59:K60"/>
    <mergeCell ref="R59:R60"/>
    <mergeCell ref="S59:S60"/>
    <mergeCell ref="B76:H76"/>
    <mergeCell ref="J76:P76"/>
    <mergeCell ref="R76:X76"/>
    <mergeCell ref="B77:B78"/>
    <mergeCell ref="C77:C78"/>
    <mergeCell ref="K77:K78"/>
    <mergeCell ref="R77:R78"/>
    <mergeCell ref="S77:S78"/>
    <mergeCell ref="B85:H85"/>
    <mergeCell ref="J85:P85"/>
    <mergeCell ref="R85:X85"/>
    <mergeCell ref="B86:B87"/>
    <mergeCell ref="C86:C87"/>
    <mergeCell ref="D86:H86"/>
    <mergeCell ref="K86:K87"/>
    <mergeCell ref="R86:R87"/>
    <mergeCell ref="S86:S87"/>
    <mergeCell ref="B104:H104"/>
    <mergeCell ref="J104:P104"/>
    <mergeCell ref="R104:X104"/>
    <mergeCell ref="B105:B106"/>
    <mergeCell ref="C105:C106"/>
    <mergeCell ref="D105:H105"/>
    <mergeCell ref="K105:K106"/>
    <mergeCell ref="S105:S106"/>
    <mergeCell ref="B113:H113"/>
    <mergeCell ref="J113:P113"/>
    <mergeCell ref="R113:X113"/>
    <mergeCell ref="B114:B115"/>
    <mergeCell ref="C114:C115"/>
    <mergeCell ref="K114:K115"/>
    <mergeCell ref="S114:S115"/>
    <mergeCell ref="B122:H122"/>
    <mergeCell ref="J122:P122"/>
    <mergeCell ref="R122:X122"/>
    <mergeCell ref="B123:B124"/>
    <mergeCell ref="C123:C124"/>
    <mergeCell ref="K123:K124"/>
    <mergeCell ref="S123:S124"/>
    <mergeCell ref="B131:H131"/>
    <mergeCell ref="J131:P131"/>
    <mergeCell ref="R131:X131"/>
    <mergeCell ref="B132:B133"/>
    <mergeCell ref="C132:C133"/>
    <mergeCell ref="K132:K133"/>
    <mergeCell ref="S132:S133"/>
  </mergeCells>
  <phoneticPr fontId="1" type="noConversion"/>
  <dataValidations count="1">
    <dataValidation type="decimal" operator="greaterThanOrEqual" showInputMessage="1" showErrorMessage="1" sqref="D18:M24 D14:M16 D33:M36 D42:M45 D10:M12">
      <formula1>0</formula1>
    </dataValidation>
  </dataValidations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rowBreaks count="1" manualBreakCount="1">
    <brk id="93" max="2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5FFFF"/>
    <pageSetUpPr fitToPage="1"/>
  </sheetPr>
  <dimension ref="A1:J155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5.85546875" customWidth="1"/>
    <col min="9" max="9" width="8.85546875" customWidth="1"/>
    <col min="10" max="10" width="15.42578125" customWidth="1"/>
  </cols>
  <sheetData>
    <row r="1" spans="1:10" s="52" customFormat="1">
      <c r="A1" s="418" t="s">
        <v>74</v>
      </c>
      <c r="F1" s="103" t="s">
        <v>985</v>
      </c>
    </row>
    <row r="2" spans="1:10" s="52" customFormat="1">
      <c r="A2" s="418"/>
    </row>
    <row r="3" spans="1:10" s="52" customFormat="1">
      <c r="A3" s="418" t="s">
        <v>511</v>
      </c>
    </row>
    <row r="4" spans="1:10" s="52" customFormat="1">
      <c r="A4" s="418"/>
    </row>
    <row r="5" spans="1:10" s="52" customFormat="1"/>
    <row r="6" spans="1:10" s="52" customFormat="1" ht="13.5" thickBot="1"/>
    <row r="7" spans="1:10" s="52" customFormat="1" ht="38.25" customHeight="1">
      <c r="B7" s="1299" t="s">
        <v>77</v>
      </c>
      <c r="C7" s="1300"/>
      <c r="D7" s="1300"/>
      <c r="E7" s="1301"/>
      <c r="F7" s="1308" t="s">
        <v>190</v>
      </c>
      <c r="G7" s="1311" t="s">
        <v>512</v>
      </c>
      <c r="H7" s="1312"/>
      <c r="I7" s="1311" t="s">
        <v>513</v>
      </c>
      <c r="J7" s="1312"/>
    </row>
    <row r="8" spans="1:10" s="52" customFormat="1" ht="51">
      <c r="B8" s="1302"/>
      <c r="C8" s="1303"/>
      <c r="D8" s="1303"/>
      <c r="E8" s="1304"/>
      <c r="F8" s="1309"/>
      <c r="G8" s="698" t="s">
        <v>514</v>
      </c>
      <c r="H8" s="699" t="s">
        <v>515</v>
      </c>
      <c r="I8" s="698" t="s">
        <v>514</v>
      </c>
      <c r="J8" s="699" t="s">
        <v>515</v>
      </c>
    </row>
    <row r="9" spans="1:10" s="52" customFormat="1" ht="15" customHeight="1" thickBot="1">
      <c r="B9" s="1305"/>
      <c r="C9" s="1306"/>
      <c r="D9" s="1306"/>
      <c r="E9" s="1307"/>
      <c r="F9" s="1310"/>
      <c r="G9" s="700" t="s">
        <v>516</v>
      </c>
      <c r="H9" s="701" t="s">
        <v>516</v>
      </c>
      <c r="I9" s="700" t="s">
        <v>516</v>
      </c>
      <c r="J9" s="701" t="s">
        <v>516</v>
      </c>
    </row>
    <row r="10" spans="1:10" s="52" customFormat="1" ht="15" customHeight="1">
      <c r="B10" s="702"/>
      <c r="C10" s="703" t="s">
        <v>89</v>
      </c>
      <c r="D10" s="703"/>
      <c r="E10" s="704"/>
      <c r="F10" s="705"/>
      <c r="G10" s="706"/>
      <c r="H10" s="707"/>
      <c r="I10" s="706"/>
      <c r="J10" s="707"/>
    </row>
    <row r="11" spans="1:10" s="52" customFormat="1" ht="15" customHeight="1">
      <c r="B11" s="702"/>
      <c r="C11" s="704"/>
      <c r="D11" s="703" t="s">
        <v>430</v>
      </c>
      <c r="E11" s="704"/>
      <c r="F11" s="708"/>
      <c r="G11" s="709"/>
      <c r="H11" s="710"/>
      <c r="I11" s="709"/>
      <c r="J11" s="710"/>
    </row>
    <row r="12" spans="1:10" s="52" customFormat="1" ht="15" customHeight="1">
      <c r="B12" s="711"/>
      <c r="C12" s="704"/>
      <c r="D12" s="704"/>
      <c r="E12" s="704" t="s">
        <v>91</v>
      </c>
      <c r="F12" s="712" t="s">
        <v>517</v>
      </c>
      <c r="G12" s="713"/>
      <c r="H12" s="714"/>
      <c r="I12" s="713">
        <v>14.06</v>
      </c>
      <c r="J12" s="714">
        <v>19.989999999999998</v>
      </c>
    </row>
    <row r="13" spans="1:10" s="52" customFormat="1" ht="15" customHeight="1">
      <c r="B13" s="711"/>
      <c r="C13" s="704"/>
      <c r="D13" s="704"/>
      <c r="E13" s="704" t="s">
        <v>92</v>
      </c>
      <c r="F13" s="712" t="s">
        <v>518</v>
      </c>
      <c r="G13" s="713"/>
      <c r="H13" s="714"/>
      <c r="I13" s="713">
        <v>0.2</v>
      </c>
      <c r="J13" s="714">
        <v>0.32</v>
      </c>
    </row>
    <row r="14" spans="1:10" s="52" customFormat="1" ht="15" customHeight="1">
      <c r="B14" s="711"/>
      <c r="C14" s="704"/>
      <c r="D14" s="704"/>
      <c r="E14" s="704"/>
      <c r="F14" s="712"/>
      <c r="G14" s="715"/>
      <c r="H14" s="716"/>
      <c r="I14" s="715"/>
      <c r="J14" s="716"/>
    </row>
    <row r="15" spans="1:10" s="52" customFormat="1" ht="15" customHeight="1">
      <c r="B15" s="711"/>
      <c r="C15" s="704"/>
      <c r="D15" s="703" t="s">
        <v>93</v>
      </c>
      <c r="E15" s="704"/>
      <c r="F15" s="712"/>
      <c r="G15" s="715"/>
      <c r="H15" s="716"/>
      <c r="I15" s="715"/>
      <c r="J15" s="716"/>
    </row>
    <row r="16" spans="1:10" s="52" customFormat="1" ht="15" customHeight="1">
      <c r="B16" s="711"/>
      <c r="C16" s="704"/>
      <c r="D16" s="704"/>
      <c r="E16" s="704" t="s">
        <v>94</v>
      </c>
      <c r="F16" s="712" t="s">
        <v>518</v>
      </c>
      <c r="G16" s="713"/>
      <c r="H16" s="714"/>
      <c r="I16" s="713">
        <v>1.43</v>
      </c>
      <c r="J16" s="714">
        <v>1.92</v>
      </c>
    </row>
    <row r="17" spans="2:10" s="52" customFormat="1" ht="15" customHeight="1">
      <c r="B17" s="711"/>
      <c r="C17" s="704"/>
      <c r="D17" s="704"/>
      <c r="E17" s="704"/>
      <c r="F17" s="712"/>
      <c r="G17" s="715"/>
      <c r="H17" s="716"/>
      <c r="I17" s="715"/>
      <c r="J17" s="716"/>
    </row>
    <row r="18" spans="2:10" s="52" customFormat="1" ht="15" customHeight="1">
      <c r="B18" s="711"/>
      <c r="C18" s="704"/>
      <c r="D18" s="703" t="s">
        <v>95</v>
      </c>
      <c r="E18" s="704"/>
      <c r="F18" s="712"/>
      <c r="G18" s="715"/>
      <c r="H18" s="716"/>
      <c r="I18" s="715"/>
      <c r="J18" s="716"/>
    </row>
    <row r="19" spans="2:10" s="52" customFormat="1" ht="15" customHeight="1">
      <c r="B19" s="711"/>
      <c r="C19" s="704"/>
      <c r="D19" s="703"/>
      <c r="E19" s="704" t="s">
        <v>96</v>
      </c>
      <c r="F19" s="712" t="s">
        <v>517</v>
      </c>
      <c r="G19" s="713"/>
      <c r="H19" s="714"/>
      <c r="I19" s="713"/>
      <c r="J19" s="714"/>
    </row>
    <row r="20" spans="2:10" s="52" customFormat="1" ht="15" customHeight="1">
      <c r="B20" s="711"/>
      <c r="C20" s="704"/>
      <c r="D20" s="703"/>
      <c r="E20" s="704" t="s">
        <v>97</v>
      </c>
      <c r="F20" s="712" t="s">
        <v>517</v>
      </c>
      <c r="G20" s="713">
        <v>33.4</v>
      </c>
      <c r="H20" s="714">
        <v>40.08</v>
      </c>
      <c r="I20" s="713">
        <v>67.22</v>
      </c>
      <c r="J20" s="714">
        <v>67.22</v>
      </c>
    </row>
    <row r="21" spans="2:10" s="52" customFormat="1" ht="15" customHeight="1">
      <c r="B21" s="711"/>
      <c r="C21" s="704"/>
      <c r="D21" s="703"/>
      <c r="E21" s="704" t="s">
        <v>98</v>
      </c>
      <c r="F21" s="712" t="s">
        <v>517</v>
      </c>
      <c r="G21" s="713"/>
      <c r="H21" s="714"/>
      <c r="I21" s="713">
        <v>67.22</v>
      </c>
      <c r="J21" s="714">
        <v>75.91</v>
      </c>
    </row>
    <row r="22" spans="2:10" s="52" customFormat="1" ht="15" customHeight="1">
      <c r="B22" s="711"/>
      <c r="C22" s="704"/>
      <c r="D22" s="703"/>
      <c r="E22" s="704" t="s">
        <v>99</v>
      </c>
      <c r="F22" s="712" t="s">
        <v>518</v>
      </c>
      <c r="G22" s="713">
        <v>0.93</v>
      </c>
      <c r="H22" s="714">
        <v>1.1160000000000001</v>
      </c>
      <c r="I22" s="713">
        <v>0.6</v>
      </c>
      <c r="J22" s="714">
        <v>0.71</v>
      </c>
    </row>
    <row r="23" spans="2:10" s="52" customFormat="1" ht="15" customHeight="1">
      <c r="B23" s="711"/>
      <c r="C23" s="704"/>
      <c r="D23" s="704"/>
      <c r="E23" s="704"/>
      <c r="F23" s="712"/>
      <c r="G23" s="715"/>
      <c r="H23" s="716"/>
      <c r="I23" s="715"/>
      <c r="J23" s="716"/>
    </row>
    <row r="24" spans="2:10" s="52" customFormat="1" ht="15" customHeight="1">
      <c r="B24" s="711"/>
      <c r="C24" s="704"/>
      <c r="D24" s="703" t="s">
        <v>100</v>
      </c>
      <c r="E24" s="704"/>
      <c r="F24" s="712"/>
      <c r="G24" s="715"/>
      <c r="H24" s="716"/>
      <c r="I24" s="715"/>
      <c r="J24" s="716"/>
    </row>
    <row r="25" spans="2:10" s="52" customFormat="1" ht="15" customHeight="1">
      <c r="B25" s="711"/>
      <c r="C25" s="704"/>
      <c r="D25" s="703"/>
      <c r="E25" s="704" t="s">
        <v>101</v>
      </c>
      <c r="F25" s="712" t="s">
        <v>518</v>
      </c>
      <c r="G25" s="713">
        <v>2.2200000000000002</v>
      </c>
      <c r="H25" s="714">
        <v>2.6640000000000001</v>
      </c>
      <c r="I25" s="713">
        <v>6.41</v>
      </c>
      <c r="J25" s="714">
        <v>8.06</v>
      </c>
    </row>
    <row r="26" spans="2:10" s="52" customFormat="1" ht="15" customHeight="1">
      <c r="B26" s="711"/>
      <c r="C26" s="704"/>
      <c r="D26" s="703"/>
      <c r="E26" s="704" t="s">
        <v>102</v>
      </c>
      <c r="F26" s="712" t="s">
        <v>518</v>
      </c>
      <c r="G26" s="713"/>
      <c r="H26" s="714"/>
      <c r="I26" s="713">
        <v>6.78</v>
      </c>
      <c r="J26" s="714">
        <v>8.4700000000000006</v>
      </c>
    </row>
    <row r="27" spans="2:10" s="52" customFormat="1" ht="15" customHeight="1">
      <c r="B27" s="711"/>
      <c r="C27" s="704"/>
      <c r="D27" s="703"/>
      <c r="E27" s="704" t="s">
        <v>103</v>
      </c>
      <c r="F27" s="712" t="s">
        <v>518</v>
      </c>
      <c r="G27" s="713"/>
      <c r="H27" s="714"/>
      <c r="I27" s="713">
        <v>8.3699999999999992</v>
      </c>
      <c r="J27" s="714">
        <v>10.53</v>
      </c>
    </row>
    <row r="28" spans="2:10" s="52" customFormat="1" ht="15" customHeight="1">
      <c r="B28" s="711"/>
      <c r="C28" s="704"/>
      <c r="D28" s="703"/>
      <c r="E28" s="704" t="s">
        <v>104</v>
      </c>
      <c r="F28" s="712" t="s">
        <v>518</v>
      </c>
      <c r="G28" s="713"/>
      <c r="H28" s="714"/>
      <c r="I28" s="713"/>
      <c r="J28" s="714"/>
    </row>
    <row r="29" spans="2:10" s="52" customFormat="1" ht="15" customHeight="1">
      <c r="B29" s="711"/>
      <c r="C29" s="704"/>
      <c r="D29" s="703"/>
      <c r="E29" s="704" t="s">
        <v>105</v>
      </c>
      <c r="F29" s="712" t="s">
        <v>518</v>
      </c>
      <c r="G29" s="717"/>
      <c r="H29" s="718"/>
      <c r="I29" s="717"/>
      <c r="J29" s="718"/>
    </row>
    <row r="30" spans="2:10" s="52" customFormat="1" ht="15" customHeight="1">
      <c r="B30" s="711"/>
      <c r="C30" s="704"/>
      <c r="D30" s="703"/>
      <c r="E30" s="704" t="s">
        <v>106</v>
      </c>
      <c r="F30" s="712" t="s">
        <v>518</v>
      </c>
      <c r="G30" s="717"/>
      <c r="H30" s="718"/>
      <c r="I30" s="717"/>
      <c r="J30" s="718"/>
    </row>
    <row r="31" spans="2:10" s="52" customFormat="1" ht="15" customHeight="1" thickBot="1">
      <c r="B31" s="719"/>
      <c r="C31" s="720"/>
      <c r="D31" s="720"/>
      <c r="E31" s="720"/>
      <c r="F31" s="721"/>
      <c r="G31" s="722"/>
      <c r="H31" s="723"/>
      <c r="I31" s="722"/>
      <c r="J31" s="723"/>
    </row>
    <row r="32" spans="2:10" s="52" customFormat="1" ht="15" customHeight="1">
      <c r="B32" s="724"/>
      <c r="C32" s="725" t="s">
        <v>107</v>
      </c>
      <c r="D32" s="725"/>
      <c r="E32" s="726"/>
      <c r="F32" s="727"/>
      <c r="G32" s="715"/>
      <c r="H32" s="716"/>
      <c r="I32" s="715"/>
      <c r="J32" s="716"/>
    </row>
    <row r="33" spans="2:10" s="52" customFormat="1" ht="15" customHeight="1">
      <c r="B33" s="711"/>
      <c r="C33" s="704"/>
      <c r="D33" s="703" t="s">
        <v>430</v>
      </c>
      <c r="E33" s="704"/>
      <c r="F33" s="727"/>
      <c r="G33" s="715"/>
      <c r="H33" s="716"/>
      <c r="I33" s="715"/>
      <c r="J33" s="716"/>
    </row>
    <row r="34" spans="2:10" s="52" customFormat="1" ht="15" customHeight="1">
      <c r="B34" s="711"/>
      <c r="C34" s="704"/>
      <c r="D34" s="703"/>
      <c r="E34" s="704" t="s">
        <v>108</v>
      </c>
      <c r="F34" s="712" t="s">
        <v>517</v>
      </c>
      <c r="G34" s="713">
        <v>35.26</v>
      </c>
      <c r="H34" s="714">
        <v>42.311999999999998</v>
      </c>
      <c r="I34" s="713">
        <v>18.350000000000001</v>
      </c>
      <c r="J34" s="714">
        <v>20.82</v>
      </c>
    </row>
    <row r="35" spans="2:10" s="52" customFormat="1" ht="15" customHeight="1">
      <c r="B35" s="711"/>
      <c r="C35" s="704"/>
      <c r="D35" s="703"/>
      <c r="E35" s="704" t="s">
        <v>109</v>
      </c>
      <c r="F35" s="712" t="s">
        <v>517</v>
      </c>
      <c r="G35" s="713"/>
      <c r="H35" s="714"/>
      <c r="I35" s="713"/>
      <c r="J35" s="714"/>
    </row>
    <row r="36" spans="2:10" s="52" customFormat="1" ht="15" customHeight="1">
      <c r="B36" s="711"/>
      <c r="C36" s="704"/>
      <c r="D36" s="704"/>
      <c r="E36" s="704" t="s">
        <v>110</v>
      </c>
      <c r="F36" s="712" t="s">
        <v>517</v>
      </c>
      <c r="G36" s="713"/>
      <c r="H36" s="714"/>
      <c r="I36" s="713"/>
      <c r="J36" s="714"/>
    </row>
    <row r="37" spans="2:10" s="52" customFormat="1" ht="15" customHeight="1">
      <c r="B37" s="711"/>
      <c r="C37" s="704"/>
      <c r="D37" s="704"/>
      <c r="E37" s="704" t="s">
        <v>111</v>
      </c>
      <c r="F37" s="712" t="s">
        <v>517</v>
      </c>
      <c r="G37" s="713"/>
      <c r="H37" s="714"/>
      <c r="I37" s="713"/>
      <c r="J37" s="714"/>
    </row>
    <row r="38" spans="2:10" s="52" customFormat="1" ht="15" customHeight="1">
      <c r="B38" s="711"/>
      <c r="C38" s="704"/>
      <c r="D38" s="704"/>
      <c r="E38" s="704"/>
      <c r="F38" s="712"/>
      <c r="G38" s="715"/>
      <c r="H38" s="716"/>
      <c r="I38" s="715"/>
      <c r="J38" s="716"/>
    </row>
    <row r="39" spans="2:10" s="52" customFormat="1" ht="15" customHeight="1">
      <c r="B39" s="711"/>
      <c r="C39" s="704"/>
      <c r="D39" s="703" t="s">
        <v>93</v>
      </c>
      <c r="E39" s="704"/>
      <c r="F39" s="712"/>
      <c r="G39" s="715"/>
      <c r="H39" s="716"/>
      <c r="I39" s="715"/>
      <c r="J39" s="716"/>
    </row>
    <row r="40" spans="2:10" s="52" customFormat="1" ht="15" customHeight="1">
      <c r="B40" s="711"/>
      <c r="C40" s="704"/>
      <c r="D40" s="726"/>
      <c r="E40" s="704" t="s">
        <v>112</v>
      </c>
      <c r="F40" s="712" t="s">
        <v>518</v>
      </c>
      <c r="G40" s="713"/>
      <c r="H40" s="714"/>
      <c r="I40" s="713">
        <v>1.52</v>
      </c>
      <c r="J40" s="714">
        <v>2.0499999999999998</v>
      </c>
    </row>
    <row r="41" spans="2:10" s="52" customFormat="1" ht="15" customHeight="1">
      <c r="B41" s="711"/>
      <c r="C41" s="704"/>
      <c r="D41" s="703"/>
      <c r="E41" s="704" t="s">
        <v>113</v>
      </c>
      <c r="F41" s="712" t="s">
        <v>518</v>
      </c>
      <c r="G41" s="713"/>
      <c r="H41" s="714"/>
      <c r="I41" s="713"/>
      <c r="J41" s="714"/>
    </row>
    <row r="42" spans="2:10" s="52" customFormat="1" ht="15" customHeight="1">
      <c r="B42" s="711"/>
      <c r="C42" s="704"/>
      <c r="D42" s="704"/>
      <c r="E42" s="704"/>
      <c r="F42" s="712"/>
      <c r="G42" s="715"/>
      <c r="H42" s="716"/>
      <c r="I42" s="715"/>
      <c r="J42" s="716"/>
    </row>
    <row r="43" spans="2:10" s="52" customFormat="1" ht="15" customHeight="1">
      <c r="B43" s="711"/>
      <c r="C43" s="704"/>
      <c r="D43" s="703" t="s">
        <v>114</v>
      </c>
      <c r="E43" s="704"/>
      <c r="F43" s="712"/>
      <c r="G43" s="715"/>
      <c r="H43" s="716"/>
      <c r="I43" s="715"/>
      <c r="J43" s="716"/>
    </row>
    <row r="44" spans="2:10" s="52" customFormat="1" ht="15" customHeight="1">
      <c r="B44" s="711"/>
      <c r="C44" s="704"/>
      <c r="D44" s="703"/>
      <c r="E44" s="704" t="s">
        <v>115</v>
      </c>
      <c r="F44" s="712" t="s">
        <v>517</v>
      </c>
      <c r="G44" s="713">
        <v>32.92</v>
      </c>
      <c r="H44" s="714">
        <v>39.503999999999998</v>
      </c>
      <c r="I44" s="713">
        <v>73.02</v>
      </c>
      <c r="J44" s="714">
        <v>84.36</v>
      </c>
    </row>
    <row r="45" spans="2:10" s="52" customFormat="1" ht="15" customHeight="1">
      <c r="B45" s="711"/>
      <c r="C45" s="704"/>
      <c r="D45" s="703"/>
      <c r="E45" s="704" t="s">
        <v>116</v>
      </c>
      <c r="F45" s="712" t="s">
        <v>517</v>
      </c>
      <c r="G45" s="713"/>
      <c r="H45" s="714"/>
      <c r="I45" s="713"/>
      <c r="J45" s="714"/>
    </row>
    <row r="46" spans="2:10" s="52" customFormat="1" ht="15" customHeight="1">
      <c r="B46" s="711"/>
      <c r="C46" s="704"/>
      <c r="D46" s="703"/>
      <c r="E46" s="704"/>
      <c r="F46" s="712"/>
      <c r="G46" s="715"/>
      <c r="H46" s="716"/>
      <c r="I46" s="715"/>
      <c r="J46" s="716"/>
    </row>
    <row r="47" spans="2:10" s="52" customFormat="1">
      <c r="B47" s="711"/>
      <c r="C47" s="704"/>
      <c r="D47" s="703" t="s">
        <v>117</v>
      </c>
      <c r="E47" s="704"/>
      <c r="F47" s="712"/>
      <c r="G47" s="715"/>
      <c r="H47" s="716"/>
      <c r="I47" s="715"/>
      <c r="J47" s="716"/>
    </row>
    <row r="48" spans="2:10" s="52" customFormat="1">
      <c r="B48" s="711"/>
      <c r="C48" s="704"/>
      <c r="D48" s="703"/>
      <c r="E48" s="704" t="s">
        <v>118</v>
      </c>
      <c r="F48" s="712" t="s">
        <v>517</v>
      </c>
      <c r="G48" s="713"/>
      <c r="H48" s="714"/>
      <c r="I48" s="713">
        <v>471.36</v>
      </c>
      <c r="J48" s="714">
        <v>535.69000000000005</v>
      </c>
    </row>
    <row r="49" spans="2:10" s="52" customFormat="1">
      <c r="B49" s="711"/>
      <c r="C49" s="704"/>
      <c r="D49" s="703"/>
      <c r="E49" s="704"/>
      <c r="F49" s="712"/>
      <c r="G49" s="715"/>
      <c r="H49" s="716"/>
      <c r="I49" s="715"/>
      <c r="J49" s="716"/>
    </row>
    <row r="50" spans="2:10" s="52" customFormat="1">
      <c r="B50" s="711"/>
      <c r="C50" s="704"/>
      <c r="D50" s="703" t="s">
        <v>100</v>
      </c>
      <c r="E50" s="704"/>
      <c r="F50" s="712"/>
      <c r="G50" s="715"/>
      <c r="H50" s="716"/>
      <c r="I50" s="715"/>
      <c r="J50" s="716"/>
    </row>
    <row r="51" spans="2:10" s="52" customFormat="1">
      <c r="B51" s="711"/>
      <c r="C51" s="704"/>
      <c r="D51" s="703"/>
      <c r="E51" s="704" t="s">
        <v>119</v>
      </c>
      <c r="F51" s="712" t="s">
        <v>518</v>
      </c>
      <c r="G51" s="713">
        <v>7.13</v>
      </c>
      <c r="H51" s="714">
        <v>8.5559999999999992</v>
      </c>
      <c r="I51" s="713">
        <v>7.17</v>
      </c>
      <c r="J51" s="714">
        <v>8.31</v>
      </c>
    </row>
    <row r="52" spans="2:10" s="52" customFormat="1">
      <c r="B52" s="711"/>
      <c r="C52" s="704"/>
      <c r="D52" s="703"/>
      <c r="E52" s="704" t="s">
        <v>120</v>
      </c>
      <c r="F52" s="712" t="s">
        <v>518</v>
      </c>
      <c r="G52" s="713">
        <v>20.49</v>
      </c>
      <c r="H52" s="714">
        <v>24.587999999999997</v>
      </c>
      <c r="I52" s="713">
        <v>21.37</v>
      </c>
      <c r="J52" s="714">
        <v>24.52</v>
      </c>
    </row>
    <row r="53" spans="2:10" s="52" customFormat="1">
      <c r="B53" s="711"/>
      <c r="C53" s="704"/>
      <c r="D53" s="703"/>
      <c r="E53" s="704" t="s">
        <v>121</v>
      </c>
      <c r="F53" s="712" t="s">
        <v>518</v>
      </c>
      <c r="G53" s="713">
        <v>6.01</v>
      </c>
      <c r="H53" s="714">
        <v>7.2119999999999997</v>
      </c>
      <c r="I53" s="713">
        <v>6.05</v>
      </c>
      <c r="J53" s="714">
        <v>7.06</v>
      </c>
    </row>
    <row r="54" spans="2:10" s="52" customFormat="1">
      <c r="B54" s="711"/>
      <c r="C54" s="704"/>
      <c r="D54" s="703"/>
      <c r="E54" s="704" t="s">
        <v>122</v>
      </c>
      <c r="F54" s="712" t="s">
        <v>518</v>
      </c>
      <c r="G54" s="713">
        <v>6.71</v>
      </c>
      <c r="H54" s="714">
        <v>8.0519999999999996</v>
      </c>
      <c r="I54" s="713">
        <v>8.17</v>
      </c>
      <c r="J54" s="714">
        <v>10.15</v>
      </c>
    </row>
    <row r="55" spans="2:10" s="52" customFormat="1">
      <c r="B55" s="711"/>
      <c r="C55" s="704"/>
      <c r="D55" s="703"/>
      <c r="E55" s="704" t="s">
        <v>123</v>
      </c>
      <c r="F55" s="712" t="s">
        <v>518</v>
      </c>
      <c r="G55" s="713">
        <v>6.99</v>
      </c>
      <c r="H55" s="714">
        <v>8.3879999999999999</v>
      </c>
      <c r="I55" s="713">
        <v>10</v>
      </c>
      <c r="J55" s="714">
        <v>12.28</v>
      </c>
    </row>
    <row r="56" spans="2:10" s="52" customFormat="1">
      <c r="B56" s="711"/>
      <c r="C56" s="704"/>
      <c r="D56" s="703"/>
      <c r="E56" s="704" t="s">
        <v>124</v>
      </c>
      <c r="F56" s="712" t="s">
        <v>518</v>
      </c>
      <c r="G56" s="717"/>
      <c r="H56" s="718"/>
      <c r="I56" s="717"/>
      <c r="J56" s="718"/>
    </row>
    <row r="57" spans="2:10" s="52" customFormat="1">
      <c r="B57" s="711"/>
      <c r="C57" s="704"/>
      <c r="D57" s="703"/>
      <c r="E57" s="704" t="s">
        <v>125</v>
      </c>
      <c r="F57" s="712" t="s">
        <v>518</v>
      </c>
      <c r="G57" s="717"/>
      <c r="H57" s="718"/>
      <c r="I57" s="717"/>
      <c r="J57" s="718"/>
    </row>
    <row r="58" spans="2:10" s="52" customFormat="1">
      <c r="B58" s="711"/>
      <c r="C58" s="704"/>
      <c r="D58" s="704"/>
      <c r="E58" s="704" t="s">
        <v>126</v>
      </c>
      <c r="F58" s="712" t="s">
        <v>518</v>
      </c>
      <c r="G58" s="713"/>
      <c r="H58" s="714"/>
      <c r="I58" s="713"/>
      <c r="J58" s="714"/>
    </row>
    <row r="59" spans="2:10" s="52" customFormat="1">
      <c r="B59" s="711"/>
      <c r="C59" s="704"/>
      <c r="D59" s="704"/>
      <c r="E59" s="704" t="s">
        <v>127</v>
      </c>
      <c r="F59" s="712" t="s">
        <v>518</v>
      </c>
      <c r="G59" s="713"/>
      <c r="H59" s="714"/>
      <c r="I59" s="713"/>
      <c r="J59" s="714"/>
    </row>
    <row r="60" spans="2:10" s="52" customFormat="1">
      <c r="B60" s="711"/>
      <c r="C60" s="704"/>
      <c r="D60" s="703"/>
      <c r="E60" s="704" t="s">
        <v>128</v>
      </c>
      <c r="F60" s="712" t="s">
        <v>518</v>
      </c>
      <c r="G60" s="713"/>
      <c r="H60" s="714"/>
      <c r="I60" s="713"/>
      <c r="J60" s="714"/>
    </row>
    <row r="61" spans="2:10" s="52" customFormat="1">
      <c r="B61" s="711"/>
      <c r="C61" s="704"/>
      <c r="D61" s="703"/>
      <c r="E61" s="704" t="s">
        <v>129</v>
      </c>
      <c r="F61" s="712" t="s">
        <v>518</v>
      </c>
      <c r="G61" s="713"/>
      <c r="H61" s="714"/>
      <c r="I61" s="713"/>
      <c r="J61" s="714"/>
    </row>
    <row r="62" spans="2:10" s="52" customFormat="1">
      <c r="B62" s="711"/>
      <c r="C62" s="704"/>
      <c r="D62" s="703"/>
      <c r="E62" s="704" t="s">
        <v>130</v>
      </c>
      <c r="F62" s="712" t="s">
        <v>518</v>
      </c>
      <c r="G62" s="713"/>
      <c r="H62" s="714"/>
      <c r="I62" s="713"/>
      <c r="J62" s="714"/>
    </row>
    <row r="63" spans="2:10" s="52" customFormat="1">
      <c r="B63" s="711"/>
      <c r="C63" s="704"/>
      <c r="D63" s="703"/>
      <c r="E63" s="704" t="s">
        <v>131</v>
      </c>
      <c r="F63" s="712" t="s">
        <v>518</v>
      </c>
      <c r="G63" s="717"/>
      <c r="H63" s="718"/>
      <c r="I63" s="717"/>
      <c r="J63" s="718"/>
    </row>
    <row r="64" spans="2:10" s="52" customFormat="1">
      <c r="B64" s="711"/>
      <c r="C64" s="704"/>
      <c r="D64" s="703"/>
      <c r="E64" s="704" t="s">
        <v>132</v>
      </c>
      <c r="F64" s="712" t="s">
        <v>518</v>
      </c>
      <c r="G64" s="717"/>
      <c r="H64" s="718"/>
      <c r="I64" s="717"/>
      <c r="J64" s="718"/>
    </row>
    <row r="65" spans="2:10" s="52" customFormat="1">
      <c r="B65" s="711"/>
      <c r="C65" s="704"/>
      <c r="D65" s="703"/>
      <c r="E65" s="704"/>
      <c r="F65" s="727"/>
      <c r="G65" s="715"/>
      <c r="H65" s="716"/>
      <c r="I65" s="715"/>
      <c r="J65" s="716"/>
    </row>
    <row r="66" spans="2:10" s="52" customFormat="1">
      <c r="B66" s="711"/>
      <c r="C66" s="704"/>
      <c r="D66" s="703" t="s">
        <v>133</v>
      </c>
      <c r="E66" s="704"/>
      <c r="F66" s="727"/>
      <c r="G66" s="715"/>
      <c r="H66" s="716"/>
      <c r="I66" s="715"/>
      <c r="J66" s="716"/>
    </row>
    <row r="67" spans="2:10" s="52" customFormat="1">
      <c r="B67" s="711"/>
      <c r="C67" s="704"/>
      <c r="D67" s="703"/>
      <c r="E67" s="704" t="s">
        <v>134</v>
      </c>
      <c r="F67" s="712" t="s">
        <v>518</v>
      </c>
      <c r="G67" s="713">
        <v>1.66</v>
      </c>
      <c r="H67" s="714">
        <v>1.9919999999999998</v>
      </c>
      <c r="I67" s="713">
        <v>1.33</v>
      </c>
      <c r="J67" s="714">
        <v>1.78</v>
      </c>
    </row>
    <row r="68" spans="2:10" s="52" customFormat="1">
      <c r="B68" s="711"/>
      <c r="C68" s="704"/>
      <c r="D68" s="703"/>
      <c r="E68" s="704" t="s">
        <v>135</v>
      </c>
      <c r="F68" s="712" t="s">
        <v>518</v>
      </c>
      <c r="G68" s="713">
        <v>9.32</v>
      </c>
      <c r="H68" s="714">
        <v>11.183999999999999</v>
      </c>
      <c r="I68" s="713">
        <v>10.86</v>
      </c>
      <c r="J68" s="714">
        <v>12.82</v>
      </c>
    </row>
    <row r="69" spans="2:10" s="52" customFormat="1">
      <c r="B69" s="711"/>
      <c r="C69" s="704"/>
      <c r="D69" s="703"/>
      <c r="E69" s="704" t="s">
        <v>136</v>
      </c>
      <c r="F69" s="712" t="s">
        <v>518</v>
      </c>
      <c r="G69" s="713"/>
      <c r="H69" s="714"/>
      <c r="I69" s="713"/>
      <c r="J69" s="714"/>
    </row>
    <row r="70" spans="2:10" s="52" customFormat="1">
      <c r="B70" s="711"/>
      <c r="C70" s="704"/>
      <c r="D70" s="703"/>
      <c r="E70" s="704" t="s">
        <v>137</v>
      </c>
      <c r="F70" s="712" t="s">
        <v>518</v>
      </c>
      <c r="G70" s="713"/>
      <c r="H70" s="714"/>
      <c r="I70" s="713"/>
      <c r="J70" s="714"/>
    </row>
    <row r="71" spans="2:10" s="52" customFormat="1" ht="13.5" thickBot="1">
      <c r="B71" s="719"/>
      <c r="C71" s="720"/>
      <c r="D71" s="720"/>
      <c r="E71" s="720"/>
      <c r="F71" s="721"/>
      <c r="G71" s="722"/>
      <c r="H71" s="723"/>
      <c r="I71" s="722"/>
      <c r="J71" s="723"/>
    </row>
    <row r="72" spans="2:10" s="52" customFormat="1">
      <c r="B72" s="724"/>
      <c r="C72" s="725" t="s">
        <v>138</v>
      </c>
      <c r="D72" s="725"/>
      <c r="E72" s="726"/>
      <c r="F72" s="727"/>
      <c r="G72" s="715"/>
      <c r="H72" s="716"/>
      <c r="I72" s="715"/>
      <c r="J72" s="716"/>
    </row>
    <row r="73" spans="2:10" s="52" customFormat="1">
      <c r="B73" s="711"/>
      <c r="C73" s="704"/>
      <c r="D73" s="703" t="s">
        <v>430</v>
      </c>
      <c r="E73" s="704"/>
      <c r="F73" s="712"/>
      <c r="G73" s="715"/>
      <c r="H73" s="716"/>
      <c r="I73" s="715"/>
      <c r="J73" s="716"/>
    </row>
    <row r="74" spans="2:10" s="52" customFormat="1">
      <c r="B74" s="711"/>
      <c r="C74" s="704"/>
      <c r="D74" s="704"/>
      <c r="E74" s="704" t="s">
        <v>139</v>
      </c>
      <c r="F74" s="712" t="s">
        <v>517</v>
      </c>
      <c r="G74" s="713">
        <v>41.59</v>
      </c>
      <c r="H74" s="714">
        <v>49.908000000000001</v>
      </c>
      <c r="I74" s="713">
        <v>23.76</v>
      </c>
      <c r="J74" s="714">
        <v>26.88</v>
      </c>
    </row>
    <row r="75" spans="2:10" s="52" customFormat="1">
      <c r="B75" s="711"/>
      <c r="C75" s="704"/>
      <c r="D75" s="703"/>
      <c r="E75" s="704" t="s">
        <v>140</v>
      </c>
      <c r="F75" s="712" t="s">
        <v>517</v>
      </c>
      <c r="G75" s="713"/>
      <c r="H75" s="714"/>
      <c r="I75" s="713">
        <v>29.82</v>
      </c>
      <c r="J75" s="714">
        <v>33.67</v>
      </c>
    </row>
    <row r="76" spans="2:10" s="52" customFormat="1">
      <c r="B76" s="711"/>
      <c r="C76" s="704"/>
      <c r="D76" s="703"/>
      <c r="E76" s="704" t="s">
        <v>141</v>
      </c>
      <c r="F76" s="712" t="s">
        <v>517</v>
      </c>
      <c r="G76" s="713">
        <v>55.8</v>
      </c>
      <c r="H76" s="714">
        <v>66.959999999999994</v>
      </c>
      <c r="I76" s="713">
        <v>36.97</v>
      </c>
      <c r="J76" s="714">
        <v>41.55</v>
      </c>
    </row>
    <row r="77" spans="2:10" s="52" customFormat="1">
      <c r="B77" s="711"/>
      <c r="C77" s="704"/>
      <c r="D77" s="703"/>
      <c r="E77" s="704" t="s">
        <v>142</v>
      </c>
      <c r="F77" s="712" t="s">
        <v>517</v>
      </c>
      <c r="G77" s="713"/>
      <c r="H77" s="714"/>
      <c r="I77" s="713">
        <v>46.81</v>
      </c>
      <c r="J77" s="714">
        <v>52.49</v>
      </c>
    </row>
    <row r="78" spans="2:10" s="52" customFormat="1">
      <c r="B78" s="711"/>
      <c r="C78" s="704"/>
      <c r="D78" s="703"/>
      <c r="E78" s="704"/>
      <c r="F78" s="712"/>
      <c r="G78" s="715"/>
      <c r="H78" s="716"/>
      <c r="I78" s="715"/>
      <c r="J78" s="716"/>
    </row>
    <row r="79" spans="2:10" s="52" customFormat="1">
      <c r="B79" s="711"/>
      <c r="C79" s="704"/>
      <c r="D79" s="703" t="s">
        <v>93</v>
      </c>
      <c r="E79" s="704"/>
      <c r="F79" s="712"/>
      <c r="G79" s="715"/>
      <c r="H79" s="716"/>
      <c r="I79" s="715"/>
      <c r="J79" s="716"/>
    </row>
    <row r="80" spans="2:10" s="52" customFormat="1">
      <c r="B80" s="711"/>
      <c r="C80" s="704"/>
      <c r="D80" s="704"/>
      <c r="E80" s="704" t="s">
        <v>143</v>
      </c>
      <c r="F80" s="712" t="s">
        <v>518</v>
      </c>
      <c r="G80" s="713"/>
      <c r="H80" s="714"/>
      <c r="I80" s="713">
        <v>1.99</v>
      </c>
      <c r="J80" s="714">
        <v>2.61</v>
      </c>
    </row>
    <row r="81" spans="2:10" s="52" customFormat="1">
      <c r="B81" s="711"/>
      <c r="C81" s="704"/>
      <c r="D81" s="704"/>
      <c r="E81" s="704" t="s">
        <v>144</v>
      </c>
      <c r="F81" s="712" t="s">
        <v>518</v>
      </c>
      <c r="G81" s="713"/>
      <c r="H81" s="714"/>
      <c r="I81" s="713">
        <v>39.15</v>
      </c>
      <c r="J81" s="714">
        <v>45.36</v>
      </c>
    </row>
    <row r="82" spans="2:10" s="52" customFormat="1">
      <c r="B82" s="711"/>
      <c r="C82" s="704"/>
      <c r="D82" s="703"/>
      <c r="E82" s="704" t="s">
        <v>145</v>
      </c>
      <c r="F82" s="712" t="s">
        <v>518</v>
      </c>
      <c r="G82" s="713"/>
      <c r="H82" s="714"/>
      <c r="I82" s="713">
        <v>2.74</v>
      </c>
      <c r="J82" s="714">
        <v>3.61</v>
      </c>
    </row>
    <row r="83" spans="2:10" s="52" customFormat="1">
      <c r="B83" s="711"/>
      <c r="C83" s="704"/>
      <c r="D83" s="703"/>
      <c r="E83" s="704" t="s">
        <v>146</v>
      </c>
      <c r="F83" s="712" t="s">
        <v>518</v>
      </c>
      <c r="G83" s="713"/>
      <c r="H83" s="714"/>
      <c r="I83" s="713">
        <v>64.959999999999994</v>
      </c>
      <c r="J83" s="714">
        <v>74.53</v>
      </c>
    </row>
    <row r="84" spans="2:10" s="52" customFormat="1">
      <c r="B84" s="711"/>
      <c r="C84" s="704"/>
      <c r="D84" s="704"/>
      <c r="E84" s="704"/>
      <c r="F84" s="712"/>
      <c r="G84" s="715"/>
      <c r="H84" s="716"/>
      <c r="I84" s="715"/>
      <c r="J84" s="716"/>
    </row>
    <row r="85" spans="2:10" s="52" customFormat="1">
      <c r="B85" s="702"/>
      <c r="C85" s="704"/>
      <c r="D85" s="703" t="s">
        <v>114</v>
      </c>
      <c r="E85" s="704"/>
      <c r="F85" s="712"/>
      <c r="G85" s="715"/>
      <c r="H85" s="716"/>
      <c r="I85" s="715"/>
      <c r="J85" s="716"/>
    </row>
    <row r="86" spans="2:10" s="52" customFormat="1">
      <c r="B86" s="702"/>
      <c r="C86" s="704"/>
      <c r="D86" s="703"/>
      <c r="E86" s="704" t="s">
        <v>147</v>
      </c>
      <c r="F86" s="712" t="s">
        <v>517</v>
      </c>
      <c r="G86" s="713">
        <v>148.69</v>
      </c>
      <c r="H86" s="714">
        <v>178.428</v>
      </c>
      <c r="I86" s="713">
        <v>152.88999999999999</v>
      </c>
      <c r="J86" s="714">
        <v>173.04</v>
      </c>
    </row>
    <row r="87" spans="2:10" s="52" customFormat="1">
      <c r="B87" s="702"/>
      <c r="C87" s="704"/>
      <c r="D87" s="703"/>
      <c r="E87" s="704" t="s">
        <v>148</v>
      </c>
      <c r="F87" s="712" t="s">
        <v>517</v>
      </c>
      <c r="G87" s="713"/>
      <c r="H87" s="714"/>
      <c r="I87" s="713">
        <v>152.88999999999999</v>
      </c>
      <c r="J87" s="714">
        <v>152.88999999999999</v>
      </c>
    </row>
    <row r="88" spans="2:10" s="52" customFormat="1">
      <c r="B88" s="702"/>
      <c r="C88" s="704"/>
      <c r="D88" s="703"/>
      <c r="E88" s="704" t="s">
        <v>149</v>
      </c>
      <c r="F88" s="712" t="s">
        <v>517</v>
      </c>
      <c r="G88" s="713"/>
      <c r="H88" s="714"/>
      <c r="I88" s="713">
        <v>152.88999999999999</v>
      </c>
      <c r="J88" s="714">
        <v>173.42</v>
      </c>
    </row>
    <row r="89" spans="2:10" s="52" customFormat="1">
      <c r="B89" s="702"/>
      <c r="C89" s="704"/>
      <c r="D89" s="703"/>
      <c r="E89" s="704" t="s">
        <v>150</v>
      </c>
      <c r="F89" s="712" t="s">
        <v>517</v>
      </c>
      <c r="G89" s="713">
        <v>440.09</v>
      </c>
      <c r="H89" s="714">
        <v>528.10799999999995</v>
      </c>
      <c r="I89" s="713">
        <v>444.45</v>
      </c>
      <c r="J89" s="714"/>
    </row>
    <row r="90" spans="2:10" s="52" customFormat="1">
      <c r="B90" s="702"/>
      <c r="C90" s="704"/>
      <c r="D90" s="703"/>
      <c r="E90" s="704" t="s">
        <v>151</v>
      </c>
      <c r="F90" s="712" t="s">
        <v>517</v>
      </c>
      <c r="G90" s="713"/>
      <c r="H90" s="714"/>
      <c r="I90" s="713">
        <v>444.45</v>
      </c>
      <c r="J90" s="714"/>
    </row>
    <row r="91" spans="2:10" s="52" customFormat="1">
      <c r="B91" s="702"/>
      <c r="C91" s="704"/>
      <c r="D91" s="703"/>
      <c r="E91" s="704" t="s">
        <v>152</v>
      </c>
      <c r="F91" s="712" t="s">
        <v>517</v>
      </c>
      <c r="G91" s="713"/>
      <c r="H91" s="714"/>
      <c r="I91" s="713">
        <v>444.45</v>
      </c>
      <c r="J91" s="714"/>
    </row>
    <row r="92" spans="2:10" s="52" customFormat="1">
      <c r="B92" s="702"/>
      <c r="C92" s="704"/>
      <c r="D92" s="704"/>
      <c r="E92" s="704"/>
      <c r="F92" s="712"/>
      <c r="G92" s="715"/>
      <c r="H92" s="716"/>
      <c r="I92" s="715"/>
      <c r="J92" s="716"/>
    </row>
    <row r="93" spans="2:10" s="52" customFormat="1">
      <c r="B93" s="702"/>
      <c r="C93" s="704"/>
      <c r="D93" s="703" t="s">
        <v>117</v>
      </c>
      <c r="E93" s="704"/>
      <c r="F93" s="712"/>
      <c r="G93" s="715"/>
      <c r="H93" s="716"/>
      <c r="I93" s="715"/>
      <c r="J93" s="716"/>
    </row>
    <row r="94" spans="2:10" s="52" customFormat="1">
      <c r="B94" s="702"/>
      <c r="C94" s="704"/>
      <c r="D94" s="704"/>
      <c r="E94" s="704" t="s">
        <v>153</v>
      </c>
      <c r="F94" s="712" t="s">
        <v>517</v>
      </c>
      <c r="G94" s="713"/>
      <c r="H94" s="714"/>
      <c r="I94" s="713">
        <v>1020.97</v>
      </c>
      <c r="J94" s="714">
        <v>1134.52</v>
      </c>
    </row>
    <row r="95" spans="2:10" s="52" customFormat="1">
      <c r="B95" s="702"/>
      <c r="C95" s="704"/>
      <c r="D95" s="703"/>
      <c r="E95" s="704"/>
      <c r="F95" s="712"/>
      <c r="G95" s="715"/>
      <c r="H95" s="716"/>
      <c r="I95" s="715"/>
      <c r="J95" s="716"/>
    </row>
    <row r="96" spans="2:10" s="52" customFormat="1">
      <c r="B96" s="702"/>
      <c r="C96" s="704"/>
      <c r="D96" s="703" t="s">
        <v>100</v>
      </c>
      <c r="E96" s="704"/>
      <c r="F96" s="712"/>
      <c r="G96" s="715"/>
      <c r="H96" s="716"/>
      <c r="I96" s="715"/>
      <c r="J96" s="716"/>
    </row>
    <row r="97" spans="2:10" s="52" customFormat="1">
      <c r="B97" s="702"/>
      <c r="C97" s="704"/>
      <c r="D97" s="703"/>
      <c r="E97" s="726" t="s">
        <v>154</v>
      </c>
      <c r="F97" s="712" t="s">
        <v>518</v>
      </c>
      <c r="G97" s="713">
        <v>74.239999999999995</v>
      </c>
      <c r="H97" s="714">
        <v>89.087999999999994</v>
      </c>
      <c r="I97" s="713">
        <v>59.25</v>
      </c>
      <c r="J97" s="714">
        <v>66.58</v>
      </c>
    </row>
    <row r="98" spans="2:10" s="52" customFormat="1">
      <c r="B98" s="702"/>
      <c r="C98" s="704"/>
      <c r="D98" s="703"/>
      <c r="E98" s="726" t="s">
        <v>155</v>
      </c>
      <c r="F98" s="712" t="s">
        <v>518</v>
      </c>
      <c r="G98" s="713">
        <v>51.24</v>
      </c>
      <c r="H98" s="714">
        <v>61.488</v>
      </c>
      <c r="I98" s="713">
        <v>44.23</v>
      </c>
      <c r="J98" s="714">
        <v>51.4</v>
      </c>
    </row>
    <row r="99" spans="2:10" s="52" customFormat="1">
      <c r="B99" s="702"/>
      <c r="C99" s="704"/>
      <c r="D99" s="703"/>
      <c r="E99" s="726" t="s">
        <v>156</v>
      </c>
      <c r="F99" s="712" t="s">
        <v>518</v>
      </c>
      <c r="G99" s="713"/>
      <c r="H99" s="714"/>
      <c r="I99" s="713">
        <v>29.05</v>
      </c>
      <c r="J99" s="714">
        <v>33.17</v>
      </c>
    </row>
    <row r="100" spans="2:10" s="52" customFormat="1">
      <c r="B100" s="702"/>
      <c r="C100" s="704"/>
      <c r="D100" s="703"/>
      <c r="E100" s="726" t="s">
        <v>157</v>
      </c>
      <c r="F100" s="712" t="s">
        <v>518</v>
      </c>
      <c r="G100" s="713"/>
      <c r="H100" s="714"/>
      <c r="I100" s="713"/>
      <c r="J100" s="714"/>
    </row>
    <row r="101" spans="2:10" s="52" customFormat="1">
      <c r="B101" s="702"/>
      <c r="C101" s="704"/>
      <c r="D101" s="703"/>
      <c r="E101" s="726" t="s">
        <v>158</v>
      </c>
      <c r="F101" s="712" t="s">
        <v>518</v>
      </c>
      <c r="G101" s="713"/>
      <c r="H101" s="714"/>
      <c r="I101" s="713"/>
      <c r="J101" s="714"/>
    </row>
    <row r="102" spans="2:10" s="52" customFormat="1">
      <c r="B102" s="702"/>
      <c r="C102" s="704"/>
      <c r="D102" s="703"/>
      <c r="E102" s="726" t="s">
        <v>159</v>
      </c>
      <c r="F102" s="712" t="s">
        <v>518</v>
      </c>
      <c r="G102" s="717"/>
      <c r="H102" s="718"/>
      <c r="I102" s="717"/>
      <c r="J102" s="718"/>
    </row>
    <row r="103" spans="2:10" s="52" customFormat="1">
      <c r="B103" s="702"/>
      <c r="C103" s="704"/>
      <c r="D103" s="703"/>
      <c r="E103" s="726" t="s">
        <v>160</v>
      </c>
      <c r="F103" s="712" t="s">
        <v>518</v>
      </c>
      <c r="G103" s="713">
        <v>77.239999999999995</v>
      </c>
      <c r="H103" s="714">
        <v>92.687999999999988</v>
      </c>
      <c r="I103" s="713">
        <v>77.239999999999995</v>
      </c>
      <c r="J103" s="714">
        <v>88.11</v>
      </c>
    </row>
    <row r="104" spans="2:10" s="52" customFormat="1">
      <c r="B104" s="702"/>
      <c r="C104" s="704"/>
      <c r="D104" s="703"/>
      <c r="E104" s="726" t="s">
        <v>161</v>
      </c>
      <c r="F104" s="712" t="s">
        <v>518</v>
      </c>
      <c r="G104" s="717"/>
      <c r="H104" s="718"/>
      <c r="I104" s="717"/>
      <c r="J104" s="718"/>
    </row>
    <row r="105" spans="2:10" s="52" customFormat="1">
      <c r="B105" s="702"/>
      <c r="C105" s="704"/>
      <c r="D105" s="703"/>
      <c r="E105" s="704"/>
      <c r="F105" s="712"/>
      <c r="G105" s="715"/>
      <c r="H105" s="716"/>
      <c r="I105" s="715"/>
      <c r="J105" s="716"/>
    </row>
    <row r="106" spans="2:10" s="52" customFormat="1">
      <c r="B106" s="702"/>
      <c r="C106" s="704"/>
      <c r="D106" s="703" t="s">
        <v>133</v>
      </c>
      <c r="E106" s="704"/>
      <c r="F106" s="712"/>
      <c r="G106" s="715"/>
      <c r="H106" s="716"/>
      <c r="I106" s="715"/>
      <c r="J106" s="716"/>
    </row>
    <row r="107" spans="2:10" s="52" customFormat="1">
      <c r="B107" s="702"/>
      <c r="C107" s="704"/>
      <c r="D107" s="704"/>
      <c r="E107" s="726" t="s">
        <v>162</v>
      </c>
      <c r="F107" s="712" t="s">
        <v>518</v>
      </c>
      <c r="G107" s="713"/>
      <c r="H107" s="714"/>
      <c r="I107" s="713"/>
      <c r="J107" s="714"/>
    </row>
    <row r="108" spans="2:10" s="52" customFormat="1">
      <c r="B108" s="702"/>
      <c r="C108" s="704"/>
      <c r="D108" s="704"/>
      <c r="E108" s="726" t="s">
        <v>163</v>
      </c>
      <c r="F108" s="712" t="s">
        <v>518</v>
      </c>
      <c r="G108" s="713">
        <v>228.25</v>
      </c>
      <c r="H108" s="714">
        <v>273.89999999999998</v>
      </c>
      <c r="I108" s="713">
        <v>223.81</v>
      </c>
      <c r="J108" s="714">
        <v>262.73</v>
      </c>
    </row>
    <row r="109" spans="2:10" s="52" customFormat="1">
      <c r="B109" s="702"/>
      <c r="C109" s="704"/>
      <c r="D109" s="704"/>
      <c r="E109" s="704" t="s">
        <v>164</v>
      </c>
      <c r="F109" s="712" t="s">
        <v>518</v>
      </c>
      <c r="G109" s="717"/>
      <c r="H109" s="718"/>
      <c r="I109" s="717"/>
      <c r="J109" s="718"/>
    </row>
    <row r="110" spans="2:10" s="52" customFormat="1">
      <c r="B110" s="702"/>
      <c r="C110" s="704"/>
      <c r="D110" s="704"/>
      <c r="E110" s="726" t="s">
        <v>165</v>
      </c>
      <c r="F110" s="712" t="s">
        <v>518</v>
      </c>
      <c r="G110" s="713">
        <v>411.49</v>
      </c>
      <c r="H110" s="714">
        <v>493.78800000000001</v>
      </c>
      <c r="I110" s="713">
        <v>399.61</v>
      </c>
      <c r="J110" s="714">
        <v>457.92</v>
      </c>
    </row>
    <row r="111" spans="2:10" s="52" customFormat="1">
      <c r="B111" s="702"/>
      <c r="C111" s="704"/>
      <c r="D111" s="703"/>
      <c r="E111" s="704" t="s">
        <v>166</v>
      </c>
      <c r="F111" s="712" t="s">
        <v>518</v>
      </c>
      <c r="G111" s="717"/>
      <c r="H111" s="718"/>
      <c r="I111" s="717"/>
      <c r="J111" s="718"/>
    </row>
    <row r="112" spans="2:10" s="52" customFormat="1" ht="13.5" thickBot="1">
      <c r="B112" s="719"/>
      <c r="C112" s="720"/>
      <c r="D112" s="720"/>
      <c r="E112" s="720"/>
      <c r="F112" s="721"/>
      <c r="G112" s="728"/>
      <c r="H112" s="729"/>
      <c r="I112" s="728"/>
      <c r="J112" s="729"/>
    </row>
    <row r="113" spans="2:10" s="52" customFormat="1">
      <c r="B113" s="724"/>
      <c r="C113" s="725" t="s">
        <v>167</v>
      </c>
      <c r="D113" s="725"/>
      <c r="E113" s="726"/>
      <c r="F113" s="727"/>
      <c r="G113" s="715"/>
      <c r="H113" s="716"/>
      <c r="I113" s="715"/>
      <c r="J113" s="716"/>
    </row>
    <row r="114" spans="2:10" s="52" customFormat="1">
      <c r="B114" s="702"/>
      <c r="C114" s="704"/>
      <c r="D114" s="703" t="s">
        <v>430</v>
      </c>
      <c r="E114" s="704"/>
      <c r="F114" s="712"/>
      <c r="G114" s="715"/>
      <c r="H114" s="716"/>
      <c r="I114" s="715"/>
      <c r="J114" s="716"/>
    </row>
    <row r="115" spans="2:10" s="52" customFormat="1">
      <c r="B115" s="702"/>
      <c r="C115" s="704"/>
      <c r="D115" s="703"/>
      <c r="E115" s="704" t="s">
        <v>168</v>
      </c>
      <c r="F115" s="712" t="s">
        <v>517</v>
      </c>
      <c r="G115" s="713">
        <v>74.69</v>
      </c>
      <c r="H115" s="714">
        <v>89.628</v>
      </c>
      <c r="I115" s="713">
        <v>52.85</v>
      </c>
      <c r="J115" s="714">
        <v>52.85</v>
      </c>
    </row>
    <row r="116" spans="2:10" s="52" customFormat="1">
      <c r="B116" s="702"/>
      <c r="C116" s="704"/>
      <c r="D116" s="703"/>
      <c r="E116" s="704" t="s">
        <v>169</v>
      </c>
      <c r="F116" s="712" t="s">
        <v>517</v>
      </c>
      <c r="G116" s="713">
        <v>637</v>
      </c>
      <c r="H116" s="714">
        <v>764.4</v>
      </c>
      <c r="I116" s="713">
        <v>47.77</v>
      </c>
      <c r="J116" s="714">
        <v>53.51</v>
      </c>
    </row>
    <row r="117" spans="2:10" s="52" customFormat="1">
      <c r="B117" s="702"/>
      <c r="C117" s="704"/>
      <c r="D117" s="703"/>
      <c r="E117" s="726"/>
      <c r="F117" s="712"/>
      <c r="G117" s="715"/>
      <c r="H117" s="716"/>
      <c r="I117" s="715"/>
      <c r="J117" s="716"/>
    </row>
    <row r="118" spans="2:10" s="52" customFormat="1">
      <c r="B118" s="702"/>
      <c r="C118" s="704"/>
      <c r="D118" s="703" t="s">
        <v>93</v>
      </c>
      <c r="E118" s="704"/>
      <c r="F118" s="727"/>
      <c r="G118" s="715"/>
      <c r="H118" s="716"/>
      <c r="I118" s="715"/>
      <c r="J118" s="716"/>
    </row>
    <row r="119" spans="2:10" s="52" customFormat="1">
      <c r="B119" s="702"/>
      <c r="C119" s="704"/>
      <c r="D119" s="703"/>
      <c r="E119" s="704" t="s">
        <v>170</v>
      </c>
      <c r="F119" s="712" t="s">
        <v>518</v>
      </c>
      <c r="G119" s="713"/>
      <c r="H119" s="714"/>
      <c r="I119" s="713">
        <v>2.61</v>
      </c>
      <c r="J119" s="714">
        <v>3.64</v>
      </c>
    </row>
    <row r="120" spans="2:10" s="52" customFormat="1">
      <c r="B120" s="702"/>
      <c r="C120" s="704"/>
      <c r="D120" s="703"/>
      <c r="E120" s="704" t="s">
        <v>171</v>
      </c>
      <c r="F120" s="712" t="s">
        <v>518</v>
      </c>
      <c r="G120" s="713"/>
      <c r="H120" s="714"/>
      <c r="I120" s="713">
        <v>86.15</v>
      </c>
      <c r="J120" s="714">
        <v>98.62</v>
      </c>
    </row>
    <row r="121" spans="2:10" s="52" customFormat="1">
      <c r="B121" s="702"/>
      <c r="C121" s="704"/>
      <c r="D121" s="703"/>
      <c r="E121" s="726" t="s">
        <v>172</v>
      </c>
      <c r="F121" s="712" t="s">
        <v>518</v>
      </c>
      <c r="G121" s="713"/>
      <c r="H121" s="714"/>
      <c r="I121" s="713">
        <v>2.98</v>
      </c>
      <c r="J121" s="714">
        <v>3.8</v>
      </c>
    </row>
    <row r="122" spans="2:10" s="52" customFormat="1">
      <c r="B122" s="702"/>
      <c r="C122" s="704"/>
      <c r="D122" s="704"/>
      <c r="E122" s="704"/>
      <c r="F122" s="712"/>
      <c r="G122" s="715"/>
      <c r="H122" s="716"/>
      <c r="I122" s="715"/>
      <c r="J122" s="716"/>
    </row>
    <row r="123" spans="2:10" s="52" customFormat="1">
      <c r="B123" s="702"/>
      <c r="C123" s="704"/>
      <c r="D123" s="703" t="s">
        <v>114</v>
      </c>
      <c r="E123" s="704"/>
      <c r="F123" s="727"/>
      <c r="G123" s="715"/>
      <c r="H123" s="716"/>
      <c r="I123" s="715"/>
      <c r="J123" s="716"/>
    </row>
    <row r="124" spans="2:10" s="52" customFormat="1">
      <c r="B124" s="702"/>
      <c r="C124" s="704"/>
      <c r="D124" s="704"/>
      <c r="E124" s="704" t="s">
        <v>173</v>
      </c>
      <c r="F124" s="712" t="s">
        <v>517</v>
      </c>
      <c r="G124" s="713">
        <v>1170.8800000000001</v>
      </c>
      <c r="H124" s="714">
        <v>1405.056</v>
      </c>
      <c r="I124" s="713">
        <v>1191.4000000000001</v>
      </c>
      <c r="J124" s="714">
        <v>0</v>
      </c>
    </row>
    <row r="125" spans="2:10" s="52" customFormat="1">
      <c r="B125" s="702"/>
      <c r="C125" s="704"/>
      <c r="D125" s="704"/>
      <c r="E125" s="704" t="s">
        <v>174</v>
      </c>
      <c r="F125" s="712" t="s">
        <v>517</v>
      </c>
      <c r="G125" s="713"/>
      <c r="H125" s="714"/>
      <c r="I125" s="713">
        <v>1191.4000000000001</v>
      </c>
      <c r="J125" s="714">
        <v>1323.44</v>
      </c>
    </row>
    <row r="126" spans="2:10" s="52" customFormat="1">
      <c r="B126" s="702"/>
      <c r="C126" s="704"/>
      <c r="D126" s="704"/>
      <c r="E126" s="704" t="s">
        <v>175</v>
      </c>
      <c r="F126" s="712" t="s">
        <v>517</v>
      </c>
      <c r="G126" s="713"/>
      <c r="H126" s="714"/>
      <c r="I126" s="713"/>
      <c r="J126" s="714"/>
    </row>
    <row r="127" spans="2:10" s="52" customFormat="1">
      <c r="B127" s="702"/>
      <c r="C127" s="704"/>
      <c r="D127" s="704"/>
      <c r="E127" s="704"/>
      <c r="F127" s="708"/>
      <c r="G127" s="715"/>
      <c r="H127" s="716"/>
      <c r="I127" s="715"/>
      <c r="J127" s="716"/>
    </row>
    <row r="128" spans="2:10" s="52" customFormat="1">
      <c r="B128" s="702"/>
      <c r="C128" s="704"/>
      <c r="D128" s="703" t="s">
        <v>117</v>
      </c>
      <c r="E128" s="704"/>
      <c r="F128" s="708"/>
      <c r="G128" s="715"/>
      <c r="H128" s="716"/>
      <c r="I128" s="715"/>
      <c r="J128" s="716"/>
    </row>
    <row r="129" spans="2:10" s="52" customFormat="1">
      <c r="B129" s="702"/>
      <c r="C129" s="704"/>
      <c r="D129" s="704"/>
      <c r="E129" s="726" t="s">
        <v>176</v>
      </c>
      <c r="F129" s="712" t="s">
        <v>517</v>
      </c>
      <c r="G129" s="713"/>
      <c r="H129" s="714"/>
      <c r="I129" s="713"/>
      <c r="J129" s="714"/>
    </row>
    <row r="130" spans="2:10" s="52" customFormat="1">
      <c r="B130" s="702"/>
      <c r="C130" s="704"/>
      <c r="D130" s="704"/>
      <c r="E130" s="704"/>
      <c r="F130" s="708"/>
      <c r="G130" s="715"/>
      <c r="H130" s="716"/>
      <c r="I130" s="715"/>
      <c r="J130" s="716"/>
    </row>
    <row r="131" spans="2:10" s="52" customFormat="1">
      <c r="B131" s="702"/>
      <c r="C131" s="704"/>
      <c r="D131" s="703" t="s">
        <v>100</v>
      </c>
      <c r="E131" s="704"/>
      <c r="F131" s="708"/>
      <c r="G131" s="715"/>
      <c r="H131" s="716"/>
      <c r="I131" s="715"/>
      <c r="J131" s="716"/>
    </row>
    <row r="132" spans="2:10" s="52" customFormat="1">
      <c r="B132" s="702"/>
      <c r="C132" s="704"/>
      <c r="D132" s="704"/>
      <c r="E132" s="704" t="s">
        <v>177</v>
      </c>
      <c r="F132" s="712" t="s">
        <v>518</v>
      </c>
      <c r="G132" s="713">
        <v>120.95</v>
      </c>
      <c r="H132" s="714">
        <v>145.13999999999999</v>
      </c>
      <c r="I132" s="713">
        <v>131.08000000000001</v>
      </c>
      <c r="J132" s="714">
        <v>146.88</v>
      </c>
    </row>
    <row r="133" spans="2:10" s="52" customFormat="1">
      <c r="B133" s="702"/>
      <c r="C133" s="704"/>
      <c r="D133" s="704"/>
      <c r="E133" s="704" t="s">
        <v>178</v>
      </c>
      <c r="F133" s="712" t="s">
        <v>518</v>
      </c>
      <c r="G133" s="717"/>
      <c r="H133" s="718"/>
      <c r="I133" s="717"/>
      <c r="J133" s="718"/>
    </row>
    <row r="134" spans="2:10" s="52" customFormat="1">
      <c r="B134" s="702"/>
      <c r="C134" s="704"/>
      <c r="D134" s="704"/>
      <c r="E134" s="704"/>
      <c r="F134" s="708"/>
      <c r="G134" s="715"/>
      <c r="H134" s="716"/>
      <c r="I134" s="715"/>
      <c r="J134" s="716"/>
    </row>
    <row r="135" spans="2:10" s="52" customFormat="1">
      <c r="B135" s="702"/>
      <c r="C135" s="704"/>
      <c r="D135" s="703" t="s">
        <v>133</v>
      </c>
      <c r="E135" s="704"/>
      <c r="F135" s="712"/>
      <c r="G135" s="715"/>
      <c r="H135" s="716"/>
      <c r="I135" s="715"/>
      <c r="J135" s="716"/>
    </row>
    <row r="136" spans="2:10" s="52" customFormat="1">
      <c r="B136" s="702"/>
      <c r="C136" s="704"/>
      <c r="D136" s="704"/>
      <c r="E136" s="726" t="s">
        <v>179</v>
      </c>
      <c r="F136" s="712" t="s">
        <v>518</v>
      </c>
      <c r="G136" s="713">
        <v>975.14</v>
      </c>
      <c r="H136" s="714">
        <v>1170.1679999999999</v>
      </c>
      <c r="I136" s="713">
        <v>1018.69</v>
      </c>
      <c r="J136" s="714">
        <v>1139.95</v>
      </c>
    </row>
    <row r="137" spans="2:10" s="52" customFormat="1">
      <c r="B137" s="702"/>
      <c r="C137" s="704"/>
      <c r="D137" s="704"/>
      <c r="E137" s="726" t="s">
        <v>180</v>
      </c>
      <c r="F137" s="712" t="s">
        <v>518</v>
      </c>
      <c r="G137" s="717"/>
      <c r="H137" s="718"/>
      <c r="I137" s="717"/>
      <c r="J137" s="718"/>
    </row>
    <row r="138" spans="2:10" s="52" customFormat="1" ht="13.5" thickBot="1">
      <c r="B138" s="719"/>
      <c r="C138" s="720"/>
      <c r="D138" s="720"/>
      <c r="E138" s="720"/>
      <c r="F138" s="721"/>
      <c r="G138" s="728"/>
      <c r="H138" s="729"/>
      <c r="I138" s="728"/>
      <c r="J138" s="729"/>
    </row>
    <row r="139" spans="2:10" s="52" customFormat="1">
      <c r="B139" s="724"/>
      <c r="C139" s="725" t="s">
        <v>181</v>
      </c>
      <c r="D139" s="725"/>
      <c r="E139" s="726"/>
      <c r="F139" s="727"/>
      <c r="G139" s="715"/>
      <c r="H139" s="716"/>
      <c r="I139" s="715"/>
      <c r="J139" s="716"/>
    </row>
    <row r="140" spans="2:10" s="52" customFormat="1">
      <c r="B140" s="702"/>
      <c r="C140" s="704"/>
      <c r="D140" s="703" t="s">
        <v>182</v>
      </c>
      <c r="E140" s="704"/>
      <c r="F140" s="712"/>
      <c r="G140" s="715"/>
      <c r="H140" s="716"/>
      <c r="I140" s="715"/>
      <c r="J140" s="716"/>
    </row>
    <row r="141" spans="2:10" s="52" customFormat="1">
      <c r="B141" s="702"/>
      <c r="C141" s="704"/>
      <c r="D141" s="704"/>
      <c r="E141" s="726" t="s">
        <v>183</v>
      </c>
      <c r="F141" s="712" t="s">
        <v>518</v>
      </c>
      <c r="G141" s="717"/>
      <c r="H141" s="718"/>
      <c r="I141" s="717"/>
      <c r="J141" s="718"/>
    </row>
    <row r="142" spans="2:10" s="52" customFormat="1">
      <c r="B142" s="702"/>
      <c r="C142" s="704"/>
      <c r="D142" s="704"/>
      <c r="E142" s="726" t="s">
        <v>184</v>
      </c>
      <c r="F142" s="712" t="s">
        <v>518</v>
      </c>
      <c r="G142" s="717"/>
      <c r="H142" s="718"/>
      <c r="I142" s="717"/>
      <c r="J142" s="718"/>
    </row>
    <row r="143" spans="2:10" s="52" customFormat="1">
      <c r="B143" s="702"/>
      <c r="C143" s="726"/>
      <c r="D143" s="703"/>
      <c r="E143" s="704"/>
      <c r="F143" s="712"/>
      <c r="G143" s="715"/>
      <c r="H143" s="716"/>
      <c r="I143" s="715"/>
      <c r="J143" s="716"/>
    </row>
    <row r="144" spans="2:10" s="52" customFormat="1">
      <c r="B144" s="702"/>
      <c r="C144" s="704"/>
      <c r="D144" s="703" t="s">
        <v>185</v>
      </c>
      <c r="E144" s="704"/>
      <c r="F144" s="712"/>
      <c r="G144" s="715"/>
      <c r="H144" s="716"/>
      <c r="I144" s="715"/>
      <c r="J144" s="716"/>
    </row>
    <row r="145" spans="2:10" s="52" customFormat="1">
      <c r="B145" s="702"/>
      <c r="C145" s="704"/>
      <c r="D145" s="704"/>
      <c r="E145" s="726" t="s">
        <v>186</v>
      </c>
      <c r="F145" s="712" t="s">
        <v>518</v>
      </c>
      <c r="G145" s="717"/>
      <c r="H145" s="718"/>
      <c r="I145" s="717"/>
      <c r="J145" s="718"/>
    </row>
    <row r="146" spans="2:10" s="52" customFormat="1">
      <c r="B146" s="702"/>
      <c r="C146" s="704"/>
      <c r="D146" s="704"/>
      <c r="E146" s="726" t="s">
        <v>187</v>
      </c>
      <c r="F146" s="712" t="s">
        <v>518</v>
      </c>
      <c r="G146" s="717"/>
      <c r="H146" s="718"/>
      <c r="I146" s="717"/>
      <c r="J146" s="718"/>
    </row>
    <row r="147" spans="2:10" s="52" customFormat="1" ht="13.5" thickBot="1">
      <c r="B147" s="719"/>
      <c r="C147" s="720"/>
      <c r="D147" s="720"/>
      <c r="E147" s="720"/>
      <c r="F147" s="721"/>
      <c r="G147" s="730"/>
      <c r="H147" s="731"/>
      <c r="I147" s="730"/>
      <c r="J147" s="731"/>
    </row>
    <row r="148" spans="2:10" s="52" customFormat="1" ht="13.5" thickBot="1">
      <c r="B148" s="726"/>
      <c r="C148" s="726"/>
      <c r="D148" s="726"/>
      <c r="E148" s="726"/>
      <c r="F148" s="726"/>
      <c r="G148" s="732"/>
      <c r="H148" s="732"/>
      <c r="I148" s="732"/>
      <c r="J148" s="732"/>
    </row>
    <row r="149" spans="2:10" s="52" customFormat="1">
      <c r="B149" s="733"/>
      <c r="C149" s="725" t="s">
        <v>519</v>
      </c>
      <c r="D149" s="725"/>
      <c r="E149" s="734"/>
      <c r="F149" s="735"/>
      <c r="G149" s="736"/>
      <c r="H149" s="737"/>
      <c r="I149" s="736"/>
      <c r="J149" s="737"/>
    </row>
    <row r="150" spans="2:10" s="52" customFormat="1">
      <c r="B150" s="711"/>
      <c r="C150" s="704"/>
      <c r="D150" s="703"/>
      <c r="E150" s="703" t="s">
        <v>120</v>
      </c>
      <c r="F150" s="712"/>
      <c r="G150" s="738"/>
      <c r="H150" s="739"/>
      <c r="I150" s="738"/>
      <c r="J150" s="739"/>
    </row>
    <row r="151" spans="2:10" s="52" customFormat="1">
      <c r="B151" s="711"/>
      <c r="C151" s="704"/>
      <c r="D151" s="703"/>
      <c r="E151" s="740" t="s">
        <v>520</v>
      </c>
      <c r="F151" s="712" t="s">
        <v>518</v>
      </c>
      <c r="G151" s="713">
        <v>20.49</v>
      </c>
      <c r="H151" s="714">
        <v>24.587999999999997</v>
      </c>
      <c r="I151" s="713">
        <v>21.37</v>
      </c>
      <c r="J151" s="714">
        <v>24.52</v>
      </c>
    </row>
    <row r="152" spans="2:10" s="52" customFormat="1">
      <c r="B152" s="711"/>
      <c r="C152" s="704"/>
      <c r="D152" s="703"/>
      <c r="E152" s="740" t="s">
        <v>521</v>
      </c>
      <c r="F152" s="712" t="s">
        <v>518</v>
      </c>
      <c r="G152" s="713">
        <v>20.49</v>
      </c>
      <c r="H152" s="714">
        <v>24.587999999999997</v>
      </c>
      <c r="I152" s="713">
        <v>21.37</v>
      </c>
      <c r="J152" s="714">
        <v>24.52</v>
      </c>
    </row>
    <row r="153" spans="2:10" s="52" customFormat="1">
      <c r="B153" s="711"/>
      <c r="C153" s="704"/>
      <c r="D153" s="703"/>
      <c r="E153" s="703" t="s">
        <v>129</v>
      </c>
      <c r="F153" s="712"/>
      <c r="G153" s="738"/>
      <c r="H153" s="739"/>
      <c r="I153" s="738"/>
      <c r="J153" s="739"/>
    </row>
    <row r="154" spans="2:10" s="52" customFormat="1">
      <c r="B154" s="711"/>
      <c r="C154" s="704"/>
      <c r="D154" s="703"/>
      <c r="E154" s="740" t="s">
        <v>520</v>
      </c>
      <c r="F154" s="712" t="s">
        <v>518</v>
      </c>
      <c r="G154" s="713"/>
      <c r="H154" s="714"/>
      <c r="I154" s="713"/>
      <c r="J154" s="714"/>
    </row>
    <row r="155" spans="2:10" s="52" customFormat="1" ht="13.5" thickBot="1">
      <c r="B155" s="741"/>
      <c r="C155" s="742"/>
      <c r="D155" s="743"/>
      <c r="E155" s="744" t="s">
        <v>521</v>
      </c>
      <c r="F155" s="745" t="s">
        <v>518</v>
      </c>
      <c r="G155" s="746"/>
      <c r="H155" s="747"/>
      <c r="I155" s="746"/>
      <c r="J155" s="747"/>
    </row>
  </sheetData>
  <mergeCells count="4">
    <mergeCell ref="B7:E9"/>
    <mergeCell ref="F7:F9"/>
    <mergeCell ref="G7:H7"/>
    <mergeCell ref="I7:J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C5FFFF"/>
    <pageSetUpPr fitToPage="1"/>
  </sheetPr>
  <dimension ref="J3:P10"/>
  <sheetViews>
    <sheetView workbookViewId="0">
      <selection activeCell="K5" sqref="K5"/>
    </sheetView>
  </sheetViews>
  <sheetFormatPr defaultColWidth="10.85546875" defaultRowHeight="15"/>
  <cols>
    <col min="1" max="16384" width="10.85546875" style="2"/>
  </cols>
  <sheetData>
    <row r="3" spans="10:16" ht="24" customHeight="1">
      <c r="J3" s="1313" t="s">
        <v>522</v>
      </c>
      <c r="K3" s="1314"/>
      <c r="L3" s="1315"/>
      <c r="N3" s="1313" t="s">
        <v>523</v>
      </c>
      <c r="O3" s="1314"/>
      <c r="P3" s="1315"/>
    </row>
    <row r="4" spans="10:16">
      <c r="J4" s="1316" t="s">
        <v>524</v>
      </c>
      <c r="K4" s="1317"/>
      <c r="L4" s="1318"/>
      <c r="N4" s="1316" t="s">
        <v>525</v>
      </c>
      <c r="O4" s="1317"/>
      <c r="P4" s="1318"/>
    </row>
    <row r="5" spans="10:16">
      <c r="J5" s="23" t="s">
        <v>403</v>
      </c>
      <c r="K5" s="27"/>
      <c r="L5" s="22"/>
      <c r="N5" s="23"/>
      <c r="O5" s="21" t="s">
        <v>203</v>
      </c>
      <c r="P5" s="22"/>
    </row>
    <row r="6" spans="10:16">
      <c r="J6" s="24" t="s">
        <v>402</v>
      </c>
      <c r="K6" s="25"/>
      <c r="L6" s="26"/>
      <c r="N6" s="23" t="s">
        <v>222</v>
      </c>
      <c r="O6" s="27"/>
      <c r="P6" s="22"/>
    </row>
    <row r="7" spans="10:16">
      <c r="N7" s="23" t="s">
        <v>526</v>
      </c>
      <c r="O7" s="27"/>
      <c r="P7" s="22"/>
    </row>
    <row r="8" spans="10:16">
      <c r="N8" s="23" t="s">
        <v>223</v>
      </c>
      <c r="O8" s="27"/>
      <c r="P8" s="22"/>
    </row>
    <row r="9" spans="10:16">
      <c r="N9" s="23" t="s">
        <v>403</v>
      </c>
      <c r="O9" s="27"/>
      <c r="P9" s="22"/>
    </row>
    <row r="10" spans="10:16">
      <c r="N10" s="24" t="s">
        <v>482</v>
      </c>
      <c r="O10" s="27"/>
      <c r="P10" s="26"/>
    </row>
  </sheetData>
  <mergeCells count="4"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5FFFF"/>
    <pageSetUpPr fitToPage="1"/>
  </sheetPr>
  <dimension ref="A1:AL27"/>
  <sheetViews>
    <sheetView workbookViewId="0">
      <selection sqref="A1:XFD1048576"/>
    </sheetView>
  </sheetViews>
  <sheetFormatPr defaultColWidth="8.85546875" defaultRowHeight="12.75"/>
  <cols>
    <col min="1" max="2" width="8.85546875" style="52" customWidth="1"/>
    <col min="3" max="3" width="19" style="52" customWidth="1"/>
    <col min="4" max="16384" width="8.85546875" style="52"/>
  </cols>
  <sheetData>
    <row r="1" spans="1:38">
      <c r="A1" s="418" t="s">
        <v>527</v>
      </c>
      <c r="F1" s="103" t="s">
        <v>985</v>
      </c>
      <c r="H1" s="52" t="s">
        <v>1026</v>
      </c>
    </row>
    <row r="3" spans="1:38">
      <c r="A3" s="418" t="s">
        <v>81</v>
      </c>
    </row>
    <row r="5" spans="1:38">
      <c r="C5" s="748" t="s">
        <v>528</v>
      </c>
      <c r="D5" s="749"/>
      <c r="E5" s="749"/>
      <c r="F5" s="749"/>
      <c r="G5" s="749"/>
      <c r="H5" s="749"/>
      <c r="I5" s="748"/>
      <c r="J5" s="749"/>
      <c r="K5" s="749"/>
      <c r="L5" s="749"/>
      <c r="M5" s="749"/>
      <c r="N5" s="749"/>
      <c r="O5" s="749"/>
      <c r="P5" s="749"/>
      <c r="Q5" s="749"/>
      <c r="R5" s="749"/>
      <c r="S5" s="749"/>
      <c r="T5" s="749"/>
      <c r="U5" s="749"/>
      <c r="V5" s="749"/>
      <c r="W5" s="749"/>
      <c r="X5" s="749"/>
      <c r="Y5" s="749"/>
      <c r="Z5" s="749"/>
      <c r="AA5" s="749"/>
      <c r="AB5" s="749"/>
      <c r="AC5" s="749"/>
      <c r="AD5" s="749"/>
      <c r="AE5" s="749"/>
      <c r="AF5" s="749"/>
      <c r="AG5" s="749"/>
      <c r="AH5" s="749"/>
      <c r="AI5" s="749"/>
      <c r="AJ5" s="749"/>
      <c r="AK5" s="749"/>
      <c r="AL5" s="750"/>
    </row>
    <row r="6" spans="1:38" ht="13.5" thickBot="1">
      <c r="C6" s="751"/>
      <c r="D6" s="752"/>
      <c r="E6" s="752"/>
      <c r="F6" s="752"/>
      <c r="G6" s="752"/>
      <c r="H6" s="752"/>
      <c r="I6" s="752"/>
      <c r="J6" s="752"/>
      <c r="K6" s="752"/>
      <c r="L6" s="752"/>
      <c r="M6" s="752"/>
      <c r="N6" s="752"/>
      <c r="O6" s="752"/>
      <c r="P6" s="752"/>
      <c r="Q6" s="752"/>
      <c r="R6" s="752"/>
      <c r="S6" s="752"/>
      <c r="T6" s="752"/>
      <c r="U6" s="752"/>
      <c r="V6" s="752"/>
      <c r="W6" s="752"/>
      <c r="X6" s="752"/>
      <c r="Y6" s="752"/>
      <c r="Z6" s="752"/>
      <c r="AA6" s="752"/>
      <c r="AB6" s="752"/>
      <c r="AC6" s="752"/>
      <c r="AD6" s="752"/>
      <c r="AE6" s="752"/>
      <c r="AF6" s="752"/>
      <c r="AG6" s="752"/>
      <c r="AH6" s="752"/>
      <c r="AI6" s="752"/>
      <c r="AJ6" s="752"/>
      <c r="AK6" s="752"/>
      <c r="AL6" s="753"/>
    </row>
    <row r="7" spans="1:38" ht="12.75" customHeight="1">
      <c r="C7" s="751"/>
      <c r="D7" s="1335" t="s">
        <v>529</v>
      </c>
      <c r="E7" s="1336"/>
      <c r="F7" s="1336"/>
      <c r="G7" s="1336"/>
      <c r="H7" s="1336"/>
      <c r="I7" s="1336"/>
      <c r="J7" s="1336"/>
      <c r="K7" s="1336"/>
      <c r="L7" s="1336"/>
      <c r="M7" s="1336"/>
      <c r="N7" s="1336"/>
      <c r="O7" s="1336"/>
      <c r="P7" s="1336"/>
      <c r="Q7" s="1336"/>
      <c r="R7" s="1336"/>
      <c r="S7" s="1336"/>
      <c r="T7" s="1336"/>
      <c r="U7" s="1336"/>
      <c r="V7" s="1336"/>
      <c r="W7" s="1336"/>
      <c r="X7" s="1337"/>
      <c r="Y7" s="1332" t="s">
        <v>530</v>
      </c>
      <c r="Z7" s="1332" t="s">
        <v>531</v>
      </c>
      <c r="AA7" s="1332" t="s">
        <v>532</v>
      </c>
      <c r="AB7" s="1332" t="s">
        <v>533</v>
      </c>
      <c r="AC7" s="1332" t="s">
        <v>534</v>
      </c>
      <c r="AD7" s="1332" t="s">
        <v>535</v>
      </c>
      <c r="AE7" s="1332" t="s">
        <v>536</v>
      </c>
      <c r="AF7" s="1332" t="s">
        <v>537</v>
      </c>
      <c r="AG7" s="1332" t="s">
        <v>538</v>
      </c>
      <c r="AH7" s="1332" t="s">
        <v>539</v>
      </c>
      <c r="AI7" s="1332" t="s">
        <v>540</v>
      </c>
      <c r="AJ7" s="1320" t="s">
        <v>541</v>
      </c>
      <c r="AK7" s="1323" t="s">
        <v>542</v>
      </c>
      <c r="AL7" s="754"/>
    </row>
    <row r="8" spans="1:38">
      <c r="C8" s="751"/>
      <c r="D8" s="1326" t="s">
        <v>543</v>
      </c>
      <c r="E8" s="1327"/>
      <c r="F8" s="1327"/>
      <c r="G8" s="1327"/>
      <c r="H8" s="1327"/>
      <c r="I8" s="1328"/>
      <c r="J8" s="1329" t="s">
        <v>544</v>
      </c>
      <c r="K8" s="1330"/>
      <c r="L8" s="1330"/>
      <c r="M8" s="1330"/>
      <c r="N8" s="1330"/>
      <c r="O8" s="1330"/>
      <c r="P8" s="1330"/>
      <c r="Q8" s="1330"/>
      <c r="R8" s="1330"/>
      <c r="S8" s="1330"/>
      <c r="T8" s="1330"/>
      <c r="U8" s="1330"/>
      <c r="V8" s="1330"/>
      <c r="W8" s="1330"/>
      <c r="X8" s="1331"/>
      <c r="Y8" s="1333"/>
      <c r="Z8" s="1333"/>
      <c r="AA8" s="1333"/>
      <c r="AB8" s="1333"/>
      <c r="AC8" s="1333"/>
      <c r="AD8" s="1333"/>
      <c r="AE8" s="1333"/>
      <c r="AF8" s="1333"/>
      <c r="AG8" s="1333"/>
      <c r="AH8" s="1333"/>
      <c r="AI8" s="1333"/>
      <c r="AJ8" s="1321"/>
      <c r="AK8" s="1324"/>
      <c r="AL8" s="754"/>
    </row>
    <row r="9" spans="1:38" s="755" customFormat="1" ht="125.25">
      <c r="C9" s="756" t="s">
        <v>545</v>
      </c>
      <c r="D9" s="757" t="s">
        <v>546</v>
      </c>
      <c r="E9" s="757" t="s">
        <v>547</v>
      </c>
      <c r="F9" s="757" t="s">
        <v>548</v>
      </c>
      <c r="G9" s="757" t="s">
        <v>549</v>
      </c>
      <c r="H9" s="757" t="s">
        <v>550</v>
      </c>
      <c r="I9" s="757" t="s">
        <v>551</v>
      </c>
      <c r="J9" s="757" t="s">
        <v>552</v>
      </c>
      <c r="K9" s="758" t="s">
        <v>553</v>
      </c>
      <c r="L9" s="758" t="s">
        <v>554</v>
      </c>
      <c r="M9" s="758" t="s">
        <v>555</v>
      </c>
      <c r="N9" s="758" t="s">
        <v>556</v>
      </c>
      <c r="O9" s="758" t="s">
        <v>557</v>
      </c>
      <c r="P9" s="758" t="s">
        <v>558</v>
      </c>
      <c r="Q9" s="758" t="s">
        <v>559</v>
      </c>
      <c r="R9" s="758" t="s">
        <v>560</v>
      </c>
      <c r="S9" s="758" t="s">
        <v>561</v>
      </c>
      <c r="T9" s="758" t="s">
        <v>562</v>
      </c>
      <c r="U9" s="758" t="s">
        <v>563</v>
      </c>
      <c r="V9" s="758" t="s">
        <v>564</v>
      </c>
      <c r="W9" s="758" t="s">
        <v>565</v>
      </c>
      <c r="X9" s="758" t="s">
        <v>566</v>
      </c>
      <c r="Y9" s="1334"/>
      <c r="Z9" s="1334"/>
      <c r="AA9" s="1334"/>
      <c r="AB9" s="1334"/>
      <c r="AC9" s="1334"/>
      <c r="AD9" s="1334"/>
      <c r="AE9" s="1334"/>
      <c r="AF9" s="1334"/>
      <c r="AG9" s="1334"/>
      <c r="AH9" s="1334"/>
      <c r="AI9" s="1334"/>
      <c r="AJ9" s="1322"/>
      <c r="AK9" s="1325"/>
      <c r="AL9" s="759"/>
    </row>
    <row r="10" spans="1:38">
      <c r="C10" s="760"/>
      <c r="D10" s="761" t="s">
        <v>567</v>
      </c>
      <c r="E10" s="761" t="s">
        <v>567</v>
      </c>
      <c r="F10" s="761" t="s">
        <v>567</v>
      </c>
      <c r="G10" s="761" t="s">
        <v>567</v>
      </c>
      <c r="H10" s="761" t="s">
        <v>567</v>
      </c>
      <c r="I10" s="761" t="s">
        <v>567</v>
      </c>
      <c r="J10" s="761" t="s">
        <v>567</v>
      </c>
      <c r="K10" s="761" t="s">
        <v>567</v>
      </c>
      <c r="L10" s="761" t="s">
        <v>567</v>
      </c>
      <c r="M10" s="761" t="s">
        <v>567</v>
      </c>
      <c r="N10" s="761" t="s">
        <v>567</v>
      </c>
      <c r="O10" s="761" t="s">
        <v>567</v>
      </c>
      <c r="P10" s="761" t="s">
        <v>567</v>
      </c>
      <c r="Q10" s="761" t="s">
        <v>567</v>
      </c>
      <c r="R10" s="761" t="s">
        <v>567</v>
      </c>
      <c r="S10" s="761" t="s">
        <v>567</v>
      </c>
      <c r="T10" s="761" t="s">
        <v>567</v>
      </c>
      <c r="U10" s="761" t="s">
        <v>567</v>
      </c>
      <c r="V10" s="761" t="s">
        <v>567</v>
      </c>
      <c r="W10" s="761" t="s">
        <v>567</v>
      </c>
      <c r="X10" s="761" t="s">
        <v>567</v>
      </c>
      <c r="Y10" s="761" t="s">
        <v>567</v>
      </c>
      <c r="Z10" s="761" t="s">
        <v>567</v>
      </c>
      <c r="AA10" s="761" t="s">
        <v>567</v>
      </c>
      <c r="AB10" s="761" t="s">
        <v>567</v>
      </c>
      <c r="AC10" s="761" t="s">
        <v>567</v>
      </c>
      <c r="AD10" s="761" t="s">
        <v>567</v>
      </c>
      <c r="AE10" s="761" t="s">
        <v>567</v>
      </c>
      <c r="AF10" s="761" t="s">
        <v>567</v>
      </c>
      <c r="AG10" s="761" t="s">
        <v>567</v>
      </c>
      <c r="AH10" s="761" t="s">
        <v>567</v>
      </c>
      <c r="AI10" s="761" t="s">
        <v>567</v>
      </c>
      <c r="AJ10" s="762" t="s">
        <v>567</v>
      </c>
      <c r="AK10" s="763" t="s">
        <v>567</v>
      </c>
      <c r="AL10" s="753"/>
    </row>
    <row r="11" spans="1:38">
      <c r="C11" s="764"/>
      <c r="D11" s="765"/>
      <c r="E11" s="765"/>
      <c r="F11" s="765"/>
      <c r="G11" s="765"/>
      <c r="H11" s="765"/>
      <c r="I11" s="765"/>
      <c r="J11" s="765"/>
      <c r="K11" s="765"/>
      <c r="L11" s="765"/>
      <c r="M11" s="765"/>
      <c r="N11" s="765"/>
      <c r="O11" s="765"/>
      <c r="P11" s="765"/>
      <c r="Q11" s="765"/>
      <c r="R11" s="765"/>
      <c r="S11" s="765"/>
      <c r="T11" s="765"/>
      <c r="U11" s="765"/>
      <c r="V11" s="765"/>
      <c r="W11" s="765"/>
      <c r="X11" s="765"/>
      <c r="Y11" s="765"/>
      <c r="Z11" s="765"/>
      <c r="AA11" s="765"/>
      <c r="AB11" s="765"/>
      <c r="AC11" s="765"/>
      <c r="AD11" s="765"/>
      <c r="AE11" s="765"/>
      <c r="AF11" s="765"/>
      <c r="AG11" s="765"/>
      <c r="AH11" s="765"/>
      <c r="AI11" s="765"/>
      <c r="AJ11" s="766"/>
      <c r="AK11" s="767"/>
      <c r="AL11" s="753"/>
    </row>
    <row r="12" spans="1:38">
      <c r="C12" s="768" t="s">
        <v>568</v>
      </c>
      <c r="D12" s="769">
        <v>-0.50000000000000178</v>
      </c>
      <c r="E12" s="769">
        <v>32.299999999999997</v>
      </c>
      <c r="F12" s="769">
        <v>3</v>
      </c>
      <c r="G12" s="769">
        <v>8.3000000000000007</v>
      </c>
      <c r="H12" s="769">
        <v>5.5</v>
      </c>
      <c r="I12" s="769">
        <v>4.0999999999999996</v>
      </c>
      <c r="J12" s="769">
        <v>0.6</v>
      </c>
      <c r="K12" s="769">
        <v>3.5</v>
      </c>
      <c r="L12" s="769">
        <v>2.9</v>
      </c>
      <c r="M12" s="769">
        <v>7.2</v>
      </c>
      <c r="N12" s="769">
        <v>1.9</v>
      </c>
      <c r="O12" s="769">
        <v>1</v>
      </c>
      <c r="P12" s="769">
        <v>0.7</v>
      </c>
      <c r="Q12" s="769">
        <v>0.9</v>
      </c>
      <c r="R12" s="769">
        <v>2.7</v>
      </c>
      <c r="S12" s="769">
        <v>6.8</v>
      </c>
      <c r="T12" s="769">
        <v>2.1</v>
      </c>
      <c r="U12" s="769">
        <v>0.9</v>
      </c>
      <c r="V12" s="769">
        <v>1.1000000000000001</v>
      </c>
      <c r="W12" s="769">
        <v>5.8</v>
      </c>
      <c r="X12" s="769">
        <v>1.8</v>
      </c>
      <c r="Y12" s="769">
        <v>4.3</v>
      </c>
      <c r="Z12" s="769">
        <v>13.4</v>
      </c>
      <c r="AA12" s="769">
        <v>1.8</v>
      </c>
      <c r="AB12" s="769">
        <v>8.9</v>
      </c>
      <c r="AC12" s="769">
        <v>-0.1</v>
      </c>
      <c r="AD12" s="769">
        <v>0.1</v>
      </c>
      <c r="AE12" s="769">
        <v>-2.7755575615628914E-17</v>
      </c>
      <c r="AF12" s="769">
        <v>25.3</v>
      </c>
      <c r="AG12" s="769">
        <v>15.1</v>
      </c>
      <c r="AH12" s="769">
        <v>4.2</v>
      </c>
      <c r="AI12" s="769">
        <v>0</v>
      </c>
      <c r="AJ12" s="769">
        <v>-2.9000000000000057</v>
      </c>
      <c r="AK12" s="769">
        <v>162.69999999999999</v>
      </c>
      <c r="AL12" s="770"/>
    </row>
    <row r="13" spans="1:38">
      <c r="C13" s="768" t="s">
        <v>569</v>
      </c>
      <c r="D13" s="771"/>
      <c r="E13" s="771"/>
      <c r="F13" s="771"/>
      <c r="G13" s="771"/>
      <c r="H13" s="771"/>
      <c r="I13" s="771"/>
      <c r="J13" s="771"/>
      <c r="K13" s="771"/>
      <c r="L13" s="771"/>
      <c r="M13" s="771"/>
      <c r="N13" s="771"/>
      <c r="O13" s="771"/>
      <c r="P13" s="771"/>
      <c r="Q13" s="771"/>
      <c r="R13" s="771"/>
      <c r="S13" s="771"/>
      <c r="T13" s="771"/>
      <c r="U13" s="771"/>
      <c r="V13" s="771"/>
      <c r="W13" s="771"/>
      <c r="X13" s="771"/>
      <c r="Y13" s="771"/>
      <c r="Z13" s="771"/>
      <c r="AA13" s="771"/>
      <c r="AB13" s="771"/>
      <c r="AC13" s="771"/>
      <c r="AD13" s="771"/>
      <c r="AE13" s="771"/>
      <c r="AF13" s="771"/>
      <c r="AG13" s="771"/>
      <c r="AH13" s="771"/>
      <c r="AI13" s="771"/>
      <c r="AJ13" s="771"/>
      <c r="AK13" s="772">
        <v>0</v>
      </c>
      <c r="AL13" s="770"/>
    </row>
    <row r="14" spans="1:38">
      <c r="C14" s="768" t="s">
        <v>568</v>
      </c>
      <c r="D14" s="769">
        <v>-0.50000000000000178</v>
      </c>
      <c r="E14" s="769">
        <v>32.299999999999997</v>
      </c>
      <c r="F14" s="769">
        <v>3</v>
      </c>
      <c r="G14" s="769">
        <v>8.3000000000000007</v>
      </c>
      <c r="H14" s="769">
        <v>5.5</v>
      </c>
      <c r="I14" s="769">
        <v>4.0999999999999996</v>
      </c>
      <c r="J14" s="769">
        <v>0.6</v>
      </c>
      <c r="K14" s="769">
        <v>3.5</v>
      </c>
      <c r="L14" s="769">
        <v>2.9</v>
      </c>
      <c r="M14" s="769">
        <v>7.2</v>
      </c>
      <c r="N14" s="769">
        <v>1.9</v>
      </c>
      <c r="O14" s="769">
        <v>1</v>
      </c>
      <c r="P14" s="769">
        <v>0.7</v>
      </c>
      <c r="Q14" s="769">
        <v>0.9</v>
      </c>
      <c r="R14" s="769">
        <v>2.7</v>
      </c>
      <c r="S14" s="769">
        <v>6.8</v>
      </c>
      <c r="T14" s="769">
        <v>2.1</v>
      </c>
      <c r="U14" s="769">
        <v>0.9</v>
      </c>
      <c r="V14" s="769">
        <v>1.1000000000000001</v>
      </c>
      <c r="W14" s="769">
        <v>5.8</v>
      </c>
      <c r="X14" s="769">
        <v>1.8</v>
      </c>
      <c r="Y14" s="769">
        <v>4.3</v>
      </c>
      <c r="Z14" s="769">
        <v>13.4</v>
      </c>
      <c r="AA14" s="769">
        <v>1.8</v>
      </c>
      <c r="AB14" s="769">
        <v>8.9</v>
      </c>
      <c r="AC14" s="769">
        <v>-0.1</v>
      </c>
      <c r="AD14" s="769">
        <v>0.1</v>
      </c>
      <c r="AE14" s="769">
        <v>-2.7755575615628914E-17</v>
      </c>
      <c r="AF14" s="769">
        <v>25.3</v>
      </c>
      <c r="AG14" s="769">
        <v>15.1</v>
      </c>
      <c r="AH14" s="769">
        <v>4.2</v>
      </c>
      <c r="AI14" s="769">
        <v>0</v>
      </c>
      <c r="AJ14" s="769">
        <v>-2.9000000000000057</v>
      </c>
      <c r="AK14" s="769">
        <v>162.69999999999999</v>
      </c>
      <c r="AL14" s="770"/>
    </row>
    <row r="15" spans="1:38">
      <c r="C15" s="768"/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69"/>
      <c r="Z15" s="769"/>
      <c r="AA15" s="769"/>
      <c r="AB15" s="769"/>
      <c r="AC15" s="769"/>
      <c r="AD15" s="769"/>
      <c r="AE15" s="769"/>
      <c r="AF15" s="769"/>
      <c r="AG15" s="769"/>
      <c r="AH15" s="769"/>
      <c r="AI15" s="769"/>
      <c r="AJ15" s="769"/>
      <c r="AK15" s="769"/>
      <c r="AL15" s="770"/>
    </row>
    <row r="16" spans="1:38">
      <c r="C16" s="768" t="s">
        <v>570</v>
      </c>
      <c r="D16" s="769">
        <v>2.8</v>
      </c>
      <c r="E16" s="769">
        <v>25.5</v>
      </c>
      <c r="F16" s="769">
        <v>4.3</v>
      </c>
      <c r="G16" s="769">
        <v>8.6</v>
      </c>
      <c r="H16" s="769">
        <v>5.3</v>
      </c>
      <c r="I16" s="769">
        <v>2.9</v>
      </c>
      <c r="J16" s="769">
        <v>0.6</v>
      </c>
      <c r="K16" s="769">
        <v>3</v>
      </c>
      <c r="L16" s="769">
        <v>2.2000000000000002</v>
      </c>
      <c r="M16" s="769">
        <v>5.2</v>
      </c>
      <c r="N16" s="769">
        <v>1.9</v>
      </c>
      <c r="O16" s="769">
        <v>0.8</v>
      </c>
      <c r="P16" s="769">
        <v>0.6</v>
      </c>
      <c r="Q16" s="769">
        <v>1.6</v>
      </c>
      <c r="R16" s="769">
        <v>2.8</v>
      </c>
      <c r="S16" s="769">
        <v>6.3</v>
      </c>
      <c r="T16" s="769">
        <v>2.1</v>
      </c>
      <c r="U16" s="769">
        <v>1</v>
      </c>
      <c r="V16" s="769">
        <v>0.9</v>
      </c>
      <c r="W16" s="769">
        <v>4.8</v>
      </c>
      <c r="X16" s="769">
        <v>1.5</v>
      </c>
      <c r="Y16" s="769">
        <v>4.9000000000000004</v>
      </c>
      <c r="Z16" s="769">
        <v>6.9</v>
      </c>
      <c r="AA16" s="769">
        <v>5.9</v>
      </c>
      <c r="AB16" s="769">
        <v>13.7</v>
      </c>
      <c r="AC16" s="769">
        <v>0.2</v>
      </c>
      <c r="AD16" s="769">
        <v>0</v>
      </c>
      <c r="AE16" s="769">
        <v>0</v>
      </c>
      <c r="AF16" s="769">
        <v>33.9</v>
      </c>
      <c r="AG16" s="769">
        <v>14.6</v>
      </c>
      <c r="AH16" s="769">
        <v>4.2</v>
      </c>
      <c r="AI16" s="769">
        <v>0</v>
      </c>
      <c r="AJ16" s="769">
        <v>-8.8000000000000114</v>
      </c>
      <c r="AK16" s="769">
        <v>160.19999999999999</v>
      </c>
      <c r="AL16" s="773"/>
    </row>
    <row r="17" spans="3:38">
      <c r="C17" s="768"/>
      <c r="D17" s="769"/>
      <c r="E17" s="769"/>
      <c r="F17" s="769"/>
      <c r="G17" s="769"/>
      <c r="H17" s="769"/>
      <c r="I17" s="769"/>
      <c r="J17" s="769"/>
      <c r="K17" s="769"/>
      <c r="L17" s="769"/>
      <c r="M17" s="769"/>
      <c r="N17" s="769"/>
      <c r="O17" s="769"/>
      <c r="P17" s="769"/>
      <c r="Q17" s="769"/>
      <c r="R17" s="769"/>
      <c r="S17" s="769"/>
      <c r="T17" s="769"/>
      <c r="U17" s="769"/>
      <c r="V17" s="769"/>
      <c r="W17" s="769"/>
      <c r="X17" s="769"/>
      <c r="Y17" s="769"/>
      <c r="Z17" s="769"/>
      <c r="AA17" s="769"/>
      <c r="AB17" s="769"/>
      <c r="AC17" s="769"/>
      <c r="AD17" s="769"/>
      <c r="AE17" s="769"/>
      <c r="AF17" s="769"/>
      <c r="AG17" s="769"/>
      <c r="AH17" s="769"/>
      <c r="AI17" s="769"/>
      <c r="AJ17" s="769"/>
      <c r="AK17" s="769"/>
      <c r="AL17" s="773"/>
    </row>
    <row r="18" spans="3:38">
      <c r="C18" s="768" t="s">
        <v>571</v>
      </c>
      <c r="D18" s="769">
        <v>5.5</v>
      </c>
      <c r="E18" s="769">
        <v>17.3</v>
      </c>
      <c r="F18" s="769">
        <v>2.4</v>
      </c>
      <c r="G18" s="769">
        <v>8.1</v>
      </c>
      <c r="H18" s="769">
        <v>6.8</v>
      </c>
      <c r="I18" s="769">
        <v>3.3</v>
      </c>
      <c r="J18" s="769">
        <v>0.6</v>
      </c>
      <c r="K18" s="769">
        <v>3.2</v>
      </c>
      <c r="L18" s="769">
        <v>2.2999999999999998</v>
      </c>
      <c r="M18" s="769">
        <v>6.5</v>
      </c>
      <c r="N18" s="769">
        <v>2.5</v>
      </c>
      <c r="O18" s="769">
        <v>0.8</v>
      </c>
      <c r="P18" s="769">
        <v>0.9</v>
      </c>
      <c r="Q18" s="769">
        <v>1.5</v>
      </c>
      <c r="R18" s="769">
        <v>2.9</v>
      </c>
      <c r="S18" s="769">
        <v>6.2</v>
      </c>
      <c r="T18" s="769">
        <v>2.2000000000000002</v>
      </c>
      <c r="U18" s="769">
        <v>0.8</v>
      </c>
      <c r="V18" s="769">
        <v>0.7</v>
      </c>
      <c r="W18" s="769">
        <v>4</v>
      </c>
      <c r="X18" s="769">
        <v>1.9</v>
      </c>
      <c r="Y18" s="769">
        <v>1.6</v>
      </c>
      <c r="Z18" s="769">
        <v>4.3</v>
      </c>
      <c r="AA18" s="769">
        <v>5.0999999999999996</v>
      </c>
      <c r="AB18" s="769">
        <v>5</v>
      </c>
      <c r="AC18" s="769">
        <v>0</v>
      </c>
      <c r="AD18" s="769">
        <v>0</v>
      </c>
      <c r="AE18" s="769">
        <v>0</v>
      </c>
      <c r="AF18" s="769">
        <v>31.395595999999998</v>
      </c>
      <c r="AG18" s="769">
        <v>14.3</v>
      </c>
      <c r="AH18" s="769">
        <v>3.9</v>
      </c>
      <c r="AI18" s="769">
        <v>-0.9</v>
      </c>
      <c r="AJ18" s="769">
        <v>-4.8955959999999834</v>
      </c>
      <c r="AK18" s="769">
        <v>140.19999999999999</v>
      </c>
      <c r="AL18" s="773"/>
    </row>
    <row r="19" spans="3:38" ht="13.5" thickBot="1">
      <c r="C19" s="774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5"/>
      <c r="AJ19" s="776"/>
      <c r="AK19" s="777"/>
      <c r="AL19" s="770"/>
    </row>
    <row r="20" spans="3:38">
      <c r="C20" s="752"/>
      <c r="D20" s="778"/>
      <c r="E20" s="778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778"/>
      <c r="AD20" s="778"/>
      <c r="AE20" s="778"/>
      <c r="AF20" s="778"/>
      <c r="AG20" s="778"/>
      <c r="AH20" s="778"/>
      <c r="AI20" s="778"/>
      <c r="AJ20" s="778"/>
      <c r="AK20" s="778"/>
      <c r="AL20" s="770"/>
    </row>
    <row r="21" spans="3:38">
      <c r="C21" s="779" t="s">
        <v>572</v>
      </c>
      <c r="D21" s="779"/>
      <c r="E21" s="779"/>
      <c r="F21" s="780"/>
      <c r="G21" s="781"/>
      <c r="H21" s="781"/>
      <c r="I21" s="781"/>
      <c r="J21" s="781"/>
      <c r="K21" s="781"/>
      <c r="L21" s="781"/>
      <c r="M21" s="781"/>
      <c r="N21" s="781"/>
      <c r="O21" s="781"/>
      <c r="P21" s="781"/>
      <c r="Q21" s="781"/>
      <c r="R21" s="782"/>
      <c r="S21" s="779"/>
      <c r="T21" s="779"/>
      <c r="U21" s="779"/>
      <c r="V21" s="779"/>
      <c r="W21" s="779"/>
      <c r="X21" s="779"/>
      <c r="Y21" s="779"/>
      <c r="Z21" s="779"/>
      <c r="AA21" s="779"/>
      <c r="AB21" s="778"/>
      <c r="AC21" s="778"/>
      <c r="AD21" s="778"/>
      <c r="AE21" s="778"/>
      <c r="AF21" s="778"/>
      <c r="AG21" s="778"/>
      <c r="AH21" s="778"/>
      <c r="AI21" s="778"/>
      <c r="AJ21" s="778"/>
      <c r="AK21" s="778"/>
      <c r="AL21" s="770"/>
    </row>
    <row r="22" spans="3:38" ht="12.75" customHeight="1">
      <c r="C22" s="779">
        <v>1</v>
      </c>
      <c r="D22" s="1319" t="s">
        <v>573</v>
      </c>
      <c r="E22" s="1319"/>
      <c r="F22" s="1319"/>
      <c r="G22" s="1319"/>
      <c r="H22" s="1319"/>
      <c r="I22" s="1319"/>
      <c r="J22" s="1319"/>
      <c r="K22" s="1319"/>
      <c r="L22" s="1319"/>
      <c r="M22" s="1319"/>
      <c r="N22" s="1319"/>
      <c r="O22" s="1319"/>
      <c r="P22" s="1319"/>
      <c r="Q22" s="1319"/>
      <c r="R22" s="1319"/>
      <c r="S22" s="1319"/>
      <c r="T22" s="1319"/>
      <c r="U22" s="1319"/>
      <c r="V22" s="1319"/>
      <c r="W22" s="1319"/>
      <c r="X22" s="1319"/>
      <c r="Y22" s="1319"/>
      <c r="Z22" s="1319"/>
      <c r="AA22" s="1319"/>
      <c r="AB22" s="778"/>
      <c r="AC22" s="778"/>
      <c r="AD22" s="778"/>
      <c r="AE22" s="778"/>
      <c r="AF22" s="778"/>
      <c r="AG22" s="778"/>
      <c r="AH22" s="778"/>
      <c r="AI22" s="778"/>
      <c r="AJ22" s="778"/>
      <c r="AK22" s="778"/>
      <c r="AL22" s="770"/>
    </row>
    <row r="23" spans="3:38" ht="12.75" customHeight="1">
      <c r="C23" s="779">
        <v>2</v>
      </c>
      <c r="D23" s="1319" t="s">
        <v>574</v>
      </c>
      <c r="E23" s="1319"/>
      <c r="F23" s="1319"/>
      <c r="G23" s="1319"/>
      <c r="H23" s="1319"/>
      <c r="I23" s="1319"/>
      <c r="J23" s="1319"/>
      <c r="K23" s="1319"/>
      <c r="L23" s="1319"/>
      <c r="M23" s="1319"/>
      <c r="N23" s="1319"/>
      <c r="O23" s="1319"/>
      <c r="P23" s="1319"/>
      <c r="Q23" s="1319"/>
      <c r="R23" s="1319"/>
      <c r="S23" s="1319"/>
      <c r="T23" s="1319"/>
      <c r="U23" s="1319"/>
      <c r="V23" s="1319"/>
      <c r="W23" s="1319"/>
      <c r="X23" s="1319"/>
      <c r="Y23" s="1319"/>
      <c r="Z23" s="1319"/>
      <c r="AA23" s="1319"/>
      <c r="AB23" s="778"/>
      <c r="AC23" s="778"/>
      <c r="AD23" s="778"/>
      <c r="AE23" s="778"/>
      <c r="AF23" s="778"/>
      <c r="AG23" s="778"/>
      <c r="AH23" s="778"/>
      <c r="AI23" s="778"/>
      <c r="AJ23" s="778"/>
      <c r="AK23" s="778"/>
      <c r="AL23" s="770"/>
    </row>
    <row r="24" spans="3:38" ht="12.75" customHeight="1">
      <c r="C24" s="779">
        <v>3</v>
      </c>
      <c r="D24" s="1319" t="s">
        <v>575</v>
      </c>
      <c r="E24" s="1319"/>
      <c r="F24" s="1319"/>
      <c r="G24" s="1319"/>
      <c r="H24" s="1319"/>
      <c r="I24" s="1319"/>
      <c r="J24" s="1319"/>
      <c r="K24" s="1319"/>
      <c r="L24" s="1319"/>
      <c r="M24" s="1319"/>
      <c r="N24" s="1319"/>
      <c r="O24" s="1319"/>
      <c r="P24" s="1319"/>
      <c r="Q24" s="1319"/>
      <c r="R24" s="1319"/>
      <c r="S24" s="1319"/>
      <c r="T24" s="1319"/>
      <c r="U24" s="1319"/>
      <c r="V24" s="1319"/>
      <c r="W24" s="1319"/>
      <c r="X24" s="1319"/>
      <c r="Y24" s="1319"/>
      <c r="Z24" s="1319"/>
      <c r="AA24" s="1319"/>
      <c r="AB24" s="778"/>
      <c r="AC24" s="778"/>
      <c r="AD24" s="778"/>
      <c r="AE24" s="778"/>
      <c r="AF24" s="778"/>
      <c r="AG24" s="778"/>
      <c r="AH24" s="778"/>
      <c r="AI24" s="778"/>
      <c r="AJ24" s="778"/>
      <c r="AK24" s="778"/>
      <c r="AL24" s="770"/>
    </row>
    <row r="25" spans="3:38" ht="12.75" customHeight="1">
      <c r="C25" s="779">
        <v>4</v>
      </c>
      <c r="D25" s="1319" t="s">
        <v>576</v>
      </c>
      <c r="E25" s="1319"/>
      <c r="F25" s="1319"/>
      <c r="G25" s="1319"/>
      <c r="H25" s="1319"/>
      <c r="I25" s="1319"/>
      <c r="J25" s="1319"/>
      <c r="K25" s="1319"/>
      <c r="L25" s="1319"/>
      <c r="M25" s="1319"/>
      <c r="N25" s="1319"/>
      <c r="O25" s="1319"/>
      <c r="P25" s="1319"/>
      <c r="Q25" s="1319"/>
      <c r="R25" s="1319"/>
      <c r="S25" s="1319"/>
      <c r="T25" s="1319"/>
      <c r="U25" s="1319"/>
      <c r="V25" s="1319"/>
      <c r="W25" s="1319"/>
      <c r="X25" s="1319"/>
      <c r="Y25" s="1319"/>
      <c r="Z25" s="1319"/>
      <c r="AA25" s="1319"/>
      <c r="AB25" s="778"/>
      <c r="AC25" s="778"/>
      <c r="AD25" s="778"/>
      <c r="AE25" s="778"/>
      <c r="AF25" s="778"/>
      <c r="AG25" s="778"/>
      <c r="AH25" s="778"/>
      <c r="AI25" s="778"/>
      <c r="AJ25" s="778"/>
      <c r="AK25" s="778"/>
      <c r="AL25" s="770"/>
    </row>
    <row r="26" spans="3:38" ht="12.75" customHeight="1">
      <c r="C26" s="779">
        <v>5</v>
      </c>
      <c r="D26" s="1319" t="s">
        <v>577</v>
      </c>
      <c r="E26" s="1319"/>
      <c r="F26" s="1319"/>
      <c r="G26" s="1319"/>
      <c r="H26" s="1319"/>
      <c r="I26" s="1319"/>
      <c r="J26" s="1319"/>
      <c r="K26" s="1319"/>
      <c r="L26" s="1319"/>
      <c r="M26" s="1319"/>
      <c r="N26" s="1319"/>
      <c r="O26" s="1319"/>
      <c r="P26" s="1319"/>
      <c r="Q26" s="1319"/>
      <c r="R26" s="1319"/>
      <c r="S26" s="1319"/>
      <c r="T26" s="1319"/>
      <c r="U26" s="1319"/>
      <c r="V26" s="1319"/>
      <c r="W26" s="1319"/>
      <c r="X26" s="1319"/>
      <c r="Y26" s="1319"/>
      <c r="Z26" s="1319"/>
      <c r="AA26" s="1319"/>
      <c r="AB26" s="778"/>
      <c r="AC26" s="778"/>
      <c r="AD26" s="778"/>
      <c r="AE26" s="778"/>
      <c r="AF26" s="778"/>
      <c r="AG26" s="778"/>
      <c r="AH26" s="778"/>
      <c r="AI26" s="778"/>
      <c r="AJ26" s="778"/>
      <c r="AK26" s="778"/>
      <c r="AL26" s="770"/>
    </row>
    <row r="27" spans="3:38">
      <c r="C27" s="783"/>
      <c r="D27" s="784"/>
      <c r="E27" s="784"/>
      <c r="F27" s="784"/>
      <c r="G27" s="784"/>
      <c r="H27" s="784"/>
      <c r="I27" s="784"/>
      <c r="J27" s="784"/>
      <c r="K27" s="784"/>
      <c r="L27" s="784"/>
      <c r="M27" s="784"/>
      <c r="N27" s="784"/>
      <c r="O27" s="784"/>
      <c r="P27" s="784"/>
      <c r="Q27" s="784"/>
      <c r="R27" s="784"/>
      <c r="S27" s="784"/>
      <c r="T27" s="784"/>
      <c r="U27" s="784"/>
      <c r="V27" s="784"/>
      <c r="W27" s="784"/>
      <c r="X27" s="784"/>
      <c r="Y27" s="784"/>
      <c r="Z27" s="784"/>
      <c r="AA27" s="784"/>
      <c r="AB27" s="784"/>
      <c r="AC27" s="784"/>
      <c r="AD27" s="784"/>
      <c r="AE27" s="784"/>
      <c r="AF27" s="784"/>
      <c r="AG27" s="784"/>
      <c r="AH27" s="784"/>
      <c r="AI27" s="784"/>
      <c r="AJ27" s="784"/>
      <c r="AK27" s="784"/>
      <c r="AL27" s="785"/>
    </row>
  </sheetData>
  <mergeCells count="21">
    <mergeCell ref="Y7:Y9"/>
    <mergeCell ref="Z7:Z9"/>
    <mergeCell ref="AA7:AA9"/>
    <mergeCell ref="AB7:AB9"/>
    <mergeCell ref="AC7:AC9"/>
    <mergeCell ref="D24:AA24"/>
    <mergeCell ref="D25:AA25"/>
    <mergeCell ref="D26:AA26"/>
    <mergeCell ref="AJ7:AJ9"/>
    <mergeCell ref="AK7:AK9"/>
    <mergeCell ref="D8:I8"/>
    <mergeCell ref="J8:X8"/>
    <mergeCell ref="D22:AA22"/>
    <mergeCell ref="D23:AA23"/>
    <mergeCell ref="AD7:AD9"/>
    <mergeCell ref="AE7:AE9"/>
    <mergeCell ref="AF7:AF9"/>
    <mergeCell ref="AG7:AG9"/>
    <mergeCell ref="AH7:AH9"/>
    <mergeCell ref="AI7:AI9"/>
    <mergeCell ref="D7:X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C5FFFF"/>
    <pageSetUpPr fitToPage="1"/>
  </sheetPr>
  <dimension ref="A1:R49"/>
  <sheetViews>
    <sheetView topLeftCell="A25" workbookViewId="0">
      <selection activeCell="C7" sqref="C7"/>
    </sheetView>
  </sheetViews>
  <sheetFormatPr defaultColWidth="8.85546875" defaultRowHeight="12.75"/>
  <cols>
    <col min="1" max="1" width="11.85546875" style="52" customWidth="1"/>
    <col min="2" max="2" width="8.85546875" style="52" customWidth="1"/>
    <col min="3" max="3" width="29.85546875" style="52" customWidth="1"/>
    <col min="4" max="4" width="8.85546875" style="52" customWidth="1"/>
    <col min="5" max="5" width="25.42578125" style="52" customWidth="1"/>
    <col min="6" max="6" width="13.5703125" style="52" bestFit="1" customWidth="1"/>
    <col min="7" max="8" width="8.85546875" style="52"/>
    <col min="9" max="9" width="13.5703125" style="52" bestFit="1" customWidth="1"/>
    <col min="10" max="10" width="8.85546875" style="52"/>
    <col min="11" max="11" width="9.85546875" style="52" customWidth="1"/>
    <col min="12" max="12" width="8.85546875" style="52"/>
    <col min="13" max="13" width="12.5703125" style="52" bestFit="1" customWidth="1"/>
    <col min="14" max="14" width="13.5703125" style="52" bestFit="1" customWidth="1"/>
    <col min="15" max="15" width="10.42578125" style="52" customWidth="1"/>
    <col min="16" max="16384" width="8.85546875" style="52"/>
  </cols>
  <sheetData>
    <row r="1" spans="1:18">
      <c r="A1" s="418" t="s">
        <v>527</v>
      </c>
      <c r="E1" s="103" t="s">
        <v>985</v>
      </c>
    </row>
    <row r="2" spans="1:18">
      <c r="A2" s="418"/>
    </row>
    <row r="3" spans="1:18">
      <c r="A3" s="418" t="s">
        <v>81</v>
      </c>
    </row>
    <row r="5" spans="1:18" ht="16.5" thickBot="1">
      <c r="A5" s="786" t="s">
        <v>578</v>
      </c>
      <c r="B5" s="283"/>
      <c r="C5" s="283"/>
      <c r="D5" s="29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</row>
    <row r="6" spans="1:18" ht="15.75" thickBot="1">
      <c r="A6" s="283"/>
      <c r="B6" s="283"/>
      <c r="C6" s="283"/>
      <c r="D6" s="293"/>
      <c r="E6" s="283"/>
      <c r="F6" s="283"/>
      <c r="G6" s="283"/>
      <c r="H6" s="283"/>
      <c r="I6" s="283"/>
      <c r="J6" s="283"/>
      <c r="K6" s="283"/>
      <c r="L6" s="283"/>
      <c r="M6" s="1402" t="s">
        <v>581</v>
      </c>
      <c r="N6" s="1403"/>
      <c r="O6" s="1403"/>
      <c r="P6" s="1403"/>
      <c r="Q6" s="1404"/>
      <c r="R6" s="283"/>
    </row>
    <row r="7" spans="1:18" s="791" customFormat="1" ht="17.25" customHeight="1" thickBot="1">
      <c r="A7" s="787"/>
      <c r="B7" s="787"/>
      <c r="C7" s="787"/>
      <c r="D7" s="788"/>
      <c r="E7" s="1405" t="s">
        <v>579</v>
      </c>
      <c r="F7" s="1406"/>
      <c r="G7" s="1407"/>
      <c r="H7" s="789"/>
      <c r="I7" s="1408" t="s">
        <v>580</v>
      </c>
      <c r="J7" s="1409"/>
      <c r="K7" s="1410"/>
      <c r="L7" s="787"/>
      <c r="M7" s="1411" t="s">
        <v>579</v>
      </c>
      <c r="N7" s="1412"/>
      <c r="O7" s="1413"/>
      <c r="P7" s="790"/>
      <c r="Q7" s="1417" t="s">
        <v>549</v>
      </c>
      <c r="R7" s="788"/>
    </row>
    <row r="8" spans="1:18" ht="30.75" thickBot="1">
      <c r="A8" s="792"/>
      <c r="B8" s="792"/>
      <c r="C8" s="792"/>
      <c r="D8" s="793"/>
      <c r="E8" s="794"/>
      <c r="F8" s="795" t="s">
        <v>582</v>
      </c>
      <c r="G8" s="796"/>
      <c r="H8" s="789"/>
      <c r="I8" s="797" t="s">
        <v>582</v>
      </c>
      <c r="J8" s="798"/>
      <c r="K8" s="799" t="s">
        <v>583</v>
      </c>
      <c r="L8" s="800"/>
      <c r="M8" s="1414"/>
      <c r="N8" s="1415"/>
      <c r="O8" s="1416"/>
      <c r="P8" s="800"/>
      <c r="Q8" s="1418"/>
      <c r="R8" s="801"/>
    </row>
    <row r="9" spans="1:18" ht="16.5" thickBot="1">
      <c r="A9" s="1396" t="s">
        <v>584</v>
      </c>
      <c r="B9" s="1397"/>
      <c r="C9" s="1398"/>
      <c r="D9" s="802"/>
      <c r="E9" s="797" t="s">
        <v>585</v>
      </c>
      <c r="F9" s="797" t="s">
        <v>586</v>
      </c>
      <c r="G9" s="803" t="s">
        <v>587</v>
      </c>
      <c r="H9" s="804"/>
      <c r="I9" s="797" t="s">
        <v>587</v>
      </c>
      <c r="J9" s="793"/>
      <c r="K9" s="805" t="s">
        <v>587</v>
      </c>
      <c r="L9" s="800"/>
      <c r="M9" s="806" t="s">
        <v>585</v>
      </c>
      <c r="N9" s="807" t="s">
        <v>586</v>
      </c>
      <c r="O9" s="808" t="s">
        <v>587</v>
      </c>
      <c r="P9" s="801"/>
      <c r="Q9" s="809" t="s">
        <v>587</v>
      </c>
      <c r="R9" s="801"/>
    </row>
    <row r="10" spans="1:18" ht="16.5" thickBot="1">
      <c r="A10" s="1399"/>
      <c r="B10" s="1400"/>
      <c r="C10" s="1401"/>
      <c r="D10" s="802"/>
      <c r="E10" s="810" t="s">
        <v>567</v>
      </c>
      <c r="F10" s="811" t="s">
        <v>567</v>
      </c>
      <c r="G10" s="812" t="s">
        <v>567</v>
      </c>
      <c r="H10" s="789"/>
      <c r="I10" s="813" t="s">
        <v>567</v>
      </c>
      <c r="J10" s="793"/>
      <c r="K10" s="814" t="s">
        <v>567</v>
      </c>
      <c r="L10" s="800"/>
      <c r="M10" s="815" t="s">
        <v>567</v>
      </c>
      <c r="N10" s="816" t="s">
        <v>567</v>
      </c>
      <c r="O10" s="814" t="s">
        <v>567</v>
      </c>
      <c r="P10" s="800"/>
      <c r="Q10" s="814" t="s">
        <v>567</v>
      </c>
      <c r="R10" s="801"/>
    </row>
    <row r="11" spans="1:18" ht="17.25" customHeight="1">
      <c r="A11" s="1385" t="s">
        <v>588</v>
      </c>
      <c r="B11" s="1373" t="s">
        <v>424</v>
      </c>
      <c r="C11" s="1374"/>
      <c r="D11" s="817"/>
      <c r="E11" s="1387">
        <v>0.1</v>
      </c>
      <c r="F11" s="1387">
        <v>0.3</v>
      </c>
      <c r="G11" s="1389">
        <v>0.4</v>
      </c>
      <c r="H11" s="818"/>
      <c r="I11" s="819">
        <v>0.6</v>
      </c>
      <c r="J11" s="793"/>
      <c r="K11" s="820"/>
      <c r="L11" s="801"/>
      <c r="M11" s="801"/>
      <c r="N11" s="801"/>
      <c r="O11" s="801"/>
      <c r="P11" s="801"/>
      <c r="Q11" s="801"/>
      <c r="R11" s="801"/>
    </row>
    <row r="12" spans="1:18" ht="17.25" customHeight="1">
      <c r="A12" s="1386"/>
      <c r="B12" s="1383" t="s">
        <v>425</v>
      </c>
      <c r="C12" s="1384"/>
      <c r="D12" s="817"/>
      <c r="E12" s="1388"/>
      <c r="F12" s="1388"/>
      <c r="G12" s="1382"/>
      <c r="H12" s="818"/>
      <c r="I12" s="821">
        <v>1.4</v>
      </c>
      <c r="J12" s="793"/>
      <c r="K12" s="822"/>
      <c r="L12" s="801"/>
      <c r="M12" s="801"/>
      <c r="N12" s="801"/>
      <c r="O12" s="801"/>
      <c r="P12" s="801"/>
      <c r="Q12" s="801"/>
      <c r="R12" s="801"/>
    </row>
    <row r="13" spans="1:18" ht="17.25" customHeight="1">
      <c r="A13" s="1390" t="s">
        <v>346</v>
      </c>
      <c r="B13" s="1392" t="s">
        <v>589</v>
      </c>
      <c r="C13" s="1393"/>
      <c r="D13" s="817"/>
      <c r="E13" s="823">
        <v>0.1</v>
      </c>
      <c r="F13" s="823">
        <v>0.1</v>
      </c>
      <c r="G13" s="824">
        <v>0.2</v>
      </c>
      <c r="H13" s="818"/>
      <c r="I13" s="821">
        <v>0.5</v>
      </c>
      <c r="J13" s="793"/>
      <c r="K13" s="822"/>
      <c r="L13" s="801"/>
      <c r="M13" s="801"/>
      <c r="N13" s="801"/>
      <c r="O13" s="801"/>
      <c r="P13" s="801"/>
      <c r="Q13" s="801"/>
      <c r="R13" s="801"/>
    </row>
    <row r="14" spans="1:18" ht="17.25" customHeight="1">
      <c r="A14" s="1391"/>
      <c r="B14" s="1383" t="s">
        <v>590</v>
      </c>
      <c r="C14" s="1384"/>
      <c r="D14" s="817"/>
      <c r="E14" s="1394"/>
      <c r="F14" s="1394">
        <v>0.1</v>
      </c>
      <c r="G14" s="1380">
        <v>0.1</v>
      </c>
      <c r="H14" s="818"/>
      <c r="I14" s="821"/>
      <c r="J14" s="793"/>
      <c r="K14" s="822"/>
      <c r="L14" s="801"/>
      <c r="M14" s="801"/>
      <c r="N14" s="801"/>
      <c r="O14" s="801"/>
      <c r="P14" s="801"/>
      <c r="Q14" s="801"/>
      <c r="R14" s="801"/>
    </row>
    <row r="15" spans="1:18" ht="17.25" customHeight="1">
      <c r="A15" s="1391"/>
      <c r="B15" s="1383" t="s">
        <v>591</v>
      </c>
      <c r="C15" s="1384"/>
      <c r="D15" s="817"/>
      <c r="E15" s="1395"/>
      <c r="F15" s="1395"/>
      <c r="G15" s="1381"/>
      <c r="H15" s="818"/>
      <c r="I15" s="821">
        <v>2.1</v>
      </c>
      <c r="J15" s="793"/>
      <c r="K15" s="822"/>
      <c r="L15" s="801"/>
      <c r="M15" s="801"/>
      <c r="N15" s="801"/>
      <c r="O15" s="801"/>
      <c r="P15" s="801"/>
      <c r="Q15" s="801"/>
      <c r="R15" s="801"/>
    </row>
    <row r="16" spans="1:18" ht="17.25" customHeight="1" thickBot="1">
      <c r="A16" s="1386"/>
      <c r="B16" s="1377" t="s">
        <v>429</v>
      </c>
      <c r="C16" s="1378"/>
      <c r="D16" s="817"/>
      <c r="E16" s="1388"/>
      <c r="F16" s="1388"/>
      <c r="G16" s="1382"/>
      <c r="H16" s="818"/>
      <c r="I16" s="825">
        <v>0.3</v>
      </c>
      <c r="J16" s="793"/>
      <c r="K16" s="826"/>
      <c r="L16" s="801"/>
      <c r="M16" s="801"/>
      <c r="N16" s="801"/>
      <c r="O16" s="801"/>
      <c r="P16" s="801"/>
      <c r="Q16" s="801"/>
      <c r="R16" s="801"/>
    </row>
    <row r="17" spans="1:18" ht="17.25" customHeight="1">
      <c r="A17" s="1370" t="s">
        <v>592</v>
      </c>
      <c r="B17" s="1373" t="s">
        <v>430</v>
      </c>
      <c r="C17" s="1374"/>
      <c r="D17" s="827"/>
      <c r="E17" s="823">
        <v>0.5</v>
      </c>
      <c r="F17" s="823">
        <v>0.1</v>
      </c>
      <c r="G17" s="824">
        <v>0.6</v>
      </c>
      <c r="H17" s="818"/>
      <c r="I17" s="828">
        <v>0.8</v>
      </c>
      <c r="J17" s="793"/>
      <c r="K17" s="829"/>
      <c r="L17" s="801"/>
      <c r="M17" s="801"/>
      <c r="N17" s="801"/>
      <c r="O17" s="801"/>
      <c r="P17" s="801"/>
      <c r="Q17" s="801"/>
      <c r="R17" s="801"/>
    </row>
    <row r="18" spans="1:18" ht="17.25" customHeight="1">
      <c r="A18" s="1371"/>
      <c r="B18" s="1375" t="s">
        <v>593</v>
      </c>
      <c r="C18" s="1376"/>
      <c r="D18" s="830"/>
      <c r="E18" s="823"/>
      <c r="F18" s="823"/>
      <c r="G18" s="831">
        <v>0</v>
      </c>
      <c r="H18" s="818"/>
      <c r="I18" s="821">
        <v>1.5</v>
      </c>
      <c r="J18" s="793"/>
      <c r="K18" s="822"/>
      <c r="L18" s="801"/>
      <c r="M18" s="801"/>
      <c r="N18" s="801"/>
      <c r="O18" s="801"/>
      <c r="P18" s="801"/>
      <c r="Q18" s="801"/>
      <c r="R18" s="801"/>
    </row>
    <row r="19" spans="1:18" ht="17.25" customHeight="1" thickBot="1">
      <c r="A19" s="1372"/>
      <c r="B19" s="1377" t="s">
        <v>594</v>
      </c>
      <c r="C19" s="1378"/>
      <c r="D19" s="827"/>
      <c r="E19" s="832">
        <v>0.1</v>
      </c>
      <c r="F19" s="833">
        <v>1.5</v>
      </c>
      <c r="G19" s="834">
        <v>1.6</v>
      </c>
      <c r="H19" s="818"/>
      <c r="I19" s="835">
        <v>0.2</v>
      </c>
      <c r="J19" s="793"/>
      <c r="K19" s="836"/>
      <c r="L19" s="801"/>
      <c r="M19" s="801"/>
      <c r="N19" s="801"/>
      <c r="O19" s="801"/>
      <c r="P19" s="801"/>
      <c r="Q19" s="801"/>
      <c r="R19" s="801"/>
    </row>
    <row r="20" spans="1:18" ht="17.25" customHeight="1">
      <c r="A20" s="1379" t="s">
        <v>403</v>
      </c>
      <c r="B20" s="1373" t="s">
        <v>430</v>
      </c>
      <c r="C20" s="1374"/>
      <c r="D20" s="827"/>
      <c r="E20" s="823">
        <v>0.1</v>
      </c>
      <c r="F20" s="823"/>
      <c r="G20" s="837">
        <v>0.1</v>
      </c>
      <c r="H20" s="818"/>
      <c r="I20" s="819">
        <v>0.1</v>
      </c>
      <c r="J20" s="793"/>
      <c r="K20" s="820"/>
      <c r="L20" s="801"/>
      <c r="M20" s="801"/>
      <c r="N20" s="801"/>
      <c r="O20" s="801"/>
      <c r="P20" s="801"/>
      <c r="Q20" s="801"/>
      <c r="R20" s="801"/>
    </row>
    <row r="21" spans="1:18" ht="17.25" customHeight="1">
      <c r="A21" s="1371"/>
      <c r="B21" s="838" t="s">
        <v>595</v>
      </c>
      <c r="C21" s="839"/>
      <c r="D21" s="817"/>
      <c r="E21" s="823"/>
      <c r="F21" s="823"/>
      <c r="G21" s="824">
        <v>0</v>
      </c>
      <c r="H21" s="818"/>
      <c r="I21" s="828"/>
      <c r="J21" s="793"/>
      <c r="K21" s="829"/>
      <c r="L21" s="801"/>
      <c r="M21" s="801"/>
      <c r="N21" s="801"/>
      <c r="O21" s="801"/>
      <c r="P21" s="801"/>
      <c r="Q21" s="801"/>
      <c r="R21" s="801"/>
    </row>
    <row r="22" spans="1:18" ht="17.25" customHeight="1">
      <c r="A22" s="1371"/>
      <c r="B22" s="838" t="s">
        <v>596</v>
      </c>
      <c r="C22" s="839"/>
      <c r="D22" s="817"/>
      <c r="E22" s="823"/>
      <c r="F22" s="823"/>
      <c r="G22" s="831">
        <v>0</v>
      </c>
      <c r="H22" s="818"/>
      <c r="I22" s="821">
        <v>0.3</v>
      </c>
      <c r="J22" s="793"/>
      <c r="K22" s="822"/>
      <c r="L22" s="801"/>
      <c r="M22" s="801"/>
      <c r="N22" s="801"/>
      <c r="O22" s="801"/>
      <c r="P22" s="801"/>
      <c r="Q22" s="801"/>
      <c r="R22" s="801"/>
    </row>
    <row r="23" spans="1:18" ht="17.25" customHeight="1" thickBot="1">
      <c r="A23" s="1372"/>
      <c r="B23" s="1377" t="s">
        <v>594</v>
      </c>
      <c r="C23" s="1378"/>
      <c r="D23" s="817"/>
      <c r="E23" s="832">
        <v>0.1</v>
      </c>
      <c r="F23" s="833">
        <v>0.7</v>
      </c>
      <c r="G23" s="840">
        <v>0.8</v>
      </c>
      <c r="H23" s="818"/>
      <c r="I23" s="825">
        <v>0.2</v>
      </c>
      <c r="J23" s="793"/>
      <c r="K23" s="826"/>
      <c r="L23" s="801"/>
      <c r="M23" s="801"/>
      <c r="N23" s="801"/>
      <c r="O23" s="801"/>
      <c r="P23" s="801"/>
      <c r="Q23" s="801"/>
      <c r="R23" s="801"/>
    </row>
    <row r="24" spans="1:18" ht="17.25" customHeight="1">
      <c r="A24" s="1379" t="s">
        <v>402</v>
      </c>
      <c r="B24" s="1373" t="s">
        <v>430</v>
      </c>
      <c r="C24" s="1374"/>
      <c r="D24" s="827"/>
      <c r="E24" s="823">
        <v>0.2</v>
      </c>
      <c r="F24" s="823">
        <v>0.6</v>
      </c>
      <c r="G24" s="824">
        <v>0.8</v>
      </c>
      <c r="H24" s="818"/>
      <c r="I24" s="828"/>
      <c r="J24" s="793"/>
      <c r="K24" s="829"/>
      <c r="L24" s="801"/>
      <c r="M24" s="841"/>
      <c r="N24" s="841"/>
      <c r="O24" s="842">
        <v>0</v>
      </c>
      <c r="P24" s="801"/>
      <c r="Q24" s="820"/>
      <c r="R24" s="801"/>
    </row>
    <row r="25" spans="1:18" ht="17.25" customHeight="1">
      <c r="A25" s="1371"/>
      <c r="B25" s="838" t="s">
        <v>595</v>
      </c>
      <c r="C25" s="843"/>
      <c r="D25" s="817"/>
      <c r="E25" s="823"/>
      <c r="F25" s="823"/>
      <c r="G25" s="831">
        <v>0</v>
      </c>
      <c r="H25" s="818"/>
      <c r="I25" s="821"/>
      <c r="J25" s="793"/>
      <c r="K25" s="822"/>
      <c r="L25" s="801"/>
      <c r="M25" s="844"/>
      <c r="N25" s="844"/>
      <c r="O25" s="845">
        <v>0</v>
      </c>
      <c r="P25" s="801"/>
      <c r="Q25" s="822"/>
      <c r="R25" s="801"/>
    </row>
    <row r="26" spans="1:18" ht="17.25" customHeight="1">
      <c r="A26" s="1371"/>
      <c r="B26" s="838" t="s">
        <v>596</v>
      </c>
      <c r="C26" s="843"/>
      <c r="D26" s="817"/>
      <c r="E26" s="823"/>
      <c r="F26" s="823"/>
      <c r="G26" s="831">
        <v>0</v>
      </c>
      <c r="H26" s="818"/>
      <c r="I26" s="821"/>
      <c r="J26" s="793"/>
      <c r="K26" s="822"/>
      <c r="L26" s="801"/>
      <c r="M26" s="844"/>
      <c r="N26" s="844"/>
      <c r="O26" s="845">
        <v>0</v>
      </c>
      <c r="P26" s="801"/>
      <c r="Q26" s="822"/>
      <c r="R26" s="801"/>
    </row>
    <row r="27" spans="1:18" ht="17.25" customHeight="1" thickBot="1">
      <c r="A27" s="1372"/>
      <c r="B27" s="1377" t="s">
        <v>594</v>
      </c>
      <c r="C27" s="1378"/>
      <c r="D27" s="817"/>
      <c r="E27" s="823">
        <v>0.1</v>
      </c>
      <c r="F27" s="823">
        <v>0.5</v>
      </c>
      <c r="G27" s="834">
        <v>0.6</v>
      </c>
      <c r="H27" s="818"/>
      <c r="I27" s="835"/>
      <c r="J27" s="793"/>
      <c r="K27" s="836"/>
      <c r="L27" s="801"/>
      <c r="M27" s="846"/>
      <c r="N27" s="846"/>
      <c r="O27" s="847">
        <v>0</v>
      </c>
      <c r="P27" s="801"/>
      <c r="Q27" s="826"/>
      <c r="R27" s="801"/>
    </row>
    <row r="28" spans="1:18" ht="17.25" customHeight="1" thickBot="1">
      <c r="A28" s="1343" t="s">
        <v>597</v>
      </c>
      <c r="B28" s="1344"/>
      <c r="C28" s="1345"/>
      <c r="D28" s="817"/>
      <c r="E28" s="848"/>
      <c r="F28" s="848"/>
      <c r="G28" s="849"/>
      <c r="H28" s="818"/>
      <c r="I28" s="850"/>
      <c r="J28" s="793"/>
      <c r="K28" s="851"/>
      <c r="L28" s="801"/>
      <c r="M28" s="852"/>
      <c r="N28" s="852"/>
      <c r="O28" s="849">
        <v>0</v>
      </c>
      <c r="P28" s="801"/>
      <c r="Q28" s="851"/>
      <c r="R28" s="801"/>
    </row>
    <row r="29" spans="1:18" ht="17.25" customHeight="1" thickBot="1">
      <c r="A29" s="1343" t="s">
        <v>598</v>
      </c>
      <c r="B29" s="1344"/>
      <c r="C29" s="1345"/>
      <c r="D29" s="853"/>
      <c r="E29" s="854"/>
      <c r="F29" s="855"/>
      <c r="G29" s="856"/>
      <c r="H29" s="857"/>
      <c r="I29" s="858">
        <v>1</v>
      </c>
      <c r="J29" s="793"/>
      <c r="K29" s="859"/>
      <c r="L29" s="860"/>
      <c r="M29" s="861"/>
      <c r="N29" s="862"/>
      <c r="O29" s="856"/>
      <c r="P29" s="860"/>
      <c r="Q29" s="863"/>
      <c r="R29" s="860"/>
    </row>
    <row r="30" spans="1:18" ht="17.25" customHeight="1" thickBot="1">
      <c r="A30" s="1343" t="s">
        <v>599</v>
      </c>
      <c r="B30" s="1344"/>
      <c r="C30" s="1345"/>
      <c r="D30" s="853"/>
      <c r="E30" s="854"/>
      <c r="F30" s="823">
        <v>0.6</v>
      </c>
      <c r="G30" s="834">
        <v>0.6</v>
      </c>
      <c r="H30" s="857"/>
      <c r="I30" s="864"/>
      <c r="J30" s="793"/>
      <c r="K30" s="865"/>
      <c r="L30" s="860"/>
      <c r="M30" s="854"/>
      <c r="N30" s="855"/>
      <c r="O30" s="856"/>
      <c r="P30" s="860"/>
      <c r="Q30" s="866"/>
      <c r="R30" s="860"/>
    </row>
    <row r="31" spans="1:18" ht="17.25" customHeight="1" thickBot="1">
      <c r="A31" s="1343" t="s">
        <v>600</v>
      </c>
      <c r="B31" s="1344"/>
      <c r="C31" s="1345"/>
      <c r="D31" s="853"/>
      <c r="E31" s="854"/>
      <c r="F31" s="823">
        <v>0.1</v>
      </c>
      <c r="G31" s="867">
        <v>0.1</v>
      </c>
      <c r="H31" s="857"/>
      <c r="I31" s="864"/>
      <c r="J31" s="793"/>
      <c r="K31" s="865"/>
      <c r="L31" s="860"/>
      <c r="M31" s="854"/>
      <c r="N31" s="855"/>
      <c r="O31" s="856"/>
      <c r="P31" s="860"/>
      <c r="Q31" s="866"/>
      <c r="R31" s="860"/>
    </row>
    <row r="32" spans="1:18" ht="17.25" customHeight="1" thickBot="1">
      <c r="A32" s="1343" t="s">
        <v>601</v>
      </c>
      <c r="B32" s="1344"/>
      <c r="C32" s="1345"/>
      <c r="D32" s="853"/>
      <c r="E32" s="854"/>
      <c r="F32" s="868"/>
      <c r="G32" s="869"/>
      <c r="H32" s="857"/>
      <c r="I32" s="858">
        <v>-0.6</v>
      </c>
      <c r="J32" s="793"/>
      <c r="K32" s="865"/>
      <c r="L32" s="860"/>
      <c r="M32" s="854"/>
      <c r="N32" s="855"/>
      <c r="O32" s="856"/>
      <c r="P32" s="860"/>
      <c r="Q32" s="866"/>
      <c r="R32" s="860"/>
    </row>
    <row r="33" spans="1:18" ht="17.25" customHeight="1" thickBot="1">
      <c r="A33" s="1343" t="s">
        <v>602</v>
      </c>
      <c r="B33" s="1344"/>
      <c r="C33" s="1345"/>
      <c r="D33" s="853"/>
      <c r="E33" s="854"/>
      <c r="F33" s="823"/>
      <c r="G33" s="867">
        <v>0</v>
      </c>
      <c r="H33" s="857"/>
      <c r="I33" s="870"/>
      <c r="J33" s="793"/>
      <c r="K33" s="865"/>
      <c r="L33" s="860"/>
      <c r="M33" s="854"/>
      <c r="N33" s="855"/>
      <c r="O33" s="856"/>
      <c r="P33" s="860"/>
      <c r="Q33" s="866"/>
      <c r="R33" s="860"/>
    </row>
    <row r="34" spans="1:18" ht="17.25" customHeight="1" thickBot="1">
      <c r="A34" s="1346" t="s">
        <v>200</v>
      </c>
      <c r="B34" s="1347"/>
      <c r="C34" s="1348"/>
      <c r="D34" s="871"/>
      <c r="E34" s="872">
        <v>1.3</v>
      </c>
      <c r="F34" s="872">
        <v>4.5999999999999996</v>
      </c>
      <c r="G34" s="872">
        <v>5.9</v>
      </c>
      <c r="H34" s="873"/>
      <c r="I34" s="872">
        <v>8.4</v>
      </c>
      <c r="J34" s="871"/>
      <c r="K34" s="874"/>
      <c r="L34" s="875"/>
      <c r="M34" s="874">
        <v>0</v>
      </c>
      <c r="N34" s="874">
        <v>0</v>
      </c>
      <c r="O34" s="874">
        <v>0</v>
      </c>
      <c r="P34" s="875"/>
      <c r="Q34" s="874">
        <v>0</v>
      </c>
      <c r="R34" s="875"/>
    </row>
    <row r="35" spans="1:18" ht="15" thickBot="1">
      <c r="A35" s="801"/>
      <c r="B35" s="801"/>
      <c r="C35" s="801"/>
      <c r="D35" s="876"/>
      <c r="E35" s="801"/>
      <c r="F35" s="801"/>
      <c r="G35" s="877"/>
      <c r="H35" s="801"/>
      <c r="I35" s="877"/>
      <c r="J35" s="800"/>
      <c r="K35" s="877"/>
      <c r="L35" s="801"/>
      <c r="M35" s="801"/>
      <c r="N35" s="801"/>
      <c r="O35" s="801"/>
      <c r="P35" s="801"/>
      <c r="Q35" s="801"/>
      <c r="R35" s="801"/>
    </row>
    <row r="36" spans="1:18" ht="30.75" thickBot="1">
      <c r="A36" s="878"/>
      <c r="B36" s="878"/>
      <c r="C36" s="879"/>
      <c r="D36" s="880"/>
      <c r="E36" s="1349" t="s">
        <v>603</v>
      </c>
      <c r="F36" s="1350"/>
      <c r="G36" s="1350"/>
      <c r="H36" s="1351"/>
      <c r="I36" s="881" t="s">
        <v>582</v>
      </c>
      <c r="J36" s="882"/>
      <c r="K36" s="883" t="s">
        <v>583</v>
      </c>
      <c r="L36" s="884"/>
      <c r="M36" s="875"/>
      <c r="N36" s="875"/>
      <c r="O36" s="875"/>
      <c r="P36" s="875"/>
      <c r="Q36" s="875"/>
      <c r="R36" s="875"/>
    </row>
    <row r="37" spans="1:18" ht="17.25" customHeight="1" thickBot="1">
      <c r="A37" s="875"/>
      <c r="B37" s="884"/>
      <c r="C37" s="884"/>
      <c r="D37" s="884"/>
      <c r="E37" s="1352"/>
      <c r="F37" s="1353"/>
      <c r="G37" s="1353"/>
      <c r="H37" s="1354"/>
      <c r="I37" s="812" t="s">
        <v>567</v>
      </c>
      <c r="J37" s="871"/>
      <c r="K37" s="813" t="s">
        <v>567</v>
      </c>
      <c r="L37" s="875"/>
      <c r="M37" s="875"/>
      <c r="N37" s="875"/>
      <c r="O37" s="875"/>
      <c r="P37" s="875"/>
      <c r="Q37" s="875"/>
      <c r="R37" s="875"/>
    </row>
    <row r="38" spans="1:18" ht="17.25" customHeight="1">
      <c r="A38" s="801"/>
      <c r="B38" s="876"/>
      <c r="C38" s="876"/>
      <c r="D38" s="876"/>
      <c r="E38" s="1355" t="s">
        <v>604</v>
      </c>
      <c r="F38" s="1356"/>
      <c r="G38" s="1356"/>
      <c r="H38" s="1357"/>
      <c r="I38" s="885">
        <v>2.4</v>
      </c>
      <c r="J38" s="793"/>
      <c r="K38" s="829"/>
      <c r="L38" s="801"/>
      <c r="M38" s="801"/>
      <c r="N38" s="801"/>
      <c r="O38" s="801"/>
      <c r="P38" s="801"/>
      <c r="Q38" s="801"/>
      <c r="R38" s="801"/>
    </row>
    <row r="39" spans="1:18" ht="17.25" customHeight="1" thickBot="1">
      <c r="A39" s="801"/>
      <c r="B39" s="876"/>
      <c r="C39" s="876"/>
      <c r="D39" s="876"/>
      <c r="E39" s="1358" t="s">
        <v>605</v>
      </c>
      <c r="F39" s="1359"/>
      <c r="G39" s="1359"/>
      <c r="H39" s="1360"/>
      <c r="I39" s="886">
        <v>6</v>
      </c>
      <c r="J39" s="793"/>
      <c r="K39" s="829"/>
      <c r="L39" s="801"/>
      <c r="M39" s="801"/>
      <c r="N39" s="801"/>
      <c r="O39" s="801"/>
      <c r="P39" s="801"/>
      <c r="Q39" s="801"/>
      <c r="R39" s="801"/>
    </row>
    <row r="40" spans="1:18" ht="17.25" customHeight="1" thickBot="1">
      <c r="A40" s="801"/>
      <c r="B40" s="871"/>
      <c r="C40" s="871"/>
      <c r="D40" s="871"/>
      <c r="E40" s="1361" t="s">
        <v>606</v>
      </c>
      <c r="F40" s="1362"/>
      <c r="G40" s="1362"/>
      <c r="H40" s="1363"/>
      <c r="I40" s="867">
        <v>8.4</v>
      </c>
      <c r="J40" s="793"/>
      <c r="K40" s="849"/>
      <c r="L40" s="801"/>
      <c r="M40" s="801"/>
      <c r="N40" s="801"/>
      <c r="O40" s="801"/>
      <c r="P40" s="801"/>
      <c r="Q40" s="801"/>
      <c r="R40" s="801"/>
    </row>
    <row r="41" spans="1:18" ht="15" thickBot="1">
      <c r="A41" s="801"/>
      <c r="B41" s="801"/>
      <c r="C41" s="801"/>
      <c r="D41" s="876"/>
      <c r="E41" s="801"/>
      <c r="F41" s="801"/>
      <c r="G41" s="801"/>
      <c r="H41" s="801"/>
      <c r="I41" s="877"/>
      <c r="J41" s="779"/>
      <c r="K41" s="877"/>
      <c r="L41" s="801"/>
      <c r="M41" s="801"/>
      <c r="N41" s="801"/>
      <c r="O41" s="801"/>
      <c r="P41" s="801"/>
      <c r="Q41" s="801"/>
      <c r="R41" s="801"/>
    </row>
    <row r="42" spans="1:18" ht="20.25">
      <c r="A42" s="800"/>
      <c r="B42" s="887"/>
      <c r="C42" s="1364" t="s">
        <v>551</v>
      </c>
      <c r="D42" s="1365"/>
      <c r="E42" s="1365"/>
      <c r="F42" s="1366"/>
      <c r="G42" s="1341" t="s">
        <v>567</v>
      </c>
      <c r="H42" s="793"/>
      <c r="I42" s="800"/>
      <c r="J42" s="800"/>
      <c r="K42" s="800"/>
      <c r="L42" s="800"/>
      <c r="M42" s="1364" t="s">
        <v>551</v>
      </c>
      <c r="N42" s="1366"/>
      <c r="O42" s="1341" t="s">
        <v>567</v>
      </c>
      <c r="P42" s="800"/>
      <c r="Q42" s="800"/>
      <c r="R42" s="800"/>
    </row>
    <row r="43" spans="1:18" ht="21" thickBot="1">
      <c r="A43" s="800"/>
      <c r="B43" s="887"/>
      <c r="C43" s="1367"/>
      <c r="D43" s="1368"/>
      <c r="E43" s="1368"/>
      <c r="F43" s="1369"/>
      <c r="G43" s="1342"/>
      <c r="H43" s="793"/>
      <c r="I43" s="800"/>
      <c r="J43" s="800"/>
      <c r="K43" s="800"/>
      <c r="L43" s="800"/>
      <c r="M43" s="1367"/>
      <c r="N43" s="1369"/>
      <c r="O43" s="1342"/>
      <c r="P43" s="800"/>
      <c r="Q43" s="800"/>
      <c r="R43" s="800"/>
    </row>
    <row r="44" spans="1:18" ht="17.25" customHeight="1" thickBot="1">
      <c r="A44" s="800"/>
      <c r="B44" s="888"/>
      <c r="C44" s="1338" t="s">
        <v>222</v>
      </c>
      <c r="D44" s="1339"/>
      <c r="E44" s="1339"/>
      <c r="F44" s="1340"/>
      <c r="G44" s="885">
        <v>1.1655181170566711</v>
      </c>
      <c r="H44" s="793"/>
      <c r="I44" s="800"/>
      <c r="J44" s="800"/>
      <c r="K44" s="800"/>
      <c r="L44" s="800"/>
      <c r="M44" s="1338" t="s">
        <v>402</v>
      </c>
      <c r="N44" s="1340"/>
      <c r="O44" s="889">
        <v>0.1</v>
      </c>
      <c r="P44" s="800"/>
      <c r="Q44" s="800"/>
      <c r="R44" s="800"/>
    </row>
    <row r="45" spans="1:18" ht="17.25" customHeight="1" thickBot="1">
      <c r="A45" s="800"/>
      <c r="B45" s="888"/>
      <c r="C45" s="1338" t="s">
        <v>223</v>
      </c>
      <c r="D45" s="1339"/>
      <c r="E45" s="1339"/>
      <c r="F45" s="1340"/>
      <c r="G45" s="885">
        <v>2.3630693363750601</v>
      </c>
      <c r="H45" s="793"/>
      <c r="I45" s="800"/>
      <c r="J45" s="800"/>
      <c r="K45" s="800"/>
      <c r="L45" s="800"/>
      <c r="M45" s="800"/>
      <c r="N45" s="800"/>
      <c r="O45" s="800"/>
      <c r="P45" s="800"/>
      <c r="Q45" s="800"/>
      <c r="R45" s="800"/>
    </row>
    <row r="46" spans="1:18" ht="17.25" customHeight="1" thickBot="1">
      <c r="A46" s="800"/>
      <c r="B46" s="888"/>
      <c r="C46" s="1338" t="s">
        <v>403</v>
      </c>
      <c r="D46" s="1339"/>
      <c r="E46" s="1339"/>
      <c r="F46" s="1340"/>
      <c r="G46" s="885">
        <v>0.48131015744404471</v>
      </c>
      <c r="H46" s="793"/>
      <c r="I46" s="800"/>
      <c r="J46" s="800"/>
      <c r="K46" s="800"/>
      <c r="L46" s="800"/>
      <c r="M46" s="800"/>
      <c r="N46" s="800"/>
      <c r="O46" s="800"/>
      <c r="P46" s="800"/>
      <c r="Q46" s="800"/>
      <c r="R46" s="800"/>
    </row>
    <row r="47" spans="1:18" ht="17.25" customHeight="1" thickBot="1">
      <c r="A47" s="800"/>
      <c r="B47" s="888"/>
      <c r="C47" s="1338" t="s">
        <v>402</v>
      </c>
      <c r="D47" s="1339"/>
      <c r="E47" s="1339"/>
      <c r="F47" s="1340"/>
      <c r="G47" s="885">
        <v>0.14846693171693162</v>
      </c>
      <c r="H47" s="793"/>
      <c r="I47" s="800"/>
      <c r="J47" s="800"/>
      <c r="K47" s="800"/>
      <c r="L47" s="800"/>
      <c r="M47" s="800"/>
      <c r="N47" s="800"/>
      <c r="O47" s="800"/>
      <c r="P47" s="800"/>
      <c r="Q47" s="800"/>
      <c r="R47" s="800"/>
    </row>
    <row r="48" spans="1:18" ht="17.25" customHeight="1" thickBot="1">
      <c r="A48" s="800"/>
      <c r="B48" s="890"/>
      <c r="C48" s="891" t="s">
        <v>607</v>
      </c>
      <c r="D48" s="892"/>
      <c r="E48" s="892"/>
      <c r="F48" s="893"/>
      <c r="G48" s="894">
        <v>4.1583645425927083</v>
      </c>
      <c r="H48" s="793"/>
      <c r="I48" s="800"/>
      <c r="J48" s="800"/>
      <c r="K48" s="800"/>
      <c r="L48" s="800"/>
      <c r="M48" s="800"/>
      <c r="N48" s="800"/>
      <c r="O48" s="800"/>
      <c r="P48" s="800"/>
      <c r="Q48" s="800"/>
      <c r="R48" s="800"/>
    </row>
    <row r="49" spans="1:18" ht="15">
      <c r="A49" s="895"/>
      <c r="B49" s="895"/>
      <c r="C49" s="895"/>
      <c r="D49" s="895"/>
      <c r="E49" s="895"/>
      <c r="F49" s="895"/>
      <c r="G49" s="877"/>
      <c r="H49" s="896"/>
      <c r="I49" s="897"/>
      <c r="J49" s="897"/>
      <c r="K49" s="897"/>
      <c r="L49" s="898"/>
      <c r="M49" s="801"/>
      <c r="N49" s="801"/>
      <c r="O49" s="801"/>
      <c r="P49" s="801"/>
      <c r="Q49" s="801"/>
      <c r="R49" s="801"/>
    </row>
  </sheetData>
  <mergeCells count="50">
    <mergeCell ref="A9:C10"/>
    <mergeCell ref="M6:Q6"/>
    <mergeCell ref="E7:G7"/>
    <mergeCell ref="I7:K7"/>
    <mergeCell ref="M7:O8"/>
    <mergeCell ref="Q7:Q8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13:A16"/>
    <mergeCell ref="B13:C13"/>
    <mergeCell ref="B14:C14"/>
    <mergeCell ref="E14:E16"/>
    <mergeCell ref="F14:F16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C28"/>
    <mergeCell ref="A29:C29"/>
    <mergeCell ref="O42:O43"/>
    <mergeCell ref="A31:C31"/>
    <mergeCell ref="A32:C32"/>
    <mergeCell ref="A33:C33"/>
    <mergeCell ref="A34:C34"/>
    <mergeCell ref="E36:H37"/>
    <mergeCell ref="E38:H38"/>
    <mergeCell ref="E39:H39"/>
    <mergeCell ref="E40:H40"/>
    <mergeCell ref="C42:F43"/>
    <mergeCell ref="G42:G43"/>
    <mergeCell ref="M42:N43"/>
    <mergeCell ref="C44:F44"/>
    <mergeCell ref="M44:N44"/>
    <mergeCell ref="C45:F45"/>
    <mergeCell ref="C46:F46"/>
    <mergeCell ref="C47:F47"/>
  </mergeCells>
  <phoneticPr fontId="1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C5FFFF"/>
    <pageSetUpPr fitToPage="1"/>
  </sheetPr>
  <dimension ref="A1:N89"/>
  <sheetViews>
    <sheetView topLeftCell="A70" workbookViewId="0">
      <selection sqref="A1:XFD1048576"/>
    </sheetView>
  </sheetViews>
  <sheetFormatPr defaultColWidth="8.85546875" defaultRowHeight="12.75"/>
  <cols>
    <col min="1" max="2" width="8.85546875" customWidth="1"/>
    <col min="3" max="3" width="74.85546875" bestFit="1" customWidth="1"/>
    <col min="4" max="4" width="40.140625" bestFit="1" customWidth="1"/>
    <col min="5" max="6" width="9" bestFit="1" customWidth="1"/>
  </cols>
  <sheetData>
    <row r="1" spans="1:14">
      <c r="A1" s="50" t="s">
        <v>527</v>
      </c>
      <c r="E1" s="51" t="s">
        <v>985</v>
      </c>
    </row>
    <row r="2" spans="1:14">
      <c r="A2" s="50"/>
    </row>
    <row r="3" spans="1:14">
      <c r="A3" s="50" t="s">
        <v>81</v>
      </c>
    </row>
    <row r="5" spans="1:14" ht="20.25">
      <c r="A5" s="899" t="s">
        <v>608</v>
      </c>
      <c r="B5" s="900"/>
      <c r="C5" s="900"/>
      <c r="D5" s="901"/>
      <c r="E5" s="900"/>
      <c r="F5" s="900"/>
      <c r="G5" s="900"/>
      <c r="H5" s="900"/>
      <c r="I5" s="900"/>
      <c r="J5" s="900"/>
      <c r="K5" s="900"/>
      <c r="L5" s="900"/>
      <c r="M5" s="902"/>
      <c r="N5" s="902"/>
    </row>
    <row r="6" spans="1:14" ht="21" thickBot="1">
      <c r="A6" s="899"/>
      <c r="B6" s="900"/>
      <c r="C6" s="900"/>
      <c r="D6" s="901"/>
      <c r="E6" s="900"/>
      <c r="F6" s="900"/>
      <c r="G6" s="900"/>
      <c r="H6" s="900"/>
      <c r="I6" s="900"/>
      <c r="J6" s="900"/>
      <c r="K6" s="900"/>
      <c r="L6" s="900"/>
      <c r="M6" s="902"/>
      <c r="N6" s="902"/>
    </row>
    <row r="7" spans="1:14" ht="18.75" thickBot="1">
      <c r="A7" s="903"/>
      <c r="B7" s="903"/>
      <c r="C7" s="904" t="s">
        <v>1027</v>
      </c>
      <c r="D7" s="905"/>
      <c r="E7" s="905"/>
      <c r="F7" s="905"/>
      <c r="G7" s="905"/>
      <c r="H7" s="905"/>
      <c r="I7" s="905"/>
      <c r="J7" s="905"/>
      <c r="K7" s="905"/>
      <c r="L7" s="906"/>
      <c r="M7" s="903"/>
      <c r="N7" s="903"/>
    </row>
    <row r="8" spans="1:14" ht="98.25" thickBot="1">
      <c r="A8" s="903"/>
      <c r="B8" s="903"/>
      <c r="C8" s="1454" t="s">
        <v>610</v>
      </c>
      <c r="D8" s="1455"/>
      <c r="E8" s="907" t="s">
        <v>611</v>
      </c>
      <c r="F8" s="908" t="s">
        <v>612</v>
      </c>
      <c r="G8" s="908" t="s">
        <v>613</v>
      </c>
      <c r="H8" s="907" t="s">
        <v>614</v>
      </c>
      <c r="I8" s="908" t="s">
        <v>615</v>
      </c>
      <c r="J8" s="909" t="s">
        <v>616</v>
      </c>
      <c r="K8" s="910" t="s">
        <v>617</v>
      </c>
      <c r="L8" s="911" t="s">
        <v>200</v>
      </c>
      <c r="M8" s="903"/>
      <c r="N8" s="903"/>
    </row>
    <row r="9" spans="1:14" ht="15.75" thickBot="1">
      <c r="A9" s="903"/>
      <c r="B9" s="903"/>
      <c r="C9" s="1458"/>
      <c r="D9" s="1459"/>
      <c r="E9" s="912" t="s">
        <v>567</v>
      </c>
      <c r="F9" s="913" t="s">
        <v>567</v>
      </c>
      <c r="G9" s="913" t="s">
        <v>567</v>
      </c>
      <c r="H9" s="912" t="s">
        <v>567</v>
      </c>
      <c r="I9" s="913" t="s">
        <v>567</v>
      </c>
      <c r="J9" s="913" t="s">
        <v>567</v>
      </c>
      <c r="K9" s="914" t="s">
        <v>567</v>
      </c>
      <c r="L9" s="915" t="s">
        <v>567</v>
      </c>
      <c r="M9" s="903"/>
      <c r="N9" s="903"/>
    </row>
    <row r="10" spans="1:14" ht="15">
      <c r="A10" s="903"/>
      <c r="B10" s="903"/>
      <c r="C10" s="1460" t="s">
        <v>618</v>
      </c>
      <c r="D10" s="1461"/>
      <c r="E10" s="916"/>
      <c r="F10" s="917"/>
      <c r="G10" s="917"/>
      <c r="H10" s="916"/>
      <c r="I10" s="917"/>
      <c r="J10" s="918"/>
      <c r="K10" s="918"/>
      <c r="L10" s="919"/>
      <c r="M10" s="903"/>
      <c r="N10" s="903"/>
    </row>
    <row r="11" spans="1:14" ht="14.25">
      <c r="A11" s="903"/>
      <c r="B11" s="903"/>
      <c r="C11" s="1449" t="s">
        <v>243</v>
      </c>
      <c r="D11" s="1462"/>
      <c r="E11" s="920">
        <v>13.8</v>
      </c>
      <c r="F11" s="920"/>
      <c r="G11" s="920">
        <v>0.9</v>
      </c>
      <c r="H11" s="920">
        <v>0.8</v>
      </c>
      <c r="I11" s="921"/>
      <c r="J11" s="922"/>
      <c r="K11" s="923"/>
      <c r="L11" s="924">
        <v>15.5</v>
      </c>
      <c r="M11" s="903"/>
      <c r="N11" s="903"/>
    </row>
    <row r="12" spans="1:14" ht="14.25">
      <c r="A12" s="903"/>
      <c r="B12" s="903"/>
      <c r="C12" s="1449" t="s">
        <v>247</v>
      </c>
      <c r="D12" s="1462"/>
      <c r="E12" s="920">
        <v>2.4</v>
      </c>
      <c r="F12" s="920"/>
      <c r="G12" s="920">
        <v>0.2</v>
      </c>
      <c r="H12" s="920">
        <v>0.3</v>
      </c>
      <c r="I12" s="921"/>
      <c r="J12" s="922"/>
      <c r="K12" s="923"/>
      <c r="L12" s="924">
        <v>2.9</v>
      </c>
      <c r="M12" s="903"/>
      <c r="N12" s="903"/>
    </row>
    <row r="13" spans="1:14" ht="14.25">
      <c r="A13" s="903"/>
      <c r="B13" s="903"/>
      <c r="C13" s="1449" t="s">
        <v>249</v>
      </c>
      <c r="D13" s="1462"/>
      <c r="E13" s="920">
        <v>0.5</v>
      </c>
      <c r="F13" s="920"/>
      <c r="G13" s="920">
        <v>1.1000000000000001</v>
      </c>
      <c r="H13" s="920">
        <v>0.6</v>
      </c>
      <c r="I13" s="921"/>
      <c r="J13" s="922"/>
      <c r="K13" s="923"/>
      <c r="L13" s="924">
        <v>2.2000000000000002</v>
      </c>
      <c r="M13" s="903"/>
      <c r="N13" s="903"/>
    </row>
    <row r="14" spans="1:14" ht="14.25">
      <c r="A14" s="903"/>
      <c r="B14" s="903"/>
      <c r="C14" s="1449" t="s">
        <v>251</v>
      </c>
      <c r="D14" s="1462"/>
      <c r="E14" s="920">
        <v>0</v>
      </c>
      <c r="F14" s="920"/>
      <c r="G14" s="920">
        <v>0</v>
      </c>
      <c r="H14" s="920">
        <v>0</v>
      </c>
      <c r="I14" s="921"/>
      <c r="J14" s="922"/>
      <c r="K14" s="923"/>
      <c r="L14" s="924">
        <v>0</v>
      </c>
      <c r="M14" s="903"/>
      <c r="N14" s="903"/>
    </row>
    <row r="15" spans="1:14" ht="15">
      <c r="A15" s="903"/>
      <c r="B15" s="903"/>
      <c r="C15" s="1448" t="s">
        <v>619</v>
      </c>
      <c r="D15" s="1393"/>
      <c r="E15" s="925"/>
      <c r="F15" s="926"/>
      <c r="G15" s="926"/>
      <c r="H15" s="925"/>
      <c r="I15" s="921"/>
      <c r="J15" s="922"/>
      <c r="K15" s="923"/>
      <c r="L15" s="927">
        <v>0</v>
      </c>
      <c r="M15" s="903"/>
      <c r="N15" s="903"/>
    </row>
    <row r="16" spans="1:14" ht="14.25">
      <c r="A16" s="903"/>
      <c r="B16" s="903"/>
      <c r="C16" s="1449" t="s">
        <v>346</v>
      </c>
      <c r="D16" s="1450"/>
      <c r="E16" s="928"/>
      <c r="F16" s="921"/>
      <c r="G16" s="921"/>
      <c r="H16" s="921"/>
      <c r="I16" s="920">
        <v>0.3</v>
      </c>
      <c r="J16" s="920"/>
      <c r="K16" s="923"/>
      <c r="L16" s="924">
        <v>0.3</v>
      </c>
      <c r="M16" s="903"/>
      <c r="N16" s="903"/>
    </row>
    <row r="17" spans="1:14" ht="14.25">
      <c r="A17" s="903"/>
      <c r="B17" s="903"/>
      <c r="C17" s="1449" t="s">
        <v>347</v>
      </c>
      <c r="D17" s="1450"/>
      <c r="E17" s="928"/>
      <c r="F17" s="921"/>
      <c r="G17" s="921"/>
      <c r="H17" s="921"/>
      <c r="I17" s="920">
        <v>0.9</v>
      </c>
      <c r="J17" s="920"/>
      <c r="K17" s="923"/>
      <c r="L17" s="924">
        <v>0.9</v>
      </c>
      <c r="M17" s="903"/>
      <c r="N17" s="903"/>
    </row>
    <row r="18" spans="1:14" ht="14.25">
      <c r="A18" s="903"/>
      <c r="B18" s="903"/>
      <c r="C18" s="1449" t="s">
        <v>348</v>
      </c>
      <c r="D18" s="1450"/>
      <c r="E18" s="928"/>
      <c r="F18" s="921"/>
      <c r="G18" s="921"/>
      <c r="H18" s="921"/>
      <c r="I18" s="920">
        <v>1.4</v>
      </c>
      <c r="J18" s="920"/>
      <c r="K18" s="923"/>
      <c r="L18" s="924">
        <v>1.4</v>
      </c>
      <c r="M18" s="903"/>
      <c r="N18" s="903"/>
    </row>
    <row r="19" spans="1:14" ht="14.25">
      <c r="A19" s="903"/>
      <c r="B19" s="903"/>
      <c r="C19" s="1449" t="s">
        <v>349</v>
      </c>
      <c r="D19" s="1450"/>
      <c r="E19" s="928"/>
      <c r="F19" s="921"/>
      <c r="G19" s="921"/>
      <c r="H19" s="921"/>
      <c r="I19" s="920">
        <v>1.1000000000000001</v>
      </c>
      <c r="J19" s="920"/>
      <c r="K19" s="923"/>
      <c r="L19" s="924">
        <v>1.1000000000000001</v>
      </c>
      <c r="M19" s="903"/>
      <c r="N19" s="903"/>
    </row>
    <row r="20" spans="1:14" ht="15">
      <c r="A20" s="903"/>
      <c r="B20" s="903"/>
      <c r="C20" s="1448" t="s">
        <v>617</v>
      </c>
      <c r="D20" s="1393"/>
      <c r="E20" s="929"/>
      <c r="F20" s="930"/>
      <c r="G20" s="930"/>
      <c r="H20" s="930"/>
      <c r="I20" s="930"/>
      <c r="J20" s="923"/>
      <c r="K20" s="920"/>
      <c r="L20" s="924">
        <v>0</v>
      </c>
      <c r="M20" s="903"/>
      <c r="N20" s="903"/>
    </row>
    <row r="21" spans="1:14" ht="15">
      <c r="A21" s="903"/>
      <c r="B21" s="903"/>
      <c r="C21" s="1448" t="s">
        <v>620</v>
      </c>
      <c r="D21" s="1393"/>
      <c r="E21" s="931">
        <v>16.7</v>
      </c>
      <c r="F21" s="931">
        <v>0</v>
      </c>
      <c r="G21" s="931">
        <v>2.2000000000000002</v>
      </c>
      <c r="H21" s="931">
        <v>1.7</v>
      </c>
      <c r="I21" s="931">
        <v>3.7</v>
      </c>
      <c r="J21" s="931">
        <v>0</v>
      </c>
      <c r="K21" s="932">
        <v>0</v>
      </c>
      <c r="L21" s="933">
        <v>24.3</v>
      </c>
      <c r="M21" s="934"/>
      <c r="N21" s="903"/>
    </row>
    <row r="22" spans="1:14" ht="14.25">
      <c r="A22" s="903"/>
      <c r="B22" s="903"/>
      <c r="C22" s="1449" t="s">
        <v>621</v>
      </c>
      <c r="D22" s="1450"/>
      <c r="E22" s="920"/>
      <c r="F22" s="921"/>
      <c r="G22" s="920"/>
      <c r="H22" s="920"/>
      <c r="I22" s="920"/>
      <c r="J22" s="920"/>
      <c r="K22" s="920"/>
      <c r="L22" s="924">
        <v>0</v>
      </c>
      <c r="M22" s="934"/>
      <c r="N22" s="903"/>
    </row>
    <row r="23" spans="1:14" ht="15">
      <c r="A23" s="903"/>
      <c r="B23" s="903"/>
      <c r="C23" s="1448" t="s">
        <v>622</v>
      </c>
      <c r="D23" s="1393"/>
      <c r="E23" s="931">
        <v>16.7</v>
      </c>
      <c r="F23" s="935">
        <v>0</v>
      </c>
      <c r="G23" s="935">
        <v>2.2000000000000002</v>
      </c>
      <c r="H23" s="935">
        <v>1.7</v>
      </c>
      <c r="I23" s="935">
        <v>3.7</v>
      </c>
      <c r="J23" s="935">
        <v>0</v>
      </c>
      <c r="K23" s="936">
        <v>0</v>
      </c>
      <c r="L23" s="933">
        <v>24.3</v>
      </c>
      <c r="M23" s="937"/>
      <c r="N23" s="903"/>
    </row>
    <row r="24" spans="1:14" ht="15.75" thickBot="1">
      <c r="A24" s="903"/>
      <c r="B24" s="903"/>
      <c r="C24" s="1451" t="s">
        <v>623</v>
      </c>
      <c r="D24" s="1452"/>
      <c r="E24" s="920">
        <v>-22</v>
      </c>
      <c r="F24" s="920"/>
      <c r="G24" s="920">
        <v>-2.8</v>
      </c>
      <c r="H24" s="938"/>
      <c r="I24" s="939"/>
      <c r="J24" s="939"/>
      <c r="K24" s="920"/>
      <c r="L24" s="940">
        <v>-24.8</v>
      </c>
      <c r="M24" s="941"/>
      <c r="N24" s="903"/>
    </row>
    <row r="25" spans="1:14" ht="15.75" thickBot="1">
      <c r="A25" s="903"/>
      <c r="B25" s="903"/>
      <c r="C25" s="1346" t="s">
        <v>624</v>
      </c>
      <c r="D25" s="1453"/>
      <c r="E25" s="942">
        <v>-5.3</v>
      </c>
      <c r="F25" s="943">
        <v>0</v>
      </c>
      <c r="G25" s="943">
        <v>-0.6</v>
      </c>
      <c r="H25" s="943">
        <v>1.7</v>
      </c>
      <c r="I25" s="943">
        <v>3.7</v>
      </c>
      <c r="J25" s="943">
        <v>0</v>
      </c>
      <c r="K25" s="944">
        <v>0</v>
      </c>
      <c r="L25" s="945">
        <v>-0.5</v>
      </c>
      <c r="M25" s="937"/>
      <c r="N25" s="903"/>
    </row>
    <row r="26" spans="1:14" ht="15.75" thickBot="1">
      <c r="A26" s="903"/>
      <c r="B26" s="903"/>
      <c r="C26" s="895"/>
      <c r="D26" s="895"/>
      <c r="E26" s="946"/>
      <c r="F26" s="946"/>
      <c r="G26" s="947"/>
      <c r="H26" s="948"/>
      <c r="I26" s="903"/>
      <c r="J26" s="903"/>
      <c r="K26" s="903"/>
      <c r="L26" s="903"/>
      <c r="M26" s="903"/>
      <c r="N26" s="903"/>
    </row>
    <row r="27" spans="1:14" ht="18.75" thickBot="1">
      <c r="A27" s="903"/>
      <c r="B27" s="903"/>
      <c r="C27" s="949" t="s">
        <v>1028</v>
      </c>
      <c r="D27" s="950"/>
      <c r="E27" s="951"/>
      <c r="F27" s="951"/>
      <c r="G27" s="952"/>
      <c r="H27" s="903"/>
      <c r="I27" s="903"/>
      <c r="J27" s="903"/>
      <c r="K27" s="903"/>
      <c r="L27" s="953"/>
      <c r="M27" s="903"/>
      <c r="N27" s="903"/>
    </row>
    <row r="28" spans="1:14" ht="15.75" thickBot="1">
      <c r="A28" s="903"/>
      <c r="B28" s="903"/>
      <c r="C28" s="1454" t="s">
        <v>610</v>
      </c>
      <c r="D28" s="1455"/>
      <c r="E28" s="1444" t="s">
        <v>625</v>
      </c>
      <c r="F28" s="1445"/>
      <c r="G28" s="954"/>
      <c r="H28" s="903"/>
      <c r="I28" s="903"/>
      <c r="J28" s="903"/>
      <c r="K28" s="903"/>
      <c r="L28" s="953"/>
      <c r="M28" s="903"/>
      <c r="N28" s="903"/>
    </row>
    <row r="29" spans="1:14" ht="45.75" thickBot="1">
      <c r="A29" s="903"/>
      <c r="B29" s="903"/>
      <c r="C29" s="1456"/>
      <c r="D29" s="1457"/>
      <c r="E29" s="955" t="s">
        <v>626</v>
      </c>
      <c r="F29" s="955" t="s">
        <v>627</v>
      </c>
      <c r="G29" s="956" t="s">
        <v>628</v>
      </c>
      <c r="H29" s="903"/>
      <c r="I29" s="903"/>
      <c r="J29" s="903"/>
      <c r="K29" s="903"/>
      <c r="L29" s="953"/>
      <c r="M29" s="903"/>
      <c r="N29" s="903"/>
    </row>
    <row r="30" spans="1:14" ht="15.75" thickBot="1">
      <c r="A30" s="903"/>
      <c r="B30" s="903"/>
      <c r="C30" s="1458"/>
      <c r="D30" s="1459"/>
      <c r="E30" s="957" t="s">
        <v>567</v>
      </c>
      <c r="F30" s="957" t="s">
        <v>567</v>
      </c>
      <c r="G30" s="957" t="s">
        <v>567</v>
      </c>
      <c r="H30" s="903"/>
      <c r="I30" s="903"/>
      <c r="J30" s="903"/>
      <c r="K30" s="903"/>
      <c r="L30" s="953"/>
      <c r="M30" s="903"/>
      <c r="N30" s="903"/>
    </row>
    <row r="31" spans="1:14" ht="15">
      <c r="A31" s="903"/>
      <c r="B31" s="903"/>
      <c r="C31" s="1446" t="s">
        <v>423</v>
      </c>
      <c r="D31" s="958" t="s">
        <v>424</v>
      </c>
      <c r="E31" s="959">
        <v>1.5</v>
      </c>
      <c r="F31" s="920">
        <v>0</v>
      </c>
      <c r="G31" s="960">
        <v>1.5</v>
      </c>
      <c r="H31" s="903"/>
      <c r="I31" s="903"/>
      <c r="J31" s="903"/>
      <c r="K31" s="903"/>
      <c r="L31" s="953"/>
      <c r="M31" s="903"/>
      <c r="N31" s="903"/>
    </row>
    <row r="32" spans="1:14" ht="15.75" thickBot="1">
      <c r="A32" s="903"/>
      <c r="B32" s="903"/>
      <c r="C32" s="1447"/>
      <c r="D32" s="961" t="s">
        <v>425</v>
      </c>
      <c r="E32" s="962">
        <v>0.6</v>
      </c>
      <c r="F32" s="962">
        <v>0</v>
      </c>
      <c r="G32" s="963">
        <v>0.6</v>
      </c>
      <c r="H32" s="903"/>
      <c r="I32" s="903"/>
      <c r="J32" s="903"/>
      <c r="K32" s="903"/>
      <c r="L32" s="953"/>
      <c r="M32" s="903"/>
      <c r="N32" s="903"/>
    </row>
    <row r="33" spans="1:14" ht="15">
      <c r="A33" s="903"/>
      <c r="B33" s="903"/>
      <c r="C33" s="1446" t="s">
        <v>426</v>
      </c>
      <c r="D33" s="958" t="s">
        <v>424</v>
      </c>
      <c r="E33" s="959">
        <v>0</v>
      </c>
      <c r="F33" s="920">
        <v>0</v>
      </c>
      <c r="G33" s="960">
        <v>0</v>
      </c>
      <c r="H33" s="903"/>
      <c r="I33" s="903"/>
      <c r="J33" s="903"/>
      <c r="K33" s="903"/>
      <c r="L33" s="953"/>
      <c r="M33" s="903"/>
      <c r="N33" s="903"/>
    </row>
    <row r="34" spans="1:14" ht="15.75" thickBot="1">
      <c r="A34" s="903"/>
      <c r="B34" s="903"/>
      <c r="C34" s="1447"/>
      <c r="D34" s="961" t="s">
        <v>425</v>
      </c>
      <c r="E34" s="962">
        <v>0.1</v>
      </c>
      <c r="F34" s="962">
        <v>0</v>
      </c>
      <c r="G34" s="963">
        <v>0.1</v>
      </c>
      <c r="H34" s="903"/>
      <c r="I34" s="903"/>
      <c r="J34" s="903"/>
      <c r="K34" s="903"/>
      <c r="L34" s="953"/>
      <c r="M34" s="903"/>
      <c r="N34" s="903"/>
    </row>
    <row r="35" spans="1:14" ht="15">
      <c r="A35" s="903"/>
      <c r="B35" s="903"/>
      <c r="C35" s="1437" t="s">
        <v>346</v>
      </c>
      <c r="D35" s="958" t="s">
        <v>589</v>
      </c>
      <c r="E35" s="959">
        <v>2</v>
      </c>
      <c r="F35" s="920">
        <v>0</v>
      </c>
      <c r="G35" s="960">
        <v>2</v>
      </c>
      <c r="H35" s="903"/>
      <c r="I35" s="903"/>
      <c r="J35" s="903"/>
      <c r="K35" s="903"/>
      <c r="L35" s="953"/>
      <c r="M35" s="903"/>
      <c r="N35" s="903"/>
    </row>
    <row r="36" spans="1:14" ht="15">
      <c r="A36" s="903"/>
      <c r="B36" s="903"/>
      <c r="C36" s="1438"/>
      <c r="D36" s="964" t="s">
        <v>629</v>
      </c>
      <c r="E36" s="959">
        <v>0.2</v>
      </c>
      <c r="F36" s="920">
        <v>0.1</v>
      </c>
      <c r="G36" s="924">
        <v>0.3</v>
      </c>
      <c r="H36" s="903"/>
      <c r="I36" s="903"/>
      <c r="J36" s="903"/>
      <c r="K36" s="903"/>
      <c r="L36" s="953"/>
      <c r="M36" s="903"/>
      <c r="N36" s="903"/>
    </row>
    <row r="37" spans="1:14" ht="15.75" thickBot="1">
      <c r="A37" s="903"/>
      <c r="B37" s="903"/>
      <c r="C37" s="1439"/>
      <c r="D37" s="965" t="s">
        <v>429</v>
      </c>
      <c r="E37" s="962">
        <v>0.1</v>
      </c>
      <c r="F37" s="962">
        <v>0</v>
      </c>
      <c r="G37" s="963">
        <v>0.1</v>
      </c>
      <c r="H37" s="903"/>
      <c r="I37" s="903"/>
      <c r="J37" s="903"/>
      <c r="K37" s="903"/>
      <c r="L37" s="953"/>
      <c r="M37" s="903"/>
      <c r="N37" s="903"/>
    </row>
    <row r="38" spans="1:14" ht="15">
      <c r="A38" s="903"/>
      <c r="B38" s="903"/>
      <c r="C38" s="1437" t="s">
        <v>223</v>
      </c>
      <c r="D38" s="958" t="s">
        <v>430</v>
      </c>
      <c r="E38" s="959">
        <v>5.6</v>
      </c>
      <c r="F38" s="920">
        <v>0</v>
      </c>
      <c r="G38" s="960">
        <v>5.6</v>
      </c>
      <c r="H38" s="903"/>
      <c r="I38" s="903"/>
      <c r="J38" s="903"/>
      <c r="K38" s="903"/>
      <c r="L38" s="953"/>
      <c r="M38" s="903"/>
      <c r="N38" s="903"/>
    </row>
    <row r="39" spans="1:14" ht="15">
      <c r="A39" s="903"/>
      <c r="B39" s="903"/>
      <c r="C39" s="1438"/>
      <c r="D39" s="964" t="s">
        <v>593</v>
      </c>
      <c r="E39" s="959">
        <v>1.1000000000000001</v>
      </c>
      <c r="F39" s="920">
        <v>0</v>
      </c>
      <c r="G39" s="924">
        <v>1.1000000000000001</v>
      </c>
      <c r="H39" s="903"/>
      <c r="I39" s="903"/>
      <c r="J39" s="903"/>
      <c r="K39" s="903"/>
      <c r="L39" s="953"/>
      <c r="M39" s="903"/>
      <c r="N39" s="903"/>
    </row>
    <row r="40" spans="1:14" ht="15">
      <c r="A40" s="903"/>
      <c r="B40" s="903"/>
      <c r="C40" s="1438"/>
      <c r="D40" s="966" t="s">
        <v>431</v>
      </c>
      <c r="E40" s="959">
        <v>0</v>
      </c>
      <c r="F40" s="920">
        <v>0</v>
      </c>
      <c r="G40" s="924">
        <v>0</v>
      </c>
      <c r="H40" s="903"/>
      <c r="I40" s="903"/>
      <c r="J40" s="903"/>
      <c r="K40" s="903"/>
      <c r="L40" s="953"/>
      <c r="M40" s="903"/>
      <c r="N40" s="903"/>
    </row>
    <row r="41" spans="1:14" ht="15">
      <c r="A41" s="903"/>
      <c r="B41" s="903"/>
      <c r="C41" s="1438"/>
      <c r="D41" s="966" t="s">
        <v>429</v>
      </c>
      <c r="E41" s="959">
        <v>2.5</v>
      </c>
      <c r="F41" s="920">
        <v>0.1</v>
      </c>
      <c r="G41" s="924">
        <v>2.6</v>
      </c>
      <c r="H41" s="903"/>
      <c r="I41" s="903"/>
      <c r="J41" s="903"/>
      <c r="K41" s="903"/>
      <c r="L41" s="953"/>
      <c r="M41" s="903"/>
      <c r="N41" s="903"/>
    </row>
    <row r="42" spans="1:14" ht="15">
      <c r="A42" s="903"/>
      <c r="B42" s="903"/>
      <c r="C42" s="1438"/>
      <c r="D42" s="964" t="s">
        <v>432</v>
      </c>
      <c r="E42" s="959">
        <v>0.7</v>
      </c>
      <c r="F42" s="920">
        <v>0.1</v>
      </c>
      <c r="G42" s="924">
        <v>0.8</v>
      </c>
      <c r="H42" s="903"/>
      <c r="I42" s="903"/>
      <c r="J42" s="903"/>
      <c r="K42" s="903"/>
      <c r="L42" s="953"/>
      <c r="M42" s="903"/>
      <c r="N42" s="903"/>
    </row>
    <row r="43" spans="1:14" ht="15.75" thickBot="1">
      <c r="A43" s="903"/>
      <c r="B43" s="903"/>
      <c r="C43" s="1439"/>
      <c r="D43" s="961" t="s">
        <v>433</v>
      </c>
      <c r="E43" s="962">
        <v>0.8</v>
      </c>
      <c r="F43" s="962">
        <v>0</v>
      </c>
      <c r="G43" s="963">
        <v>0.8</v>
      </c>
      <c r="H43" s="903"/>
      <c r="I43" s="903"/>
      <c r="J43" s="903"/>
      <c r="K43" s="903"/>
      <c r="L43" s="953"/>
      <c r="M43" s="903"/>
      <c r="N43" s="903"/>
    </row>
    <row r="44" spans="1:14" ht="15">
      <c r="A44" s="903"/>
      <c r="B44" s="903"/>
      <c r="C44" s="1437" t="s">
        <v>403</v>
      </c>
      <c r="D44" s="958" t="s">
        <v>430</v>
      </c>
      <c r="E44" s="959">
        <v>1</v>
      </c>
      <c r="F44" s="920">
        <v>0</v>
      </c>
      <c r="G44" s="960">
        <v>1</v>
      </c>
      <c r="H44" s="903"/>
      <c r="I44" s="903"/>
      <c r="J44" s="903"/>
      <c r="K44" s="903"/>
      <c r="L44" s="953"/>
      <c r="M44" s="903"/>
      <c r="N44" s="903"/>
    </row>
    <row r="45" spans="1:14" ht="15">
      <c r="A45" s="903"/>
      <c r="B45" s="903"/>
      <c r="C45" s="1438"/>
      <c r="D45" s="964" t="s">
        <v>593</v>
      </c>
      <c r="E45" s="959">
        <v>0</v>
      </c>
      <c r="F45" s="920">
        <v>0</v>
      </c>
      <c r="G45" s="924">
        <v>0</v>
      </c>
      <c r="H45" s="903"/>
      <c r="I45" s="903"/>
      <c r="J45" s="903"/>
      <c r="K45" s="903"/>
      <c r="L45" s="953"/>
      <c r="M45" s="903"/>
      <c r="N45" s="903"/>
    </row>
    <row r="46" spans="1:14" ht="15">
      <c r="A46" s="903"/>
      <c r="B46" s="903"/>
      <c r="C46" s="1438"/>
      <c r="D46" s="964" t="s">
        <v>431</v>
      </c>
      <c r="E46" s="959">
        <v>0</v>
      </c>
      <c r="F46" s="920">
        <v>0</v>
      </c>
      <c r="G46" s="924">
        <v>0</v>
      </c>
      <c r="H46" s="903"/>
      <c r="I46" s="903"/>
      <c r="J46" s="903"/>
      <c r="K46" s="903"/>
      <c r="L46" s="953"/>
      <c r="M46" s="903"/>
      <c r="N46" s="903"/>
    </row>
    <row r="47" spans="1:14" ht="15">
      <c r="A47" s="903"/>
      <c r="B47" s="903"/>
      <c r="C47" s="1438"/>
      <c r="D47" s="964" t="s">
        <v>429</v>
      </c>
      <c r="E47" s="959">
        <v>1.9</v>
      </c>
      <c r="F47" s="920">
        <v>0</v>
      </c>
      <c r="G47" s="924">
        <v>1.9</v>
      </c>
      <c r="H47" s="903"/>
      <c r="I47" s="903"/>
      <c r="J47" s="903"/>
      <c r="K47" s="903"/>
      <c r="L47" s="953"/>
      <c r="M47" s="903"/>
      <c r="N47" s="903"/>
    </row>
    <row r="48" spans="1:14" ht="15">
      <c r="A48" s="903"/>
      <c r="B48" s="903"/>
      <c r="C48" s="1438"/>
      <c r="D48" s="964" t="s">
        <v>432</v>
      </c>
      <c r="E48" s="959">
        <v>0.8</v>
      </c>
      <c r="F48" s="920">
        <v>0.2</v>
      </c>
      <c r="G48" s="924">
        <v>1</v>
      </c>
      <c r="H48" s="903"/>
      <c r="I48" s="903"/>
      <c r="J48" s="903"/>
      <c r="K48" s="903"/>
      <c r="L48" s="953"/>
      <c r="M48" s="903"/>
      <c r="N48" s="903"/>
    </row>
    <row r="49" spans="1:14" ht="15.75" thickBot="1">
      <c r="A49" s="903"/>
      <c r="B49" s="903"/>
      <c r="C49" s="1439"/>
      <c r="D49" s="967" t="s">
        <v>433</v>
      </c>
      <c r="E49" s="962">
        <v>0.3</v>
      </c>
      <c r="F49" s="962">
        <v>0</v>
      </c>
      <c r="G49" s="963">
        <v>0.3</v>
      </c>
      <c r="H49" s="903"/>
      <c r="I49" s="903"/>
      <c r="J49" s="903"/>
      <c r="K49" s="903"/>
      <c r="L49" s="953"/>
      <c r="M49" s="903"/>
      <c r="N49" s="903"/>
    </row>
    <row r="50" spans="1:14" ht="15">
      <c r="A50" s="903"/>
      <c r="B50" s="903"/>
      <c r="C50" s="1437" t="s">
        <v>402</v>
      </c>
      <c r="D50" s="968" t="s">
        <v>430</v>
      </c>
      <c r="E50" s="959">
        <v>2</v>
      </c>
      <c r="F50" s="920">
        <v>0</v>
      </c>
      <c r="G50" s="960">
        <v>2</v>
      </c>
      <c r="H50" s="903"/>
      <c r="I50" s="903"/>
      <c r="J50" s="903"/>
      <c r="K50" s="903"/>
      <c r="L50" s="953"/>
      <c r="M50" s="903"/>
      <c r="N50" s="903"/>
    </row>
    <row r="51" spans="1:14" ht="15">
      <c r="A51" s="903"/>
      <c r="B51" s="903"/>
      <c r="C51" s="1438"/>
      <c r="D51" s="964" t="s">
        <v>593</v>
      </c>
      <c r="E51" s="959">
        <v>0.4</v>
      </c>
      <c r="F51" s="920">
        <v>0</v>
      </c>
      <c r="G51" s="924">
        <v>0.4</v>
      </c>
      <c r="H51" s="903"/>
      <c r="I51" s="903"/>
      <c r="J51" s="903"/>
      <c r="K51" s="903"/>
      <c r="L51" s="953"/>
      <c r="M51" s="903"/>
      <c r="N51" s="903"/>
    </row>
    <row r="52" spans="1:14" ht="15">
      <c r="A52" s="903"/>
      <c r="B52" s="903"/>
      <c r="C52" s="1438"/>
      <c r="D52" s="969" t="s">
        <v>630</v>
      </c>
      <c r="E52" s="959">
        <v>0</v>
      </c>
      <c r="F52" s="920">
        <v>0</v>
      </c>
      <c r="G52" s="924">
        <v>0</v>
      </c>
      <c r="H52" s="903"/>
      <c r="I52" s="903"/>
      <c r="J52" s="903"/>
      <c r="K52" s="903"/>
      <c r="L52" s="953"/>
      <c r="M52" s="903"/>
      <c r="N52" s="903"/>
    </row>
    <row r="53" spans="1:14" ht="15">
      <c r="A53" s="903"/>
      <c r="B53" s="903"/>
      <c r="C53" s="1438"/>
      <c r="D53" s="969" t="s">
        <v>429</v>
      </c>
      <c r="E53" s="959">
        <v>0.1</v>
      </c>
      <c r="F53" s="920">
        <v>0</v>
      </c>
      <c r="G53" s="924">
        <v>0.1</v>
      </c>
      <c r="H53" s="903"/>
      <c r="I53" s="903"/>
      <c r="J53" s="903"/>
      <c r="K53" s="903"/>
      <c r="L53" s="953"/>
      <c r="M53" s="903"/>
      <c r="N53" s="903"/>
    </row>
    <row r="54" spans="1:14" ht="15">
      <c r="A54" s="903"/>
      <c r="B54" s="903"/>
      <c r="C54" s="1438"/>
      <c r="D54" s="969" t="s">
        <v>432</v>
      </c>
      <c r="E54" s="959">
        <v>0.8</v>
      </c>
      <c r="F54" s="920">
        <v>0</v>
      </c>
      <c r="G54" s="924">
        <v>0.8</v>
      </c>
      <c r="H54" s="903"/>
      <c r="I54" s="903"/>
      <c r="J54" s="903"/>
      <c r="K54" s="903"/>
      <c r="L54" s="953"/>
      <c r="M54" s="903"/>
      <c r="N54" s="903"/>
    </row>
    <row r="55" spans="1:14" ht="15.75" thickBot="1">
      <c r="A55" s="903"/>
      <c r="B55" s="903"/>
      <c r="C55" s="1439"/>
      <c r="D55" s="967" t="s">
        <v>433</v>
      </c>
      <c r="E55" s="959">
        <v>0.9</v>
      </c>
      <c r="F55" s="920">
        <v>0</v>
      </c>
      <c r="G55" s="924">
        <v>0.9</v>
      </c>
      <c r="H55" s="903"/>
      <c r="I55" s="903"/>
      <c r="J55" s="903"/>
      <c r="K55" s="903"/>
      <c r="L55" s="953"/>
      <c r="M55" s="903"/>
      <c r="N55" s="903"/>
    </row>
    <row r="56" spans="1:14" ht="15.75" thickBot="1">
      <c r="A56" s="903"/>
      <c r="B56" s="903"/>
      <c r="C56" s="1423" t="s">
        <v>631</v>
      </c>
      <c r="D56" s="1440"/>
      <c r="E56" s="970">
        <v>23.4</v>
      </c>
      <c r="F56" s="970">
        <v>0.5</v>
      </c>
      <c r="G56" s="970">
        <v>23.9</v>
      </c>
      <c r="H56" s="941"/>
      <c r="I56" s="903"/>
      <c r="J56" s="903"/>
      <c r="K56" s="903"/>
      <c r="L56" s="903"/>
      <c r="M56" s="953"/>
      <c r="N56" s="903"/>
    </row>
    <row r="57" spans="1:14" ht="15.75" thickBot="1">
      <c r="A57" s="903"/>
      <c r="B57" s="903"/>
      <c r="C57" s="1423" t="s">
        <v>623</v>
      </c>
      <c r="D57" s="1440"/>
      <c r="E57" s="959">
        <v>-0.3</v>
      </c>
      <c r="F57" s="920"/>
      <c r="G57" s="924">
        <v>-0.3</v>
      </c>
      <c r="H57" s="941"/>
      <c r="I57" s="941"/>
      <c r="J57" s="941"/>
      <c r="K57" s="903"/>
      <c r="L57" s="903"/>
      <c r="M57" s="953"/>
      <c r="N57" s="903"/>
    </row>
    <row r="58" spans="1:14" ht="15.75" thickBot="1">
      <c r="A58" s="903"/>
      <c r="B58" s="903"/>
      <c r="C58" s="1423" t="s">
        <v>632</v>
      </c>
      <c r="D58" s="1440"/>
      <c r="E58" s="970">
        <v>23.1</v>
      </c>
      <c r="F58" s="970">
        <v>0.5</v>
      </c>
      <c r="G58" s="970">
        <v>23.6</v>
      </c>
      <c r="H58" s="903"/>
      <c r="I58" s="903"/>
      <c r="J58" s="903"/>
      <c r="K58" s="903"/>
      <c r="L58" s="953"/>
      <c r="M58" s="903"/>
      <c r="N58" s="903"/>
    </row>
    <row r="59" spans="1:14" ht="13.5" thickBot="1">
      <c r="A59" s="971"/>
      <c r="B59" s="971"/>
      <c r="C59" s="971"/>
      <c r="D59" s="971"/>
      <c r="E59" s="971"/>
      <c r="F59" s="971"/>
      <c r="G59" s="971"/>
      <c r="H59" s="971"/>
      <c r="I59" s="971"/>
      <c r="J59" s="971"/>
      <c r="K59" s="971"/>
      <c r="L59" s="971"/>
      <c r="M59" s="971"/>
      <c r="N59" s="971"/>
    </row>
    <row r="60" spans="1:14" ht="15.75" thickBot="1">
      <c r="A60" s="903"/>
      <c r="B60" s="903"/>
      <c r="C60" s="972" t="s">
        <v>633</v>
      </c>
      <c r="D60" s="973"/>
      <c r="E60" s="974" t="s">
        <v>222</v>
      </c>
      <c r="F60" s="974" t="s">
        <v>223</v>
      </c>
      <c r="G60" s="974" t="s">
        <v>403</v>
      </c>
      <c r="H60" s="974" t="s">
        <v>402</v>
      </c>
      <c r="I60" s="974" t="s">
        <v>200</v>
      </c>
      <c r="J60" s="903"/>
      <c r="K60" s="903"/>
      <c r="L60" s="903"/>
      <c r="M60" s="953"/>
      <c r="N60" s="903"/>
    </row>
    <row r="61" spans="1:14" ht="18.75" thickBot="1">
      <c r="A61" s="903"/>
      <c r="B61" s="903"/>
      <c r="C61" s="1441" t="s">
        <v>610</v>
      </c>
      <c r="D61" s="1442"/>
      <c r="E61" s="957" t="s">
        <v>567</v>
      </c>
      <c r="F61" s="957" t="s">
        <v>567</v>
      </c>
      <c r="G61" s="957" t="s">
        <v>567</v>
      </c>
      <c r="H61" s="957" t="s">
        <v>567</v>
      </c>
      <c r="I61" s="957" t="s">
        <v>567</v>
      </c>
      <c r="J61" s="903"/>
      <c r="K61" s="903"/>
      <c r="L61" s="903"/>
      <c r="M61" s="903"/>
      <c r="N61" s="953"/>
    </row>
    <row r="62" spans="1:14" ht="15">
      <c r="A62" s="903"/>
      <c r="B62" s="903"/>
      <c r="C62" s="1435" t="s">
        <v>634</v>
      </c>
      <c r="D62" s="1443"/>
      <c r="E62" s="959">
        <v>0.2</v>
      </c>
      <c r="F62" s="920">
        <v>3.4</v>
      </c>
      <c r="G62" s="920">
        <v>0</v>
      </c>
      <c r="H62" s="920">
        <v>0</v>
      </c>
      <c r="I62" s="975">
        <v>3.6</v>
      </c>
      <c r="J62" s="903"/>
      <c r="K62" s="903"/>
      <c r="L62" s="903"/>
      <c r="M62" s="903"/>
      <c r="N62" s="953"/>
    </row>
    <row r="63" spans="1:14" ht="15">
      <c r="A63" s="903"/>
      <c r="B63" s="903"/>
      <c r="C63" s="1419" t="s">
        <v>635</v>
      </c>
      <c r="D63" s="1425"/>
      <c r="E63" s="959">
        <v>0</v>
      </c>
      <c r="F63" s="920">
        <v>0</v>
      </c>
      <c r="G63" s="920">
        <v>0</v>
      </c>
      <c r="H63" s="920">
        <v>0</v>
      </c>
      <c r="I63" s="933">
        <v>0</v>
      </c>
      <c r="J63" s="903"/>
      <c r="K63" s="903"/>
      <c r="L63" s="903"/>
      <c r="M63" s="903"/>
      <c r="N63" s="953"/>
    </row>
    <row r="64" spans="1:14" ht="15">
      <c r="A64" s="903"/>
      <c r="B64" s="903"/>
      <c r="C64" s="1419" t="s">
        <v>636</v>
      </c>
      <c r="D64" s="1425"/>
      <c r="E64" s="959">
        <v>0</v>
      </c>
      <c r="F64" s="920">
        <v>0</v>
      </c>
      <c r="G64" s="920">
        <v>0</v>
      </c>
      <c r="H64" s="920">
        <v>0</v>
      </c>
      <c r="I64" s="933">
        <v>0</v>
      </c>
      <c r="J64" s="903"/>
      <c r="K64" s="903"/>
      <c r="L64" s="903"/>
      <c r="M64" s="903"/>
      <c r="N64" s="953"/>
    </row>
    <row r="65" spans="1:14" ht="15">
      <c r="A65" s="903"/>
      <c r="B65" s="903"/>
      <c r="C65" s="1419" t="s">
        <v>637</v>
      </c>
      <c r="D65" s="1425"/>
      <c r="E65" s="959">
        <v>0</v>
      </c>
      <c r="F65" s="920">
        <v>0</v>
      </c>
      <c r="G65" s="920">
        <v>0</v>
      </c>
      <c r="H65" s="920">
        <v>0</v>
      </c>
      <c r="I65" s="933">
        <v>0</v>
      </c>
      <c r="J65" s="903"/>
      <c r="K65" s="903"/>
      <c r="L65" s="903"/>
      <c r="M65" s="903"/>
      <c r="N65" s="953"/>
    </row>
    <row r="66" spans="1:14" ht="15">
      <c r="A66" s="903"/>
      <c r="B66" s="903"/>
      <c r="C66" s="1419" t="s">
        <v>466</v>
      </c>
      <c r="D66" s="1425"/>
      <c r="E66" s="959">
        <v>0</v>
      </c>
      <c r="F66" s="920">
        <v>0</v>
      </c>
      <c r="G66" s="920">
        <v>0</v>
      </c>
      <c r="H66" s="920">
        <v>0</v>
      </c>
      <c r="I66" s="933">
        <v>0</v>
      </c>
      <c r="J66" s="903"/>
      <c r="K66" s="903"/>
      <c r="L66" s="903"/>
      <c r="M66" s="903"/>
      <c r="N66" s="953"/>
    </row>
    <row r="67" spans="1:14" ht="15">
      <c r="A67" s="903"/>
      <c r="B67" s="903"/>
      <c r="C67" s="1419" t="s">
        <v>638</v>
      </c>
      <c r="D67" s="1425"/>
      <c r="E67" s="959">
        <v>0</v>
      </c>
      <c r="F67" s="920">
        <v>0</v>
      </c>
      <c r="G67" s="920">
        <v>0</v>
      </c>
      <c r="H67" s="920">
        <v>0</v>
      </c>
      <c r="I67" s="933">
        <v>0</v>
      </c>
      <c r="J67" s="903"/>
      <c r="K67" s="903"/>
      <c r="L67" s="903"/>
      <c r="M67" s="903"/>
      <c r="N67" s="953"/>
    </row>
    <row r="68" spans="1:14" ht="15">
      <c r="A68" s="903"/>
      <c r="B68" s="903"/>
      <c r="C68" s="1419" t="s">
        <v>639</v>
      </c>
      <c r="D68" s="1425"/>
      <c r="E68" s="959">
        <v>0</v>
      </c>
      <c r="F68" s="920">
        <v>0</v>
      </c>
      <c r="G68" s="920">
        <v>0</v>
      </c>
      <c r="H68" s="920">
        <v>0</v>
      </c>
      <c r="I68" s="933">
        <v>0</v>
      </c>
      <c r="J68" s="903"/>
      <c r="K68" s="903"/>
      <c r="L68" s="903"/>
      <c r="M68" s="903"/>
      <c r="N68" s="953"/>
    </row>
    <row r="69" spans="1:14" ht="15">
      <c r="A69" s="903"/>
      <c r="B69" s="903"/>
      <c r="C69" s="1419" t="s">
        <v>640</v>
      </c>
      <c r="D69" s="1425"/>
      <c r="E69" s="959">
        <v>0</v>
      </c>
      <c r="F69" s="920">
        <v>3.4</v>
      </c>
      <c r="G69" s="920">
        <v>0</v>
      </c>
      <c r="H69" s="920">
        <v>0</v>
      </c>
      <c r="I69" s="940">
        <v>3.4</v>
      </c>
      <c r="J69" s="903"/>
      <c r="K69" s="903"/>
      <c r="L69" s="903"/>
      <c r="M69" s="903"/>
      <c r="N69" s="953"/>
    </row>
    <row r="70" spans="1:14" ht="15.75" thickBot="1">
      <c r="A70" s="903"/>
      <c r="B70" s="903"/>
      <c r="C70" s="1421" t="s">
        <v>641</v>
      </c>
      <c r="D70" s="1426"/>
      <c r="E70" s="959">
        <v>0.4</v>
      </c>
      <c r="F70" s="920">
        <v>0.8</v>
      </c>
      <c r="G70" s="920">
        <v>0.1</v>
      </c>
      <c r="H70" s="920">
        <v>0</v>
      </c>
      <c r="I70" s="976">
        <v>1.3</v>
      </c>
      <c r="J70" s="903"/>
      <c r="K70" s="903"/>
      <c r="L70" s="903"/>
      <c r="M70" s="903"/>
      <c r="N70" s="953"/>
    </row>
    <row r="71" spans="1:14" ht="15.75" thickBot="1">
      <c r="A71" s="903"/>
      <c r="B71" s="903"/>
      <c r="C71" s="1427" t="s">
        <v>642</v>
      </c>
      <c r="D71" s="1428"/>
      <c r="E71" s="945">
        <v>0.6</v>
      </c>
      <c r="F71" s="945">
        <v>7.6</v>
      </c>
      <c r="G71" s="945">
        <v>0.1</v>
      </c>
      <c r="H71" s="945">
        <v>0</v>
      </c>
      <c r="I71" s="945">
        <v>8.3000000000000007</v>
      </c>
      <c r="J71" s="903"/>
      <c r="K71" s="903"/>
      <c r="L71" s="903"/>
      <c r="M71" s="903"/>
      <c r="N71" s="953"/>
    </row>
    <row r="72" spans="1:14" ht="15.75" thickBot="1">
      <c r="A72" s="903"/>
      <c r="B72" s="903"/>
      <c r="C72" s="1429" t="s">
        <v>623</v>
      </c>
      <c r="D72" s="1430"/>
      <c r="E72" s="959"/>
      <c r="F72" s="920"/>
      <c r="G72" s="920"/>
      <c r="H72" s="920"/>
      <c r="I72" s="945">
        <v>0</v>
      </c>
      <c r="J72" s="903"/>
      <c r="K72" s="903"/>
      <c r="L72" s="903"/>
      <c r="M72" s="953"/>
      <c r="N72" s="903"/>
    </row>
    <row r="73" spans="1:14" ht="15.75" thickBot="1">
      <c r="A73" s="903"/>
      <c r="B73" s="903"/>
      <c r="C73" s="1427" t="s">
        <v>643</v>
      </c>
      <c r="D73" s="1428"/>
      <c r="E73" s="977">
        <v>0.6</v>
      </c>
      <c r="F73" s="977">
        <v>7.6</v>
      </c>
      <c r="G73" s="977">
        <v>0.1</v>
      </c>
      <c r="H73" s="977">
        <v>0</v>
      </c>
      <c r="I73" s="977">
        <v>8.3000000000000007</v>
      </c>
      <c r="J73" s="903"/>
      <c r="K73" s="903"/>
      <c r="L73" s="903"/>
      <c r="M73" s="953"/>
      <c r="N73" s="903"/>
    </row>
    <row r="74" spans="1:14" ht="15.75" thickBot="1">
      <c r="A74" s="903"/>
      <c r="B74" s="903"/>
      <c r="C74" s="978"/>
      <c r="D74" s="979"/>
      <c r="E74" s="980"/>
      <c r="F74" s="980"/>
      <c r="G74" s="980"/>
      <c r="H74" s="981"/>
      <c r="I74" s="981"/>
      <c r="J74" s="981"/>
      <c r="K74" s="981"/>
      <c r="L74" s="903"/>
      <c r="M74" s="903"/>
      <c r="N74" s="903"/>
    </row>
    <row r="75" spans="1:14" ht="15.75" thickBot="1">
      <c r="A75" s="903"/>
      <c r="B75" s="903"/>
      <c r="C75" s="1427" t="s">
        <v>644</v>
      </c>
      <c r="D75" s="1428"/>
      <c r="E75" s="982">
        <v>32.200000000000003</v>
      </c>
      <c r="F75" s="941"/>
      <c r="G75" s="903"/>
      <c r="H75" s="903"/>
      <c r="I75" s="903"/>
      <c r="J75" s="903"/>
      <c r="K75" s="903"/>
      <c r="L75" s="903"/>
      <c r="M75" s="953"/>
      <c r="N75" s="903"/>
    </row>
    <row r="76" spans="1:14" ht="15.75" thickBot="1">
      <c r="A76" s="903"/>
      <c r="B76" s="903"/>
      <c r="C76" s="1427" t="s">
        <v>623</v>
      </c>
      <c r="D76" s="1428"/>
      <c r="E76" s="983">
        <v>-0.3</v>
      </c>
      <c r="F76" s="941"/>
      <c r="G76" s="903"/>
      <c r="H76" s="903"/>
      <c r="I76" s="903"/>
      <c r="J76" s="903"/>
      <c r="K76" s="903"/>
      <c r="L76" s="903"/>
      <c r="M76" s="953"/>
      <c r="N76" s="903"/>
    </row>
    <row r="77" spans="1:14" ht="15.75" thickBot="1">
      <c r="A77" s="903"/>
      <c r="B77" s="903"/>
      <c r="C77" s="1427" t="s">
        <v>645</v>
      </c>
      <c r="D77" s="1428"/>
      <c r="E77" s="977">
        <v>31.9</v>
      </c>
      <c r="F77" s="903"/>
      <c r="G77" s="903"/>
      <c r="H77" s="903"/>
      <c r="I77" s="903"/>
      <c r="J77" s="903"/>
      <c r="K77" s="903"/>
      <c r="L77" s="903"/>
      <c r="M77" s="953"/>
      <c r="N77" s="903"/>
    </row>
    <row r="78" spans="1:14" ht="15" thickBot="1">
      <c r="A78" s="903"/>
      <c r="B78" s="903"/>
      <c r="C78" s="984"/>
      <c r="D78" s="984"/>
      <c r="E78" s="984"/>
      <c r="F78" s="984"/>
      <c r="G78" s="984"/>
      <c r="H78" s="984"/>
      <c r="I78" s="984"/>
      <c r="J78" s="984"/>
      <c r="K78" s="984"/>
      <c r="L78" s="903"/>
      <c r="M78" s="903"/>
      <c r="N78" s="903"/>
    </row>
    <row r="79" spans="1:14" ht="18.75" thickBot="1">
      <c r="A79" s="903"/>
      <c r="B79" s="903"/>
      <c r="C79" s="985" t="s">
        <v>646</v>
      </c>
      <c r="D79" s="986"/>
      <c r="E79" s="987"/>
      <c r="F79" s="987"/>
      <c r="G79" s="988"/>
      <c r="H79" s="903"/>
      <c r="I79" s="903"/>
      <c r="J79" s="903"/>
      <c r="K79" s="903"/>
      <c r="L79" s="903"/>
      <c r="M79" s="903"/>
      <c r="N79" s="903"/>
    </row>
    <row r="80" spans="1:14" ht="60.75" thickBot="1">
      <c r="A80" s="903"/>
      <c r="B80" s="903"/>
      <c r="C80" s="1431" t="s">
        <v>610</v>
      </c>
      <c r="D80" s="1432"/>
      <c r="E80" s="989" t="s">
        <v>200</v>
      </c>
      <c r="F80" s="990" t="s">
        <v>647</v>
      </c>
      <c r="G80" s="990" t="s">
        <v>648</v>
      </c>
      <c r="H80" s="903"/>
      <c r="I80" s="903"/>
      <c r="J80" s="903"/>
      <c r="K80" s="903"/>
      <c r="L80" s="903"/>
      <c r="M80" s="903"/>
      <c r="N80" s="903"/>
    </row>
    <row r="81" spans="1:14" ht="15.75" thickBot="1">
      <c r="A81" s="903"/>
      <c r="B81" s="903"/>
      <c r="C81" s="1433"/>
      <c r="D81" s="1434"/>
      <c r="E81" s="991" t="s">
        <v>567</v>
      </c>
      <c r="F81" s="957" t="s">
        <v>567</v>
      </c>
      <c r="G81" s="957" t="s">
        <v>567</v>
      </c>
      <c r="H81" s="903"/>
      <c r="I81" s="903"/>
      <c r="J81" s="903"/>
      <c r="K81" s="903"/>
      <c r="L81" s="903"/>
      <c r="M81" s="903"/>
      <c r="N81" s="903"/>
    </row>
    <row r="82" spans="1:14" ht="14.25">
      <c r="A82" s="903"/>
      <c r="B82" s="903"/>
      <c r="C82" s="1435" t="s">
        <v>649</v>
      </c>
      <c r="D82" s="1436"/>
      <c r="E82" s="960">
        <v>0.2</v>
      </c>
      <c r="F82" s="920">
        <v>0.2</v>
      </c>
      <c r="G82" s="959">
        <v>0</v>
      </c>
      <c r="H82" s="903"/>
      <c r="I82" s="903"/>
      <c r="J82" s="903"/>
      <c r="K82" s="903"/>
      <c r="L82" s="903"/>
      <c r="M82" s="903"/>
      <c r="N82" s="903"/>
    </row>
    <row r="83" spans="1:14" ht="14.25">
      <c r="A83" s="903"/>
      <c r="B83" s="903"/>
      <c r="C83" s="1419" t="s">
        <v>650</v>
      </c>
      <c r="D83" s="1420"/>
      <c r="E83" s="924">
        <v>0</v>
      </c>
      <c r="F83" s="920">
        <v>0</v>
      </c>
      <c r="G83" s="959">
        <v>0</v>
      </c>
      <c r="H83" s="903"/>
      <c r="I83" s="903"/>
      <c r="J83" s="903"/>
      <c r="K83" s="903"/>
      <c r="L83" s="903"/>
      <c r="M83" s="903"/>
      <c r="N83" s="903"/>
    </row>
    <row r="84" spans="1:14" ht="14.25">
      <c r="A84" s="903"/>
      <c r="B84" s="903"/>
      <c r="C84" s="1419" t="s">
        <v>651</v>
      </c>
      <c r="D84" s="1420"/>
      <c r="E84" s="924">
        <v>1.3</v>
      </c>
      <c r="F84" s="920">
        <v>1.3</v>
      </c>
      <c r="G84" s="959">
        <v>0</v>
      </c>
      <c r="H84" s="903"/>
      <c r="I84" s="903"/>
      <c r="J84" s="903"/>
      <c r="K84" s="903"/>
      <c r="L84" s="903"/>
      <c r="M84" s="903"/>
      <c r="N84" s="903"/>
    </row>
    <row r="85" spans="1:14" ht="14.25">
      <c r="A85" s="903"/>
      <c r="B85" s="903"/>
      <c r="C85" s="1419" t="s">
        <v>652</v>
      </c>
      <c r="D85" s="1420"/>
      <c r="E85" s="924">
        <v>0.1</v>
      </c>
      <c r="F85" s="920">
        <v>0.1</v>
      </c>
      <c r="G85" s="959">
        <v>0</v>
      </c>
      <c r="H85" s="903"/>
      <c r="I85" s="903"/>
      <c r="J85" s="903"/>
      <c r="K85" s="903"/>
      <c r="L85" s="903"/>
      <c r="M85" s="903"/>
      <c r="N85" s="903"/>
    </row>
    <row r="86" spans="1:14" ht="14.25">
      <c r="A86" s="903"/>
      <c r="B86" s="903"/>
      <c r="C86" s="1419" t="s">
        <v>653</v>
      </c>
      <c r="D86" s="1420"/>
      <c r="E86" s="924">
        <v>0.3</v>
      </c>
      <c r="F86" s="920">
        <v>0.3</v>
      </c>
      <c r="G86" s="959">
        <v>0</v>
      </c>
      <c r="H86" s="903"/>
      <c r="I86" s="903"/>
      <c r="J86" s="903"/>
      <c r="K86" s="903"/>
      <c r="L86" s="903"/>
      <c r="M86" s="903"/>
      <c r="N86" s="903"/>
    </row>
    <row r="87" spans="1:14" ht="14.25">
      <c r="A87" s="903"/>
      <c r="B87" s="903"/>
      <c r="C87" s="1419" t="s">
        <v>654</v>
      </c>
      <c r="D87" s="1420"/>
      <c r="E87" s="924">
        <v>0.6</v>
      </c>
      <c r="F87" s="920">
        <v>0.6</v>
      </c>
      <c r="G87" s="959">
        <v>0</v>
      </c>
      <c r="H87" s="903"/>
      <c r="I87" s="903"/>
      <c r="J87" s="903"/>
      <c r="K87" s="903"/>
      <c r="L87" s="903"/>
      <c r="M87" s="903"/>
      <c r="N87" s="903"/>
    </row>
    <row r="88" spans="1:14" ht="15" thickBot="1">
      <c r="A88" s="903"/>
      <c r="B88" s="903"/>
      <c r="C88" s="1421" t="s">
        <v>655</v>
      </c>
      <c r="D88" s="1422"/>
      <c r="E88" s="924">
        <v>0.5</v>
      </c>
      <c r="F88" s="920">
        <v>0</v>
      </c>
      <c r="G88" s="959">
        <v>0.5</v>
      </c>
      <c r="H88" s="941"/>
      <c r="I88" s="903"/>
      <c r="J88" s="903"/>
      <c r="K88" s="903"/>
      <c r="L88" s="903"/>
      <c r="M88" s="903"/>
      <c r="N88" s="903"/>
    </row>
    <row r="89" spans="1:14" ht="15.75" thickBot="1">
      <c r="A89" s="903"/>
      <c r="B89" s="903"/>
      <c r="C89" s="1423" t="s">
        <v>656</v>
      </c>
      <c r="D89" s="1424"/>
      <c r="E89" s="945">
        <v>3</v>
      </c>
      <c r="F89" s="945">
        <v>2.5</v>
      </c>
      <c r="G89" s="945">
        <v>0.5</v>
      </c>
      <c r="H89" s="941"/>
      <c r="I89" s="903"/>
      <c r="J89" s="903"/>
      <c r="K89" s="903"/>
      <c r="L89" s="903"/>
      <c r="M89" s="903"/>
      <c r="N89" s="903"/>
    </row>
  </sheetData>
  <mergeCells count="53">
    <mergeCell ref="C20:D20"/>
    <mergeCell ref="C8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44:C49"/>
    <mergeCell ref="C21:D21"/>
    <mergeCell ref="C22:D22"/>
    <mergeCell ref="C23:D23"/>
    <mergeCell ref="C24:D24"/>
    <mergeCell ref="C25:D25"/>
    <mergeCell ref="C28:D30"/>
    <mergeCell ref="E28:F28"/>
    <mergeCell ref="C31:C32"/>
    <mergeCell ref="C33:C34"/>
    <mergeCell ref="C35:C37"/>
    <mergeCell ref="C38:C43"/>
    <mergeCell ref="C68:D68"/>
    <mergeCell ref="C50:C55"/>
    <mergeCell ref="C56:D56"/>
    <mergeCell ref="C57:D57"/>
    <mergeCell ref="C58:D58"/>
    <mergeCell ref="C61:D61"/>
    <mergeCell ref="C62:D62"/>
    <mergeCell ref="C63:D63"/>
    <mergeCell ref="C64:D64"/>
    <mergeCell ref="C65:D65"/>
    <mergeCell ref="C66:D66"/>
    <mergeCell ref="C67:D67"/>
    <mergeCell ref="C84:D84"/>
    <mergeCell ref="C69:D69"/>
    <mergeCell ref="C70:D70"/>
    <mergeCell ref="C71:D71"/>
    <mergeCell ref="C72:D72"/>
    <mergeCell ref="C73:D73"/>
    <mergeCell ref="C75:D75"/>
    <mergeCell ref="C76:D76"/>
    <mergeCell ref="C77:D77"/>
    <mergeCell ref="C80:D81"/>
    <mergeCell ref="C82:D82"/>
    <mergeCell ref="C83:D83"/>
    <mergeCell ref="C85:D85"/>
    <mergeCell ref="C86:D86"/>
    <mergeCell ref="C87:D87"/>
    <mergeCell ref="C88:D88"/>
    <mergeCell ref="C89:D89"/>
  </mergeCells>
  <phoneticPr fontId="1" type="noConversion"/>
  <dataValidations count="1">
    <dataValidation type="decimal" operator="lessThanOrEqual" allowBlank="1" showInputMessage="1" showErrorMessage="1" sqref="K24 E72:I72 E57:F57 E24:G24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5FFFF"/>
    <pageSetUpPr fitToPage="1"/>
  </sheetPr>
  <dimension ref="A1:M101"/>
  <sheetViews>
    <sheetView workbookViewId="0">
      <selection sqref="A1:XFD1048576"/>
    </sheetView>
  </sheetViews>
  <sheetFormatPr defaultColWidth="8.85546875" defaultRowHeight="12.75"/>
  <cols>
    <col min="1" max="5" width="8.85546875" style="52" customWidth="1"/>
    <col min="6" max="6" width="25" style="52" customWidth="1"/>
    <col min="7" max="7" width="10.42578125" style="52" customWidth="1"/>
    <col min="8" max="8" width="11.7109375" style="52" customWidth="1"/>
    <col min="9" max="9" width="10.5703125" style="52" bestFit="1" customWidth="1"/>
    <col min="10" max="10" width="9.5703125" style="52" customWidth="1"/>
    <col min="11" max="11" width="8.5703125" style="52" bestFit="1" customWidth="1"/>
    <col min="12" max="12" width="7" style="52" bestFit="1" customWidth="1"/>
    <col min="13" max="16384" width="8.85546875" style="52"/>
  </cols>
  <sheetData>
    <row r="1" spans="1:13" ht="16.5" customHeight="1">
      <c r="A1" s="418" t="s">
        <v>657</v>
      </c>
      <c r="F1" s="103" t="s">
        <v>985</v>
      </c>
    </row>
    <row r="2" spans="1:13">
      <c r="A2" s="418"/>
    </row>
    <row r="3" spans="1:13" ht="16.5" customHeight="1">
      <c r="A3" s="418" t="s">
        <v>81</v>
      </c>
    </row>
    <row r="5" spans="1:13" ht="16.5" customHeight="1">
      <c r="A5" s="992" t="s">
        <v>658</v>
      </c>
      <c r="B5" s="791"/>
      <c r="C5" s="791"/>
      <c r="D5" s="791"/>
      <c r="E5" s="791"/>
      <c r="F5" s="993"/>
      <c r="G5" s="993"/>
      <c r="H5" s="993"/>
      <c r="I5" s="993"/>
      <c r="J5" s="993"/>
      <c r="K5" s="993"/>
      <c r="L5" s="993"/>
      <c r="M5" s="993"/>
    </row>
    <row r="6" spans="1:13" ht="13.5" thickBot="1">
      <c r="A6" s="994"/>
      <c r="B6" s="995"/>
      <c r="C6" s="996"/>
      <c r="D6" s="882"/>
      <c r="E6" s="995"/>
      <c r="F6" s="995"/>
      <c r="G6" s="994"/>
      <c r="H6" s="994"/>
      <c r="I6" s="994"/>
      <c r="J6" s="994"/>
      <c r="K6" s="994"/>
      <c r="L6" s="994"/>
      <c r="M6" s="994"/>
    </row>
    <row r="7" spans="1:13" ht="16.5" customHeight="1" thickBot="1">
      <c r="A7" s="993"/>
      <c r="B7" s="997"/>
      <c r="C7" s="998" t="s">
        <v>659</v>
      </c>
      <c r="D7" s="999"/>
      <c r="E7" s="1000"/>
      <c r="F7" s="1000"/>
      <c r="G7" s="1000"/>
      <c r="H7" s="1001"/>
      <c r="I7" s="1002"/>
      <c r="J7" s="993"/>
      <c r="K7" s="993"/>
      <c r="L7" s="993"/>
      <c r="M7" s="993"/>
    </row>
    <row r="8" spans="1:13" ht="16.5" customHeight="1" thickBot="1">
      <c r="A8" s="993"/>
      <c r="B8" s="1003"/>
      <c r="C8" s="790"/>
      <c r="D8" s="790"/>
      <c r="E8" s="993"/>
      <c r="F8" s="993"/>
      <c r="G8" s="1004" t="s">
        <v>567</v>
      </c>
      <c r="H8" s="1004" t="s">
        <v>567</v>
      </c>
      <c r="I8" s="1005"/>
      <c r="J8" s="993"/>
      <c r="K8" s="993"/>
      <c r="L8" s="993"/>
      <c r="M8" s="993"/>
    </row>
    <row r="9" spans="1:13" ht="16.5" customHeight="1">
      <c r="A9" s="993"/>
      <c r="B9" s="1006"/>
      <c r="C9" s="1489" t="s">
        <v>660</v>
      </c>
      <c r="D9" s="1489"/>
      <c r="E9" s="1489"/>
      <c r="F9" s="1490"/>
      <c r="G9" s="1007"/>
      <c r="H9" s="1008"/>
      <c r="I9" s="1005"/>
      <c r="J9" s="993"/>
      <c r="K9" s="993"/>
      <c r="L9" s="993"/>
      <c r="M9" s="993"/>
    </row>
    <row r="10" spans="1:13" ht="16.5" customHeight="1">
      <c r="A10" s="993"/>
      <c r="B10" s="1009"/>
      <c r="C10" s="779"/>
      <c r="D10" s="1481" t="s">
        <v>661</v>
      </c>
      <c r="E10" s="1481"/>
      <c r="F10" s="1482"/>
      <c r="G10" s="1010">
        <v>4.2</v>
      </c>
      <c r="H10" s="1011"/>
      <c r="I10" s="1012"/>
      <c r="J10" s="1013"/>
      <c r="K10" s="1013"/>
      <c r="L10" s="1013"/>
      <c r="M10" s="993"/>
    </row>
    <row r="11" spans="1:13" ht="16.5" customHeight="1">
      <c r="A11" s="993"/>
      <c r="B11" s="1009"/>
      <c r="C11" s="779"/>
      <c r="D11" s="1481" t="s">
        <v>662</v>
      </c>
      <c r="E11" s="1481"/>
      <c r="F11" s="1482"/>
      <c r="G11" s="1010">
        <v>0.2</v>
      </c>
      <c r="H11" s="1011"/>
      <c r="I11" s="1012"/>
      <c r="J11" s="1013"/>
      <c r="K11" s="1013"/>
      <c r="L11" s="1013"/>
      <c r="M11" s="993"/>
    </row>
    <row r="12" spans="1:13" ht="16.5" customHeight="1">
      <c r="A12" s="993"/>
      <c r="B12" s="1009"/>
      <c r="C12" s="779"/>
      <c r="D12" s="1481" t="s">
        <v>663</v>
      </c>
      <c r="E12" s="1481"/>
      <c r="F12" s="1482"/>
      <c r="G12" s="1010">
        <v>15.1</v>
      </c>
      <c r="H12" s="1011"/>
      <c r="I12" s="1012"/>
      <c r="J12" s="1013"/>
      <c r="K12" s="1013"/>
      <c r="L12" s="1013"/>
      <c r="M12" s="993"/>
    </row>
    <row r="13" spans="1:13" ht="16.5" customHeight="1">
      <c r="A13" s="993"/>
      <c r="B13" s="1009"/>
      <c r="C13" s="779"/>
      <c r="D13" s="1481" t="s">
        <v>664</v>
      </c>
      <c r="E13" s="1481"/>
      <c r="F13" s="1482"/>
      <c r="G13" s="1010">
        <v>0.5</v>
      </c>
      <c r="H13" s="1011"/>
      <c r="I13" s="1012"/>
      <c r="J13" s="1013"/>
      <c r="K13" s="1013"/>
      <c r="L13" s="1013"/>
      <c r="M13" s="993"/>
    </row>
    <row r="14" spans="1:13" ht="16.5" customHeight="1">
      <c r="A14" s="993"/>
      <c r="B14" s="1009"/>
      <c r="C14" s="779"/>
      <c r="D14" s="1481" t="s">
        <v>665</v>
      </c>
      <c r="E14" s="1481"/>
      <c r="F14" s="1482"/>
      <c r="G14" s="1010">
        <v>0</v>
      </c>
      <c r="H14" s="1011"/>
      <c r="I14" s="1012"/>
      <c r="J14" s="1013"/>
      <c r="K14" s="1013"/>
      <c r="L14" s="1013"/>
      <c r="M14" s="993"/>
    </row>
    <row r="15" spans="1:13" ht="29.25" customHeight="1">
      <c r="A15" s="993"/>
      <c r="B15" s="1009"/>
      <c r="C15" s="1014"/>
      <c r="D15" s="1319" t="s">
        <v>666</v>
      </c>
      <c r="E15" s="1319"/>
      <c r="F15" s="1491"/>
      <c r="G15" s="1015">
        <v>0</v>
      </c>
      <c r="H15" s="1011">
        <v>20</v>
      </c>
      <c r="I15" s="1012"/>
      <c r="J15" s="1013"/>
      <c r="K15" s="1013"/>
      <c r="L15" s="1013"/>
      <c r="M15" s="993"/>
    </row>
    <row r="16" spans="1:13" ht="16.5" customHeight="1">
      <c r="A16" s="993"/>
      <c r="B16" s="1009"/>
      <c r="C16" s="1489" t="s">
        <v>667</v>
      </c>
      <c r="D16" s="1489"/>
      <c r="E16" s="1489"/>
      <c r="F16" s="1490"/>
      <c r="G16" s="1016"/>
      <c r="H16" s="1017"/>
      <c r="I16" s="1012"/>
      <c r="J16" s="1013"/>
      <c r="K16" s="1013"/>
      <c r="L16" s="1013"/>
      <c r="M16" s="993"/>
    </row>
    <row r="17" spans="1:13" ht="16.5" customHeight="1">
      <c r="A17" s="993"/>
      <c r="B17" s="1009"/>
      <c r="C17" s="1014"/>
      <c r="D17" s="1479" t="s">
        <v>668</v>
      </c>
      <c r="E17" s="1479"/>
      <c r="F17" s="1480"/>
      <c r="G17" s="1010">
        <v>0</v>
      </c>
      <c r="H17" s="1011"/>
      <c r="I17" s="1012"/>
      <c r="J17" s="1013"/>
      <c r="K17" s="1013"/>
      <c r="L17" s="1013"/>
      <c r="M17" s="993"/>
    </row>
    <row r="18" spans="1:13" ht="16.5" customHeight="1">
      <c r="A18" s="993"/>
      <c r="B18" s="1009"/>
      <c r="C18" s="1014"/>
      <c r="D18" s="1492" t="s">
        <v>669</v>
      </c>
      <c r="E18" s="1492"/>
      <c r="F18" s="1493"/>
      <c r="G18" s="1010">
        <v>0</v>
      </c>
      <c r="H18" s="1011"/>
      <c r="I18" s="1012"/>
      <c r="J18" s="1013"/>
      <c r="K18" s="1013"/>
      <c r="L18" s="1013"/>
      <c r="M18" s="993"/>
    </row>
    <row r="19" spans="1:13" ht="16.5" customHeight="1">
      <c r="A19" s="993"/>
      <c r="B19" s="1009"/>
      <c r="C19" s="1014"/>
      <c r="D19" s="1492" t="s">
        <v>670</v>
      </c>
      <c r="E19" s="1492"/>
      <c r="F19" s="1493"/>
      <c r="G19" s="1015">
        <v>0.1</v>
      </c>
      <c r="H19" s="1011">
        <v>0.1</v>
      </c>
      <c r="I19" s="1012"/>
      <c r="J19" s="1013"/>
      <c r="K19" s="1013"/>
      <c r="L19" s="1013"/>
      <c r="M19" s="993"/>
    </row>
    <row r="20" spans="1:13" ht="16.5" customHeight="1">
      <c r="A20" s="993"/>
      <c r="B20" s="1009"/>
      <c r="C20" s="1489" t="s">
        <v>671</v>
      </c>
      <c r="D20" s="1489"/>
      <c r="E20" s="1489"/>
      <c r="F20" s="1490"/>
      <c r="G20" s="1016"/>
      <c r="H20" s="1017"/>
      <c r="I20" s="1012"/>
      <c r="J20" s="1013"/>
      <c r="K20" s="1013"/>
      <c r="L20" s="1013"/>
      <c r="M20" s="993"/>
    </row>
    <row r="21" spans="1:13" ht="32.25" customHeight="1">
      <c r="A21" s="993"/>
      <c r="B21" s="1009"/>
      <c r="C21" s="1014"/>
      <c r="D21" s="1479" t="s">
        <v>672</v>
      </c>
      <c r="E21" s="1479"/>
      <c r="F21" s="1480"/>
      <c r="G21" s="1010">
        <v>-0.3</v>
      </c>
      <c r="H21" s="1011"/>
      <c r="I21" s="1012"/>
      <c r="J21" s="1013"/>
      <c r="K21" s="1013"/>
      <c r="L21" s="1013"/>
      <c r="M21" s="993"/>
    </row>
    <row r="22" spans="1:13" ht="16.5" customHeight="1">
      <c r="A22" s="993"/>
      <c r="B22" s="1009"/>
      <c r="C22" s="1014"/>
      <c r="D22" s="1481" t="s">
        <v>673</v>
      </c>
      <c r="E22" s="1481"/>
      <c r="F22" s="1482"/>
      <c r="G22" s="1010">
        <v>17.8</v>
      </c>
      <c r="H22" s="1011"/>
      <c r="I22" s="1012"/>
      <c r="J22" s="1013"/>
      <c r="K22" s="1013"/>
      <c r="L22" s="1013"/>
      <c r="M22" s="993"/>
    </row>
    <row r="23" spans="1:13" ht="16.5" customHeight="1">
      <c r="A23" s="993"/>
      <c r="B23" s="1009"/>
      <c r="C23" s="1014"/>
      <c r="D23" s="1483" t="s">
        <v>674</v>
      </c>
      <c r="E23" s="1483"/>
      <c r="F23" s="1484"/>
      <c r="G23" s="1015">
        <v>13.5</v>
      </c>
      <c r="H23" s="1011">
        <v>31</v>
      </c>
      <c r="I23" s="1012"/>
      <c r="J23" s="1013"/>
      <c r="K23" s="1013"/>
      <c r="L23" s="1013"/>
      <c r="M23" s="993"/>
    </row>
    <row r="24" spans="1:13">
      <c r="A24" s="993"/>
      <c r="B24" s="1009"/>
      <c r="C24" s="1014"/>
      <c r="D24" s="1018"/>
      <c r="E24" s="1019"/>
      <c r="F24" s="1020"/>
      <c r="G24" s="1016"/>
      <c r="H24" s="1017"/>
      <c r="I24" s="1012"/>
      <c r="J24" s="1013"/>
      <c r="K24" s="1013"/>
      <c r="L24" s="1013"/>
      <c r="M24" s="993"/>
    </row>
    <row r="25" spans="1:13" ht="16.5" customHeight="1" thickBot="1">
      <c r="A25" s="993"/>
      <c r="B25" s="1021"/>
      <c r="C25" s="1467" t="s">
        <v>675</v>
      </c>
      <c r="D25" s="1467"/>
      <c r="E25" s="1467"/>
      <c r="F25" s="1468"/>
      <c r="G25" s="1022"/>
      <c r="H25" s="1023">
        <v>51.1</v>
      </c>
      <c r="I25" s="1012"/>
      <c r="J25" s="1013"/>
      <c r="K25" s="1013"/>
      <c r="L25" s="1013"/>
      <c r="M25" s="993"/>
    </row>
    <row r="26" spans="1:13" ht="13.5" thickBot="1">
      <c r="A26" s="993"/>
      <c r="B26" s="1024"/>
      <c r="C26" s="1025"/>
      <c r="D26" s="1025"/>
      <c r="E26" s="1025"/>
      <c r="F26" s="1026"/>
      <c r="G26" s="1027"/>
      <c r="H26" s="1027"/>
      <c r="I26" s="1028"/>
      <c r="J26" s="1013"/>
      <c r="K26" s="1013"/>
      <c r="L26" s="1013"/>
      <c r="M26" s="993"/>
    </row>
    <row r="27" spans="1:13" ht="13.5" thickBot="1">
      <c r="A27" s="993"/>
      <c r="B27" s="995"/>
      <c r="C27" s="1000"/>
      <c r="D27" s="993"/>
      <c r="E27" s="1029"/>
      <c r="F27" s="995"/>
      <c r="G27" s="1013"/>
      <c r="H27" s="1013"/>
      <c r="I27" s="1013"/>
      <c r="J27" s="1013"/>
      <c r="K27" s="1013"/>
      <c r="L27" s="1013"/>
      <c r="M27" s="993"/>
    </row>
    <row r="28" spans="1:13" ht="16.5" customHeight="1">
      <c r="A28" s="993"/>
      <c r="B28" s="997"/>
      <c r="C28" s="1030" t="s">
        <v>676</v>
      </c>
      <c r="D28" s="1000"/>
      <c r="E28" s="1000"/>
      <c r="F28" s="1031"/>
      <c r="G28" s="1032"/>
      <c r="H28" s="1033"/>
      <c r="I28" s="1033"/>
      <c r="J28" s="1033"/>
      <c r="K28" s="1033"/>
      <c r="L28" s="1033"/>
      <c r="M28" s="1002"/>
    </row>
    <row r="29" spans="1:13" ht="16.5" customHeight="1" thickBot="1">
      <c r="A29" s="993"/>
      <c r="B29" s="1003"/>
      <c r="C29" s="993"/>
      <c r="D29" s="998" t="s">
        <v>677</v>
      </c>
      <c r="E29" s="998"/>
      <c r="F29" s="994"/>
      <c r="G29" s="1034"/>
      <c r="H29" s="1034"/>
      <c r="I29" s="1013"/>
      <c r="J29" s="1013"/>
      <c r="K29" s="1013"/>
      <c r="L29" s="1013"/>
      <c r="M29" s="1005"/>
    </row>
    <row r="30" spans="1:13" ht="16.5" customHeight="1" thickBot="1">
      <c r="A30" s="993"/>
      <c r="B30" s="1035"/>
      <c r="C30" s="993"/>
      <c r="D30" s="1020"/>
      <c r="E30" s="1014" t="s">
        <v>678</v>
      </c>
      <c r="F30" s="1020"/>
      <c r="G30" s="1036" t="s">
        <v>567</v>
      </c>
      <c r="H30" s="1037"/>
      <c r="I30" s="1013"/>
      <c r="J30" s="1013"/>
      <c r="K30" s="1013"/>
      <c r="L30" s="1013"/>
      <c r="M30" s="1005"/>
    </row>
    <row r="31" spans="1:13" ht="16.5" customHeight="1">
      <c r="A31" s="993"/>
      <c r="B31" s="1035"/>
      <c r="C31" s="993"/>
      <c r="D31" s="1020"/>
      <c r="E31" s="1038" t="s">
        <v>679</v>
      </c>
      <c r="F31" s="993"/>
      <c r="G31" s="1039">
        <v>-9.9999999999997868E-2</v>
      </c>
      <c r="H31" s="1037"/>
      <c r="I31" s="1013"/>
      <c r="J31" s="1013"/>
      <c r="K31" s="1013"/>
      <c r="L31" s="1013"/>
      <c r="M31" s="1005"/>
    </row>
    <row r="32" spans="1:13" ht="16.5" customHeight="1">
      <c r="A32" s="993"/>
      <c r="B32" s="1035"/>
      <c r="C32" s="993"/>
      <c r="D32" s="1020"/>
      <c r="E32" s="1038" t="s">
        <v>680</v>
      </c>
      <c r="F32" s="993"/>
      <c r="G32" s="1039">
        <v>-0.5</v>
      </c>
      <c r="H32" s="1037"/>
      <c r="I32" s="1013"/>
      <c r="J32" s="1013"/>
      <c r="K32" s="1013"/>
      <c r="L32" s="1013"/>
      <c r="M32" s="1005"/>
    </row>
    <row r="33" spans="1:13" ht="16.5" customHeight="1">
      <c r="A33" s="994"/>
      <c r="B33" s="1040"/>
      <c r="C33" s="994"/>
      <c r="D33" s="1020"/>
      <c r="E33" s="1038" t="s">
        <v>681</v>
      </c>
      <c r="F33" s="994"/>
      <c r="G33" s="1039">
        <v>0</v>
      </c>
      <c r="H33" s="1037"/>
      <c r="I33" s="1034"/>
      <c r="J33" s="1034"/>
      <c r="K33" s="1034"/>
      <c r="L33" s="1034"/>
      <c r="M33" s="1041"/>
    </row>
    <row r="34" spans="1:13" ht="16.5" customHeight="1" thickBot="1">
      <c r="A34" s="994"/>
      <c r="B34" s="1040"/>
      <c r="C34" s="994"/>
      <c r="D34" s="1020"/>
      <c r="E34" s="1471" t="s">
        <v>200</v>
      </c>
      <c r="F34" s="1472"/>
      <c r="G34" s="1042">
        <v>-0.59999999999999787</v>
      </c>
      <c r="H34" s="1037"/>
      <c r="I34" s="1034"/>
      <c r="J34" s="1034"/>
      <c r="K34" s="1034"/>
      <c r="L34" s="1034"/>
      <c r="M34" s="1041"/>
    </row>
    <row r="35" spans="1:13" ht="13.5" thickTop="1">
      <c r="A35" s="994"/>
      <c r="B35" s="1040"/>
      <c r="C35" s="882"/>
      <c r="D35" s="1020"/>
      <c r="E35" s="1020"/>
      <c r="F35" s="1020"/>
      <c r="G35" s="1037"/>
      <c r="H35" s="1037"/>
      <c r="I35" s="1034"/>
      <c r="J35" s="1034"/>
      <c r="K35" s="1034"/>
      <c r="L35" s="1034"/>
      <c r="M35" s="1041"/>
    </row>
    <row r="36" spans="1:13" ht="48.75" customHeight="1">
      <c r="A36" s="994"/>
      <c r="B36" s="1021"/>
      <c r="C36" s="1020"/>
      <c r="D36" s="1020"/>
      <c r="E36" s="1485" t="s">
        <v>682</v>
      </c>
      <c r="F36" s="1486"/>
      <c r="G36" s="1043" t="s">
        <v>683</v>
      </c>
      <c r="H36" s="1043" t="s">
        <v>684</v>
      </c>
      <c r="I36" s="1043" t="s">
        <v>685</v>
      </c>
      <c r="J36" s="1043" t="s">
        <v>686</v>
      </c>
      <c r="K36" s="1044" t="s">
        <v>687</v>
      </c>
      <c r="L36" s="1045" t="s">
        <v>688</v>
      </c>
      <c r="M36" s="1041"/>
    </row>
    <row r="37" spans="1:13" ht="16.5" customHeight="1">
      <c r="A37" s="994"/>
      <c r="B37" s="1021"/>
      <c r="C37" s="1020"/>
      <c r="D37" s="1020"/>
      <c r="E37" s="1487" t="s">
        <v>689</v>
      </c>
      <c r="F37" s="1488"/>
      <c r="G37" s="1046" t="s">
        <v>203</v>
      </c>
      <c r="H37" s="1046" t="s">
        <v>203</v>
      </c>
      <c r="I37" s="1046" t="s">
        <v>203</v>
      </c>
      <c r="J37" s="1046" t="s">
        <v>203</v>
      </c>
      <c r="K37" s="1047" t="s">
        <v>203</v>
      </c>
      <c r="L37" s="1046"/>
      <c r="M37" s="1041"/>
    </row>
    <row r="38" spans="1:13">
      <c r="A38" s="994"/>
      <c r="B38" s="1021"/>
      <c r="C38" s="1020"/>
      <c r="D38" s="1020"/>
      <c r="E38" s="1048" t="s">
        <v>1029</v>
      </c>
      <c r="F38" s="1048"/>
      <c r="G38" s="1049">
        <v>20.9</v>
      </c>
      <c r="H38" s="1049">
        <v>20.8</v>
      </c>
      <c r="I38" s="1050">
        <v>9.9999999999997868E-2</v>
      </c>
      <c r="J38" s="1049">
        <v>9.9999999999997868E-2</v>
      </c>
      <c r="K38" s="1050">
        <v>0</v>
      </c>
      <c r="L38" s="1051"/>
      <c r="M38" s="1041"/>
    </row>
    <row r="39" spans="1:13">
      <c r="A39" s="994"/>
      <c r="B39" s="1021"/>
      <c r="C39" s="1020"/>
      <c r="D39" s="1020"/>
      <c r="E39" s="1048" t="s">
        <v>1030</v>
      </c>
      <c r="F39" s="1048"/>
      <c r="G39" s="1049">
        <v>1.1000000000000001</v>
      </c>
      <c r="H39" s="1049">
        <v>0.9</v>
      </c>
      <c r="I39" s="1050">
        <v>0.2</v>
      </c>
      <c r="J39" s="1049">
        <v>0.5</v>
      </c>
      <c r="K39" s="1050">
        <v>-0.3</v>
      </c>
      <c r="L39" s="1052"/>
      <c r="M39" s="1041"/>
    </row>
    <row r="40" spans="1:13">
      <c r="A40" s="994"/>
      <c r="B40" s="1021"/>
      <c r="C40" s="1020"/>
      <c r="D40" s="1020"/>
      <c r="E40" s="1475"/>
      <c r="F40" s="1476"/>
      <c r="G40" s="1053"/>
      <c r="H40" s="1053"/>
      <c r="I40" s="1054"/>
      <c r="J40" s="1053"/>
      <c r="K40" s="1054"/>
      <c r="L40" s="1052"/>
      <c r="M40" s="1041"/>
    </row>
    <row r="41" spans="1:13">
      <c r="A41" s="994"/>
      <c r="B41" s="1021"/>
      <c r="C41" s="1020"/>
      <c r="D41" s="1020"/>
      <c r="E41" s="1475"/>
      <c r="F41" s="1476"/>
      <c r="G41" s="1053"/>
      <c r="H41" s="1053"/>
      <c r="I41" s="1054"/>
      <c r="J41" s="1053"/>
      <c r="K41" s="1054"/>
      <c r="L41" s="1052"/>
      <c r="M41" s="1041"/>
    </row>
    <row r="42" spans="1:13">
      <c r="A42" s="994"/>
      <c r="B42" s="1021"/>
      <c r="C42" s="1020"/>
      <c r="D42" s="1020"/>
      <c r="E42" s="1475"/>
      <c r="F42" s="1476"/>
      <c r="G42" s="1053"/>
      <c r="H42" s="1053"/>
      <c r="I42" s="1054"/>
      <c r="J42" s="1053"/>
      <c r="K42" s="1054"/>
      <c r="L42" s="1052"/>
      <c r="M42" s="1041"/>
    </row>
    <row r="43" spans="1:13">
      <c r="A43" s="994"/>
      <c r="B43" s="1021"/>
      <c r="C43" s="1020"/>
      <c r="D43" s="1020"/>
      <c r="E43" s="1475"/>
      <c r="F43" s="1476"/>
      <c r="G43" s="1053"/>
      <c r="H43" s="1053"/>
      <c r="I43" s="1054"/>
      <c r="J43" s="1053"/>
      <c r="K43" s="1054"/>
      <c r="L43" s="1052"/>
      <c r="M43" s="1041"/>
    </row>
    <row r="44" spans="1:13">
      <c r="A44" s="994"/>
      <c r="B44" s="1021"/>
      <c r="C44" s="1020"/>
      <c r="D44" s="1020"/>
      <c r="E44" s="1475"/>
      <c r="F44" s="1476"/>
      <c r="G44" s="1053"/>
      <c r="H44" s="1053"/>
      <c r="I44" s="1054"/>
      <c r="J44" s="1053"/>
      <c r="K44" s="1054"/>
      <c r="L44" s="1052"/>
      <c r="M44" s="1041"/>
    </row>
    <row r="45" spans="1:13">
      <c r="A45" s="994"/>
      <c r="B45" s="1021"/>
      <c r="C45" s="1020"/>
      <c r="D45" s="1020"/>
      <c r="E45" s="1475"/>
      <c r="F45" s="1476"/>
      <c r="G45" s="1053"/>
      <c r="H45" s="1053"/>
      <c r="I45" s="1054"/>
      <c r="J45" s="1053"/>
      <c r="K45" s="1054"/>
      <c r="L45" s="1052"/>
      <c r="M45" s="1041"/>
    </row>
    <row r="46" spans="1:13">
      <c r="A46" s="994"/>
      <c r="B46" s="1021"/>
      <c r="C46" s="1020"/>
      <c r="D46" s="1020"/>
      <c r="E46" s="1475"/>
      <c r="F46" s="1476"/>
      <c r="G46" s="1053"/>
      <c r="H46" s="1053"/>
      <c r="I46" s="1054"/>
      <c r="J46" s="1053"/>
      <c r="K46" s="1054"/>
      <c r="L46" s="1052"/>
      <c r="M46" s="1041"/>
    </row>
    <row r="47" spans="1:13">
      <c r="A47" s="994"/>
      <c r="B47" s="1021"/>
      <c r="C47" s="1020"/>
      <c r="D47" s="1020"/>
      <c r="E47" s="1475"/>
      <c r="F47" s="1476"/>
      <c r="G47" s="1053"/>
      <c r="H47" s="1053"/>
      <c r="I47" s="1054"/>
      <c r="J47" s="1053"/>
      <c r="K47" s="1054"/>
      <c r="L47" s="1052"/>
      <c r="M47" s="1041"/>
    </row>
    <row r="48" spans="1:13">
      <c r="A48" s="994"/>
      <c r="B48" s="1021"/>
      <c r="C48" s="1020"/>
      <c r="D48" s="1020"/>
      <c r="E48" s="1475"/>
      <c r="F48" s="1476"/>
      <c r="G48" s="1053"/>
      <c r="H48" s="1053"/>
      <c r="I48" s="1054"/>
      <c r="J48" s="1053"/>
      <c r="K48" s="1054"/>
      <c r="L48" s="1052"/>
      <c r="M48" s="1041"/>
    </row>
    <row r="49" spans="1:13">
      <c r="A49" s="994"/>
      <c r="B49" s="1021"/>
      <c r="C49" s="1020"/>
      <c r="D49" s="1020"/>
      <c r="E49" s="1475"/>
      <c r="F49" s="1476"/>
      <c r="G49" s="1053"/>
      <c r="H49" s="1053"/>
      <c r="I49" s="1054"/>
      <c r="J49" s="1053"/>
      <c r="K49" s="1054"/>
      <c r="L49" s="1052"/>
      <c r="M49" s="1041"/>
    </row>
    <row r="50" spans="1:13">
      <c r="A50" s="994"/>
      <c r="B50" s="1021"/>
      <c r="C50" s="1020"/>
      <c r="D50" s="1020"/>
      <c r="E50" s="1475"/>
      <c r="F50" s="1476"/>
      <c r="G50" s="1053"/>
      <c r="H50" s="1053"/>
      <c r="I50" s="1054"/>
      <c r="J50" s="1053"/>
      <c r="K50" s="1054"/>
      <c r="L50" s="1055"/>
      <c r="M50" s="1041"/>
    </row>
    <row r="51" spans="1:13" ht="16.5" customHeight="1">
      <c r="A51" s="994"/>
      <c r="B51" s="1021"/>
      <c r="C51" s="1020"/>
      <c r="D51" s="1020"/>
      <c r="E51" s="1477" t="s">
        <v>200</v>
      </c>
      <c r="F51" s="1478"/>
      <c r="G51" s="1056">
        <v>22</v>
      </c>
      <c r="H51" s="1056">
        <v>21.7</v>
      </c>
      <c r="I51" s="1056">
        <v>0.29999999999999793</v>
      </c>
      <c r="J51" s="1056">
        <v>0.59999999999999787</v>
      </c>
      <c r="K51" s="1056">
        <v>-0.3</v>
      </c>
      <c r="L51" s="994"/>
      <c r="M51" s="1041"/>
    </row>
    <row r="52" spans="1:13" ht="16.5" customHeight="1">
      <c r="A52" s="994"/>
      <c r="B52" s="1021"/>
      <c r="C52" s="1020"/>
      <c r="D52" s="1020"/>
      <c r="E52" s="1020"/>
      <c r="F52" s="1020"/>
      <c r="G52" s="994"/>
      <c r="H52" s="994"/>
      <c r="I52" s="994"/>
      <c r="J52" s="1057" t="s">
        <v>690</v>
      </c>
      <c r="K52" s="1057" t="s">
        <v>690</v>
      </c>
      <c r="L52" s="994"/>
      <c r="M52" s="1041"/>
    </row>
    <row r="53" spans="1:13" ht="13.5" thickBot="1">
      <c r="A53" s="994"/>
      <c r="B53" s="1021"/>
      <c r="C53" s="1020"/>
      <c r="D53" s="1020"/>
      <c r="E53" s="1020"/>
      <c r="F53" s="1020"/>
      <c r="G53" s="994"/>
      <c r="H53" s="994"/>
      <c r="I53" s="994"/>
      <c r="J53" s="994"/>
      <c r="K53" s="994"/>
      <c r="L53" s="994"/>
      <c r="M53" s="1041"/>
    </row>
    <row r="54" spans="1:13" ht="16.5" customHeight="1" thickBot="1">
      <c r="A54" s="994"/>
      <c r="B54" s="1021"/>
      <c r="C54" s="1058"/>
      <c r="D54" s="998" t="s">
        <v>691</v>
      </c>
      <c r="E54" s="1059"/>
      <c r="F54" s="994"/>
      <c r="G54" s="1036" t="s">
        <v>203</v>
      </c>
      <c r="H54" s="1036" t="s">
        <v>203</v>
      </c>
      <c r="I54" s="994"/>
      <c r="J54" s="1034"/>
      <c r="K54" s="1034"/>
      <c r="L54" s="1034"/>
      <c r="M54" s="1060"/>
    </row>
    <row r="55" spans="1:13" ht="33" customHeight="1" thickBot="1">
      <c r="A55" s="994"/>
      <c r="B55" s="1021"/>
      <c r="C55" s="1020"/>
      <c r="D55" s="994"/>
      <c r="E55" s="994"/>
      <c r="F55" s="994"/>
      <c r="G55" s="1061"/>
      <c r="H55" s="1062" t="s">
        <v>692</v>
      </c>
      <c r="I55" s="994"/>
      <c r="J55" s="1034"/>
      <c r="K55" s="1034"/>
      <c r="L55" s="1034"/>
      <c r="M55" s="1060"/>
    </row>
    <row r="56" spans="1:13" ht="16.5" customHeight="1">
      <c r="A56" s="994"/>
      <c r="B56" s="1021"/>
      <c r="C56" s="1020"/>
      <c r="D56" s="994"/>
      <c r="E56" s="1059" t="s">
        <v>693</v>
      </c>
      <c r="F56" s="994"/>
      <c r="G56" s="1063">
        <v>0.1</v>
      </c>
      <c r="H56" s="1064">
        <v>0</v>
      </c>
      <c r="I56" s="994"/>
      <c r="J56" s="1034"/>
      <c r="K56" s="1034"/>
      <c r="L56" s="1034"/>
      <c r="M56" s="1060"/>
    </row>
    <row r="57" spans="1:13" ht="16.5" customHeight="1" thickBot="1">
      <c r="A57" s="994"/>
      <c r="B57" s="1021"/>
      <c r="C57" s="1020"/>
      <c r="D57" s="994"/>
      <c r="E57" s="1059" t="s">
        <v>694</v>
      </c>
      <c r="F57" s="994"/>
      <c r="G57" s="1039">
        <v>0</v>
      </c>
      <c r="H57" s="1065">
        <v>0</v>
      </c>
      <c r="I57" s="994"/>
      <c r="J57" s="1034"/>
      <c r="K57" s="1034"/>
      <c r="L57" s="1034"/>
      <c r="M57" s="1060"/>
    </row>
    <row r="58" spans="1:13" ht="16.5" customHeight="1" thickBot="1">
      <c r="A58" s="994"/>
      <c r="B58" s="1021"/>
      <c r="C58" s="1020"/>
      <c r="D58" s="1020"/>
      <c r="E58" s="1066" t="s">
        <v>695</v>
      </c>
      <c r="F58" s="994"/>
      <c r="G58" s="1067">
        <v>0</v>
      </c>
      <c r="H58" s="1034"/>
      <c r="I58" s="994"/>
      <c r="J58" s="1034"/>
      <c r="K58" s="1034"/>
      <c r="L58" s="1034"/>
      <c r="M58" s="1060"/>
    </row>
    <row r="59" spans="1:13" ht="14.25" thickTop="1" thickBot="1">
      <c r="A59" s="994"/>
      <c r="B59" s="1021"/>
      <c r="C59" s="1020"/>
      <c r="D59" s="1020"/>
      <c r="E59" s="1066"/>
      <c r="F59" s="994"/>
      <c r="G59" s="1034"/>
      <c r="H59" s="1034"/>
      <c r="I59" s="994"/>
      <c r="J59" s="1034"/>
      <c r="K59" s="1034"/>
      <c r="L59" s="1034"/>
      <c r="M59" s="1060"/>
    </row>
    <row r="60" spans="1:13" ht="65.25" customHeight="1" thickBot="1">
      <c r="A60" s="994"/>
      <c r="B60" s="1021"/>
      <c r="C60" s="1020"/>
      <c r="D60" s="1463" t="s">
        <v>696</v>
      </c>
      <c r="E60" s="1463"/>
      <c r="F60" s="994"/>
      <c r="G60" s="1068" t="s">
        <v>200</v>
      </c>
      <c r="H60" s="1069" t="s">
        <v>697</v>
      </c>
      <c r="I60" s="1069" t="s">
        <v>698</v>
      </c>
      <c r="J60" s="1069" t="s">
        <v>699</v>
      </c>
      <c r="K60" s="1069" t="s">
        <v>700</v>
      </c>
      <c r="L60" s="1034"/>
      <c r="M60" s="1041"/>
    </row>
    <row r="61" spans="1:13" ht="16.5" customHeight="1" thickBot="1">
      <c r="A61" s="994"/>
      <c r="B61" s="1040"/>
      <c r="C61" s="882"/>
      <c r="D61" s="998"/>
      <c r="E61" s="779"/>
      <c r="F61" s="1020"/>
      <c r="G61" s="1036" t="s">
        <v>203</v>
      </c>
      <c r="H61" s="1036" t="s">
        <v>203</v>
      </c>
      <c r="I61" s="1036" t="s">
        <v>203</v>
      </c>
      <c r="J61" s="1036" t="s">
        <v>203</v>
      </c>
      <c r="K61" s="1036" t="s">
        <v>203</v>
      </c>
      <c r="L61" s="1034"/>
      <c r="M61" s="1041"/>
    </row>
    <row r="62" spans="1:13" ht="16.5" customHeight="1">
      <c r="A62" s="994"/>
      <c r="B62" s="1040"/>
      <c r="C62" s="882"/>
      <c r="D62" s="1014"/>
      <c r="E62" s="779" t="s">
        <v>701</v>
      </c>
      <c r="F62" s="1020"/>
      <c r="G62" s="1070">
        <v>0</v>
      </c>
      <c r="H62" s="1071">
        <v>0</v>
      </c>
      <c r="I62" s="1072">
        <v>0</v>
      </c>
      <c r="J62" s="1072">
        <v>0</v>
      </c>
      <c r="K62" s="1073">
        <v>0</v>
      </c>
      <c r="L62" s="1034"/>
      <c r="M62" s="1041"/>
    </row>
    <row r="63" spans="1:13" ht="16.5" customHeight="1" thickBot="1">
      <c r="A63" s="994"/>
      <c r="B63" s="1040"/>
      <c r="C63" s="882"/>
      <c r="D63" s="1014"/>
      <c r="E63" s="779" t="s">
        <v>702</v>
      </c>
      <c r="F63" s="1020"/>
      <c r="G63" s="1074">
        <v>0</v>
      </c>
      <c r="H63" s="1075">
        <v>0</v>
      </c>
      <c r="I63" s="1076">
        <v>0</v>
      </c>
      <c r="J63" s="1076">
        <v>0</v>
      </c>
      <c r="K63" s="1077">
        <v>0</v>
      </c>
      <c r="L63" s="1034"/>
      <c r="M63" s="1041"/>
    </row>
    <row r="64" spans="1:13" ht="13.5" thickBot="1">
      <c r="A64" s="994"/>
      <c r="B64" s="1040"/>
      <c r="C64" s="882"/>
      <c r="D64" s="1020"/>
      <c r="E64" s="1020"/>
      <c r="F64" s="1020"/>
      <c r="G64" s="1037"/>
      <c r="H64" s="1037"/>
      <c r="I64" s="1034"/>
      <c r="J64" s="1034"/>
      <c r="K64" s="1034"/>
      <c r="L64" s="1034"/>
      <c r="M64" s="1041"/>
    </row>
    <row r="65" spans="1:13" ht="77.25" customHeight="1" thickBot="1">
      <c r="A65" s="994"/>
      <c r="B65" s="1021"/>
      <c r="C65" s="1020"/>
      <c r="D65" s="1463" t="s">
        <v>703</v>
      </c>
      <c r="E65" s="1463"/>
      <c r="F65" s="994"/>
      <c r="G65" s="1078" t="s">
        <v>200</v>
      </c>
      <c r="H65" s="1079" t="s">
        <v>609</v>
      </c>
      <c r="I65" s="1079" t="s">
        <v>704</v>
      </c>
      <c r="J65" s="1079" t="s">
        <v>549</v>
      </c>
      <c r="K65" s="1079" t="s">
        <v>705</v>
      </c>
      <c r="L65" s="1079" t="s">
        <v>551</v>
      </c>
      <c r="M65" s="1041"/>
    </row>
    <row r="66" spans="1:13" ht="16.5" customHeight="1" thickBot="1">
      <c r="A66" s="994"/>
      <c r="B66" s="1021"/>
      <c r="C66" s="1020"/>
      <c r="D66" s="1059"/>
      <c r="E66" s="994"/>
      <c r="F66" s="994"/>
      <c r="G66" s="1036" t="s">
        <v>203</v>
      </c>
      <c r="H66" s="1036" t="s">
        <v>203</v>
      </c>
      <c r="I66" s="1036" t="s">
        <v>203</v>
      </c>
      <c r="J66" s="1036" t="s">
        <v>203</v>
      </c>
      <c r="K66" s="1036" t="s">
        <v>203</v>
      </c>
      <c r="L66" s="1036" t="s">
        <v>203</v>
      </c>
      <c r="M66" s="1041"/>
    </row>
    <row r="67" spans="1:13" ht="16.5" customHeight="1">
      <c r="A67" s="994"/>
      <c r="B67" s="1021"/>
      <c r="C67" s="1020"/>
      <c r="D67" s="1059"/>
      <c r="E67" s="1080" t="s">
        <v>706</v>
      </c>
      <c r="F67" s="994"/>
      <c r="G67" s="1081"/>
      <c r="H67" s="1082"/>
      <c r="I67" s="1083"/>
      <c r="J67" s="1083"/>
      <c r="K67" s="1084"/>
      <c r="L67" s="1085"/>
      <c r="M67" s="1041"/>
    </row>
    <row r="68" spans="1:13" ht="16.5" customHeight="1">
      <c r="A68" s="994"/>
      <c r="B68" s="1021"/>
      <c r="C68" s="1020"/>
      <c r="D68" s="994"/>
      <c r="E68" s="1059" t="s">
        <v>707</v>
      </c>
      <c r="F68" s="994"/>
      <c r="G68" s="1081"/>
      <c r="H68" s="1082"/>
      <c r="I68" s="1083"/>
      <c r="J68" s="1083"/>
      <c r="K68" s="1084"/>
      <c r="L68" s="1085"/>
      <c r="M68" s="1041"/>
    </row>
    <row r="69" spans="1:13" ht="16.5" customHeight="1">
      <c r="A69" s="994"/>
      <c r="B69" s="1021"/>
      <c r="C69" s="1020"/>
      <c r="D69" s="994"/>
      <c r="E69" s="1059" t="s">
        <v>708</v>
      </c>
      <c r="F69" s="994"/>
      <c r="G69" s="1081"/>
      <c r="H69" s="1082"/>
      <c r="I69" s="1083"/>
      <c r="J69" s="1083"/>
      <c r="K69" s="1084"/>
      <c r="L69" s="1085"/>
      <c r="M69" s="1041"/>
    </row>
    <row r="70" spans="1:13" ht="16.5" customHeight="1">
      <c r="A70" s="994"/>
      <c r="B70" s="1021"/>
      <c r="C70" s="1020"/>
      <c r="D70" s="994"/>
      <c r="E70" s="1059" t="s">
        <v>709</v>
      </c>
      <c r="F70" s="994"/>
      <c r="G70" s="1081"/>
      <c r="H70" s="1086"/>
      <c r="I70" s="1087"/>
      <c r="J70" s="1087"/>
      <c r="K70" s="1088"/>
      <c r="L70" s="1089"/>
      <c r="M70" s="1041"/>
    </row>
    <row r="71" spans="1:13" ht="16.5" customHeight="1" thickBot="1">
      <c r="A71" s="994"/>
      <c r="B71" s="1021"/>
      <c r="C71" s="1020"/>
      <c r="D71" s="1020"/>
      <c r="E71" s="1066" t="s">
        <v>710</v>
      </c>
      <c r="F71" s="994"/>
      <c r="G71" s="1090"/>
      <c r="H71" s="1090"/>
      <c r="I71" s="1090"/>
      <c r="J71" s="1090"/>
      <c r="K71" s="1090"/>
      <c r="L71" s="1090"/>
      <c r="M71" s="1041"/>
    </row>
    <row r="72" spans="1:13" ht="16.5" customHeight="1" thickBot="1">
      <c r="A72" s="994"/>
      <c r="B72" s="1091"/>
      <c r="C72" s="1092"/>
      <c r="D72" s="1092"/>
      <c r="E72" s="1093"/>
      <c r="F72" s="1094"/>
      <c r="G72" s="1093"/>
      <c r="H72" s="1095"/>
      <c r="I72" s="1096"/>
      <c r="J72" s="1096"/>
      <c r="K72" s="1096"/>
      <c r="L72" s="1096"/>
      <c r="M72" s="1097"/>
    </row>
    <row r="73" spans="1:13" ht="13.5" thickBot="1">
      <c r="A73" s="994"/>
      <c r="B73" s="994"/>
      <c r="C73" s="1094"/>
      <c r="D73" s="994"/>
      <c r="E73" s="994"/>
      <c r="F73" s="994"/>
      <c r="G73" s="1034"/>
      <c r="H73" s="1034"/>
      <c r="I73" s="1034"/>
      <c r="J73" s="1034"/>
      <c r="K73" s="1034"/>
      <c r="L73" s="1034"/>
      <c r="M73" s="994"/>
    </row>
    <row r="74" spans="1:13" ht="16.5" customHeight="1">
      <c r="A74" s="994"/>
      <c r="B74" s="997"/>
      <c r="C74" s="998" t="s">
        <v>711</v>
      </c>
      <c r="D74" s="1000"/>
      <c r="E74" s="1098"/>
      <c r="F74" s="1000"/>
      <c r="G74" s="1033"/>
      <c r="H74" s="1033"/>
      <c r="I74" s="1032"/>
      <c r="J74" s="1032"/>
      <c r="K74" s="1032"/>
      <c r="L74" s="1032"/>
      <c r="M74" s="1099"/>
    </row>
    <row r="75" spans="1:13" ht="13.5" thickBot="1">
      <c r="A75" s="994"/>
      <c r="B75" s="1003"/>
      <c r="C75" s="1058"/>
      <c r="D75" s="993"/>
      <c r="E75" s="1018"/>
      <c r="F75" s="993"/>
      <c r="G75" s="1013"/>
      <c r="H75" s="1013"/>
      <c r="I75" s="1034"/>
      <c r="J75" s="1034"/>
      <c r="K75" s="1034"/>
      <c r="L75" s="1034"/>
      <c r="M75" s="1041"/>
    </row>
    <row r="76" spans="1:13" ht="81.75" customHeight="1" thickBot="1">
      <c r="A76" s="994"/>
      <c r="B76" s="1021"/>
      <c r="C76" s="1020"/>
      <c r="D76" s="1463" t="s">
        <v>712</v>
      </c>
      <c r="E76" s="1463"/>
      <c r="F76" s="1464"/>
      <c r="G76" s="1078" t="s">
        <v>200</v>
      </c>
      <c r="H76" s="1079" t="s">
        <v>609</v>
      </c>
      <c r="I76" s="1079" t="s">
        <v>704</v>
      </c>
      <c r="J76" s="1079" t="s">
        <v>549</v>
      </c>
      <c r="K76" s="1079" t="s">
        <v>705</v>
      </c>
      <c r="L76" s="1079" t="s">
        <v>551</v>
      </c>
      <c r="M76" s="1041"/>
    </row>
    <row r="77" spans="1:13" ht="16.5" customHeight="1" thickBot="1">
      <c r="A77" s="994"/>
      <c r="B77" s="1021"/>
      <c r="C77" s="1020"/>
      <c r="D77" s="1059"/>
      <c r="E77" s="994"/>
      <c r="F77" s="994"/>
      <c r="G77" s="1036" t="s">
        <v>203</v>
      </c>
      <c r="H77" s="1036" t="s">
        <v>203</v>
      </c>
      <c r="I77" s="1036" t="s">
        <v>203</v>
      </c>
      <c r="J77" s="1036" t="s">
        <v>203</v>
      </c>
      <c r="K77" s="1036" t="s">
        <v>203</v>
      </c>
      <c r="L77" s="1036" t="s">
        <v>203</v>
      </c>
      <c r="M77" s="1041"/>
    </row>
    <row r="78" spans="1:13" ht="16.5" customHeight="1">
      <c r="A78" s="994"/>
      <c r="B78" s="1021"/>
      <c r="C78" s="1020"/>
      <c r="D78" s="994"/>
      <c r="E78" s="1469" t="s">
        <v>707</v>
      </c>
      <c r="F78" s="1470"/>
      <c r="G78" s="1100">
        <v>0</v>
      </c>
      <c r="H78" s="1101"/>
      <c r="I78" s="1102"/>
      <c r="J78" s="1102"/>
      <c r="K78" s="1103"/>
      <c r="L78" s="1104"/>
      <c r="M78" s="1041"/>
    </row>
    <row r="79" spans="1:13" ht="16.5" customHeight="1">
      <c r="A79" s="994"/>
      <c r="B79" s="1021"/>
      <c r="C79" s="1020"/>
      <c r="D79" s="994"/>
      <c r="E79" s="1469" t="s">
        <v>708</v>
      </c>
      <c r="F79" s="1470"/>
      <c r="G79" s="1100">
        <v>0</v>
      </c>
      <c r="H79" s="1101"/>
      <c r="I79" s="1102"/>
      <c r="J79" s="1102"/>
      <c r="K79" s="1103"/>
      <c r="L79" s="1104"/>
      <c r="M79" s="1041"/>
    </row>
    <row r="80" spans="1:13" ht="16.5" customHeight="1">
      <c r="A80" s="994"/>
      <c r="B80" s="1021"/>
      <c r="C80" s="1020"/>
      <c r="D80" s="994"/>
      <c r="E80" s="1469" t="s">
        <v>709</v>
      </c>
      <c r="F80" s="1470"/>
      <c r="G80" s="1100">
        <v>0</v>
      </c>
      <c r="H80" s="1105"/>
      <c r="I80" s="1106"/>
      <c r="J80" s="1106"/>
      <c r="K80" s="1107"/>
      <c r="L80" s="1108"/>
      <c r="M80" s="1041"/>
    </row>
    <row r="81" spans="1:13" ht="16.5" customHeight="1" thickBot="1">
      <c r="A81" s="994"/>
      <c r="B81" s="1021"/>
      <c r="C81" s="1020"/>
      <c r="D81" s="1020"/>
      <c r="E81" s="1471" t="s">
        <v>200</v>
      </c>
      <c r="F81" s="1472"/>
      <c r="G81" s="1109">
        <v>0</v>
      </c>
      <c r="H81" s="1109">
        <v>0</v>
      </c>
      <c r="I81" s="1109">
        <v>0</v>
      </c>
      <c r="J81" s="1109">
        <v>0</v>
      </c>
      <c r="K81" s="1109">
        <v>0</v>
      </c>
      <c r="L81" s="1109">
        <v>0</v>
      </c>
      <c r="M81" s="1041"/>
    </row>
    <row r="82" spans="1:13" ht="13.5" thickBot="1">
      <c r="A82" s="994"/>
      <c r="B82" s="1021"/>
      <c r="C82" s="1020"/>
      <c r="D82" s="1020"/>
      <c r="E82" s="1059"/>
      <c r="F82" s="994"/>
      <c r="G82" s="1110"/>
      <c r="H82" s="1110"/>
      <c r="I82" s="1034"/>
      <c r="J82" s="1034"/>
      <c r="K82" s="1034"/>
      <c r="L82" s="1034"/>
      <c r="M82" s="1041"/>
    </row>
    <row r="83" spans="1:13" ht="16.5" customHeight="1" thickBot="1">
      <c r="A83" s="994"/>
      <c r="B83" s="1021"/>
      <c r="C83" s="1020"/>
      <c r="D83" s="1473" t="s">
        <v>713</v>
      </c>
      <c r="E83" s="1473"/>
      <c r="F83" s="1474"/>
      <c r="G83" s="1111">
        <v>0</v>
      </c>
      <c r="H83" s="1112"/>
      <c r="I83" s="1113">
        <v>0</v>
      </c>
      <c r="J83" s="1112"/>
      <c r="K83" s="1114"/>
      <c r="L83" s="1115"/>
      <c r="M83" s="1041"/>
    </row>
    <row r="84" spans="1:13" ht="13.5" thickBot="1">
      <c r="A84" s="994"/>
      <c r="B84" s="1091"/>
      <c r="C84" s="1092"/>
      <c r="D84" s="1092"/>
      <c r="E84" s="1116"/>
      <c r="F84" s="1094"/>
      <c r="G84" s="1117"/>
      <c r="H84" s="1118"/>
      <c r="I84" s="1117"/>
      <c r="J84" s="1117"/>
      <c r="K84" s="1117"/>
      <c r="L84" s="1117"/>
      <c r="M84" s="1119"/>
    </row>
    <row r="85" spans="1:13" ht="13.5" thickBot="1">
      <c r="A85" s="1059"/>
      <c r="B85" s="1059"/>
      <c r="C85" s="1061"/>
      <c r="D85" s="1020"/>
      <c r="E85" s="1059"/>
      <c r="F85" s="994"/>
      <c r="G85" s="1034"/>
      <c r="H85" s="1110"/>
      <c r="I85" s="1034"/>
      <c r="J85" s="1034"/>
      <c r="K85" s="1034"/>
      <c r="L85" s="1034"/>
      <c r="M85" s="994"/>
    </row>
    <row r="86" spans="1:13" ht="16.5" customHeight="1" thickBot="1">
      <c r="A86" s="994"/>
      <c r="B86" s="1120"/>
      <c r="C86" s="1030" t="s">
        <v>714</v>
      </c>
      <c r="D86" s="1121"/>
      <c r="E86" s="1122"/>
      <c r="F86" s="1123"/>
      <c r="G86" s="1124"/>
      <c r="H86" s="1124"/>
      <c r="I86" s="1125"/>
      <c r="J86" s="1034"/>
      <c r="K86" s="1034"/>
      <c r="L86" s="1034"/>
      <c r="M86" s="994"/>
    </row>
    <row r="87" spans="1:13" ht="16.5" customHeight="1" thickBot="1">
      <c r="A87" s="994"/>
      <c r="B87" s="1021"/>
      <c r="C87" s="1020"/>
      <c r="D87" s="1020"/>
      <c r="E87" s="1066"/>
      <c r="F87" s="994"/>
      <c r="G87" s="1036" t="s">
        <v>203</v>
      </c>
      <c r="H87" s="1110"/>
      <c r="I87" s="1060"/>
      <c r="J87" s="1034"/>
      <c r="K87" s="1034"/>
      <c r="L87" s="1034"/>
      <c r="M87" s="994"/>
    </row>
    <row r="88" spans="1:13" ht="30.75" customHeight="1" thickBot="1">
      <c r="A88" s="994"/>
      <c r="B88" s="1021"/>
      <c r="C88" s="1020"/>
      <c r="D88" s="1463" t="s">
        <v>715</v>
      </c>
      <c r="E88" s="1463"/>
      <c r="F88" s="1464"/>
      <c r="G88" s="1126"/>
      <c r="H88" s="1034"/>
      <c r="I88" s="1060"/>
      <c r="J88" s="1034"/>
      <c r="K88" s="1034"/>
      <c r="L88" s="1034"/>
      <c r="M88" s="994"/>
    </row>
    <row r="89" spans="1:13" ht="31.5" customHeight="1" thickBot="1">
      <c r="A89" s="994"/>
      <c r="B89" s="1021"/>
      <c r="C89" s="1020"/>
      <c r="D89" s="1463" t="s">
        <v>1031</v>
      </c>
      <c r="E89" s="1463"/>
      <c r="F89" s="1464"/>
      <c r="G89" s="1126"/>
      <c r="H89" s="1034"/>
      <c r="I89" s="1060"/>
      <c r="J89" s="1034"/>
      <c r="K89" s="1034"/>
      <c r="L89" s="1034"/>
      <c r="M89" s="994"/>
    </row>
    <row r="90" spans="1:13" ht="13.5" thickBot="1">
      <c r="A90" s="994"/>
      <c r="B90" s="1021"/>
      <c r="C90" s="1020"/>
      <c r="D90" s="1020"/>
      <c r="E90" s="1059"/>
      <c r="F90" s="994"/>
      <c r="G90" s="1034"/>
      <c r="H90" s="1034"/>
      <c r="I90" s="1060"/>
      <c r="J90" s="1034"/>
      <c r="K90" s="1034"/>
      <c r="L90" s="1034"/>
      <c r="M90" s="994"/>
    </row>
    <row r="91" spans="1:13" ht="16.5" customHeight="1" thickBot="1">
      <c r="A91" s="994"/>
      <c r="B91" s="1021"/>
      <c r="C91" s="1020"/>
      <c r="D91" s="1020"/>
      <c r="E91" s="1127"/>
      <c r="F91" s="994"/>
      <c r="G91" s="1036" t="s">
        <v>203</v>
      </c>
      <c r="H91" s="1036" t="s">
        <v>517</v>
      </c>
      <c r="I91" s="1128"/>
      <c r="J91" s="1129"/>
      <c r="K91" s="1129"/>
      <c r="L91" s="1034"/>
      <c r="M91" s="994"/>
    </row>
    <row r="92" spans="1:13" ht="32.25" customHeight="1" thickBot="1">
      <c r="A92" s="994"/>
      <c r="B92" s="1021"/>
      <c r="C92" s="1020"/>
      <c r="D92" s="1463" t="s">
        <v>716</v>
      </c>
      <c r="E92" s="1463"/>
      <c r="F92" s="1464"/>
      <c r="G92" s="1130"/>
      <c r="H92" s="1131"/>
      <c r="I92" s="1132"/>
      <c r="J92" s="1133"/>
      <c r="K92" s="1133"/>
      <c r="L92" s="1034"/>
      <c r="M92" s="994"/>
    </row>
    <row r="93" spans="1:13" ht="14.25" thickTop="1" thickBot="1">
      <c r="A93" s="994"/>
      <c r="B93" s="1040"/>
      <c r="C93" s="994"/>
      <c r="D93" s="1134"/>
      <c r="E93" s="994"/>
      <c r="F93" s="994"/>
      <c r="G93" s="994"/>
      <c r="H93" s="994"/>
      <c r="I93" s="1132"/>
      <c r="J93" s="1135"/>
      <c r="K93" s="1135"/>
      <c r="L93" s="1034"/>
      <c r="M93" s="994"/>
    </row>
    <row r="94" spans="1:13" ht="33.75" customHeight="1" thickBot="1">
      <c r="A94" s="994"/>
      <c r="B94" s="1021"/>
      <c r="C94" s="1020"/>
      <c r="D94" s="1463" t="s">
        <v>717</v>
      </c>
      <c r="E94" s="1463"/>
      <c r="F94" s="1464"/>
      <c r="G94" s="1036" t="s">
        <v>203</v>
      </c>
      <c r="H94" s="1036" t="s">
        <v>517</v>
      </c>
      <c r="I94" s="1136"/>
      <c r="J94" s="1135"/>
      <c r="K94" s="1135"/>
      <c r="L94" s="1034"/>
      <c r="M94" s="994"/>
    </row>
    <row r="95" spans="1:13" ht="16.5" customHeight="1">
      <c r="A95" s="994"/>
      <c r="B95" s="1021"/>
      <c r="C95" s="1020"/>
      <c r="D95" s="994"/>
      <c r="E95" s="1059" t="s">
        <v>222</v>
      </c>
      <c r="F95" s="994"/>
      <c r="G95" s="1039"/>
      <c r="H95" s="1039"/>
      <c r="I95" s="1132"/>
      <c r="J95" s="1133"/>
      <c r="K95" s="1133"/>
      <c r="L95" s="1034"/>
      <c r="M95" s="994"/>
    </row>
    <row r="96" spans="1:13" ht="16.5" customHeight="1">
      <c r="A96" s="994"/>
      <c r="B96" s="1021"/>
      <c r="C96" s="1020"/>
      <c r="D96" s="994"/>
      <c r="E96" s="1059" t="s">
        <v>223</v>
      </c>
      <c r="F96" s="994"/>
      <c r="G96" s="1039"/>
      <c r="H96" s="1039"/>
      <c r="I96" s="1132"/>
      <c r="J96" s="1133"/>
      <c r="K96" s="1133"/>
      <c r="L96" s="1034"/>
      <c r="M96" s="994"/>
    </row>
    <row r="97" spans="1:13" ht="16.5" customHeight="1" thickBot="1">
      <c r="A97" s="994"/>
      <c r="B97" s="1021"/>
      <c r="C97" s="1020"/>
      <c r="D97" s="994"/>
      <c r="E97" s="1059" t="s">
        <v>718</v>
      </c>
      <c r="F97" s="994"/>
      <c r="G97" s="1039"/>
      <c r="H97" s="1065"/>
      <c r="I97" s="1132"/>
      <c r="J97" s="1133"/>
      <c r="K97" s="1133"/>
      <c r="L97" s="1034"/>
      <c r="M97" s="994"/>
    </row>
    <row r="98" spans="1:13" ht="27" customHeight="1">
      <c r="A98" s="994"/>
      <c r="B98" s="1021"/>
      <c r="C98" s="1020"/>
      <c r="D98" s="994"/>
      <c r="E98" s="1465" t="s">
        <v>719</v>
      </c>
      <c r="F98" s="1466"/>
      <c r="G98" s="1137"/>
      <c r="H98" s="1138"/>
      <c r="I98" s="1132"/>
      <c r="J98" s="1133"/>
      <c r="K98" s="1135"/>
      <c r="L98" s="1034"/>
      <c r="M98" s="994"/>
    </row>
    <row r="99" spans="1:13" ht="16.5" customHeight="1" thickBot="1">
      <c r="A99" s="994"/>
      <c r="B99" s="1021"/>
      <c r="C99" s="1467" t="s">
        <v>720</v>
      </c>
      <c r="D99" s="1467"/>
      <c r="E99" s="1467"/>
      <c r="F99" s="1468"/>
      <c r="G99" s="1067"/>
      <c r="H99" s="1067"/>
      <c r="I99" s="1139"/>
      <c r="J99" s="1140"/>
      <c r="K99" s="1140"/>
      <c r="L99" s="1034"/>
      <c r="M99" s="994"/>
    </row>
    <row r="100" spans="1:13" ht="14.25" thickTop="1" thickBot="1">
      <c r="A100" s="994"/>
      <c r="B100" s="1091"/>
      <c r="C100" s="1092"/>
      <c r="D100" s="1092"/>
      <c r="E100" s="1092"/>
      <c r="F100" s="1092"/>
      <c r="G100" s="1094"/>
      <c r="H100" s="1094"/>
      <c r="I100" s="1119"/>
      <c r="J100" s="994"/>
      <c r="K100" s="994"/>
      <c r="L100" s="994"/>
      <c r="M100" s="994"/>
    </row>
    <row r="101" spans="1:13">
      <c r="A101" s="994"/>
      <c r="B101" s="789"/>
      <c r="C101" s="789"/>
      <c r="D101" s="789"/>
      <c r="E101" s="789"/>
      <c r="F101" s="789"/>
      <c r="G101" s="994"/>
      <c r="H101" s="994"/>
      <c r="I101" s="994"/>
      <c r="J101" s="994"/>
      <c r="K101" s="994"/>
      <c r="L101" s="994"/>
      <c r="M101" s="994"/>
    </row>
  </sheetData>
  <mergeCells count="45">
    <mergeCell ref="C20:F20"/>
    <mergeCell ref="C9:F9"/>
    <mergeCell ref="D10:F10"/>
    <mergeCell ref="D11:F11"/>
    <mergeCell ref="D12:F12"/>
    <mergeCell ref="D13:F13"/>
    <mergeCell ref="D14:F14"/>
    <mergeCell ref="D15:F15"/>
    <mergeCell ref="C16:F16"/>
    <mergeCell ref="D17:F17"/>
    <mergeCell ref="D18:F18"/>
    <mergeCell ref="D19:F19"/>
    <mergeCell ref="E44:F44"/>
    <mergeCell ref="D21:F21"/>
    <mergeCell ref="D22:F22"/>
    <mergeCell ref="D23:F23"/>
    <mergeCell ref="C25:F25"/>
    <mergeCell ref="E34:F34"/>
    <mergeCell ref="E36:F36"/>
    <mergeCell ref="E37:F37"/>
    <mergeCell ref="E40:F40"/>
    <mergeCell ref="E41:F41"/>
    <mergeCell ref="E42:F42"/>
    <mergeCell ref="E43:F43"/>
    <mergeCell ref="E79:F79"/>
    <mergeCell ref="E45:F45"/>
    <mergeCell ref="E46:F46"/>
    <mergeCell ref="E47:F47"/>
    <mergeCell ref="E48:F48"/>
    <mergeCell ref="E49:F49"/>
    <mergeCell ref="E50:F50"/>
    <mergeCell ref="E51:F51"/>
    <mergeCell ref="D60:E60"/>
    <mergeCell ref="D65:E65"/>
    <mergeCell ref="D76:F76"/>
    <mergeCell ref="E78:F78"/>
    <mergeCell ref="D94:F94"/>
    <mergeCell ref="E98:F98"/>
    <mergeCell ref="C99:F99"/>
    <mergeCell ref="E80:F80"/>
    <mergeCell ref="E81:F81"/>
    <mergeCell ref="D83:F83"/>
    <mergeCell ref="D88:F88"/>
    <mergeCell ref="D89:F89"/>
    <mergeCell ref="D92:F92"/>
  </mergeCells>
  <phoneticPr fontId="1" type="noConversion"/>
  <dataValidations count="1">
    <dataValidation type="decimal" operator="greaterThanOrEqual" allowBlank="1" showInputMessage="1" showErrorMessage="1" sqref="J38:J39 G38:H39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4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C5FFFF"/>
  </sheetPr>
  <dimension ref="A1:I80"/>
  <sheetViews>
    <sheetView workbookViewId="0">
      <selection sqref="A1:XFD1048576"/>
    </sheetView>
  </sheetViews>
  <sheetFormatPr defaultRowHeight="10.5"/>
  <cols>
    <col min="1" max="1" width="8.140625" style="1144" customWidth="1"/>
    <col min="2" max="2" width="15.42578125" style="1144" customWidth="1"/>
    <col min="3" max="3" width="48.7109375" style="1144" bestFit="1" customWidth="1"/>
    <col min="4" max="4" width="15.42578125" style="1144" bestFit="1" customWidth="1"/>
    <col min="5" max="16384" width="9.140625" style="1144"/>
  </cols>
  <sheetData>
    <row r="1" spans="1:9" ht="12.75" customHeight="1">
      <c r="A1" s="1141" t="s">
        <v>527</v>
      </c>
      <c r="B1" s="1142"/>
      <c r="C1" s="1142"/>
      <c r="D1" s="1142"/>
      <c r="E1" s="1142"/>
      <c r="F1" s="1143" t="s">
        <v>985</v>
      </c>
      <c r="G1" s="1142"/>
      <c r="H1" s="1142"/>
      <c r="I1" s="1142"/>
    </row>
    <row r="2" spans="1:9" s="1147" customFormat="1" ht="12.75">
      <c r="A2" s="1145"/>
      <c r="B2" s="1146"/>
      <c r="C2" s="1146"/>
      <c r="D2" s="1146"/>
      <c r="E2" s="1146"/>
      <c r="F2" s="1146"/>
      <c r="G2" s="1146"/>
      <c r="H2" s="1146"/>
      <c r="I2" s="1146"/>
    </row>
    <row r="3" spans="1:9" ht="12.75">
      <c r="A3" s="1141" t="s">
        <v>81</v>
      </c>
      <c r="B3" s="1142"/>
      <c r="C3" s="1142"/>
      <c r="D3" s="1142"/>
      <c r="E3" s="1142"/>
      <c r="F3" s="1142"/>
      <c r="G3" s="1142"/>
      <c r="H3" s="1142"/>
      <c r="I3" s="1142"/>
    </row>
    <row r="4" spans="1:9" ht="12.75">
      <c r="A4" s="1141"/>
      <c r="B4" s="1142"/>
      <c r="C4" s="1142"/>
      <c r="D4" s="1142"/>
      <c r="E4" s="1142"/>
      <c r="F4" s="1142"/>
      <c r="G4" s="1142"/>
      <c r="H4" s="1142"/>
      <c r="I4" s="1142"/>
    </row>
    <row r="5" spans="1:9" ht="20.25">
      <c r="A5" s="1494" t="s">
        <v>721</v>
      </c>
      <c r="B5" s="1494"/>
      <c r="C5" s="1494"/>
      <c r="D5" s="1148"/>
      <c r="E5" s="1149"/>
      <c r="F5" s="1149"/>
      <c r="G5" s="1149"/>
    </row>
    <row r="6" spans="1:9" ht="15" thickBot="1">
      <c r="A6" s="1150"/>
      <c r="B6" s="1150"/>
      <c r="C6" s="474"/>
      <c r="D6" s="474"/>
      <c r="E6" s="1151"/>
      <c r="F6" s="1151"/>
      <c r="G6" s="1151"/>
    </row>
    <row r="7" spans="1:9" ht="15.75" thickBot="1">
      <c r="A7" s="1150"/>
      <c r="B7" s="1150"/>
      <c r="C7" s="1152"/>
      <c r="D7" s="1153" t="s">
        <v>190</v>
      </c>
      <c r="E7" s="1153" t="s">
        <v>79</v>
      </c>
      <c r="F7" s="1153" t="s">
        <v>80</v>
      </c>
      <c r="G7" s="1154" t="s">
        <v>81</v>
      </c>
      <c r="H7" s="1155" t="s">
        <v>82</v>
      </c>
      <c r="I7" s="1156" t="s">
        <v>44</v>
      </c>
    </row>
    <row r="8" spans="1:9" ht="15">
      <c r="A8" s="1150"/>
      <c r="B8" s="1150"/>
      <c r="C8" s="1157" t="s">
        <v>722</v>
      </c>
      <c r="D8" s="1158"/>
      <c r="E8" s="1495" t="s">
        <v>723</v>
      </c>
      <c r="F8" s="1496"/>
      <c r="G8" s="1497"/>
      <c r="H8" s="1498" t="s">
        <v>724</v>
      </c>
      <c r="I8" s="1499"/>
    </row>
    <row r="9" spans="1:9" ht="14.25">
      <c r="A9" s="1150"/>
      <c r="B9" s="1150"/>
      <c r="C9" s="1159" t="s">
        <v>725</v>
      </c>
      <c r="D9" s="1160" t="s">
        <v>726</v>
      </c>
      <c r="E9" s="1161"/>
      <c r="F9" s="1162"/>
      <c r="G9" s="1163">
        <v>1.079585</v>
      </c>
    </row>
    <row r="10" spans="1:9" ht="14.25">
      <c r="A10" s="1150"/>
      <c r="B10" s="1150"/>
      <c r="C10" s="1159" t="s">
        <v>727</v>
      </c>
      <c r="D10" s="1160" t="s">
        <v>728</v>
      </c>
      <c r="E10" s="1161"/>
      <c r="F10" s="1162"/>
      <c r="G10" s="1163">
        <v>80.599999999999994</v>
      </c>
    </row>
    <row r="11" spans="1:9" ht="14.25">
      <c r="A11" s="1150"/>
      <c r="B11" s="1150"/>
      <c r="C11" s="1159" t="s">
        <v>729</v>
      </c>
      <c r="D11" s="1160" t="s">
        <v>730</v>
      </c>
      <c r="E11" s="1161"/>
      <c r="F11" s="1162"/>
      <c r="G11" s="1163">
        <v>46.3</v>
      </c>
    </row>
    <row r="12" spans="1:9" ht="15.75" thickBot="1">
      <c r="A12" s="1150"/>
      <c r="B12" s="1150"/>
      <c r="C12" s="1159"/>
      <c r="D12" s="1164"/>
      <c r="E12" s="1165"/>
      <c r="F12" s="1166"/>
      <c r="G12" s="1167"/>
    </row>
    <row r="13" spans="1:9" ht="15">
      <c r="A13" s="1150"/>
      <c r="B13" s="1150"/>
      <c r="C13" s="1168" t="s">
        <v>731</v>
      </c>
      <c r="D13" s="1158"/>
      <c r="E13" s="1169"/>
      <c r="F13" s="1151"/>
      <c r="G13" s="1170"/>
    </row>
    <row r="14" spans="1:9" ht="14.25">
      <c r="A14" s="1150"/>
      <c r="B14" s="1150"/>
      <c r="C14" s="1171"/>
      <c r="D14" s="1160"/>
      <c r="E14" s="1169"/>
      <c r="F14" s="1151"/>
      <c r="G14" s="1170"/>
    </row>
    <row r="15" spans="1:9" ht="14.25">
      <c r="A15" s="1150"/>
      <c r="B15" s="1150"/>
      <c r="C15" s="1172" t="s">
        <v>732</v>
      </c>
      <c r="D15" s="1160"/>
      <c r="E15" s="1169"/>
      <c r="F15" s="1151"/>
      <c r="G15" s="1170"/>
    </row>
    <row r="16" spans="1:9" ht="14.25">
      <c r="A16" s="1150"/>
      <c r="B16" s="1150"/>
      <c r="C16" s="1172" t="s">
        <v>733</v>
      </c>
      <c r="D16" s="1160"/>
      <c r="E16" s="1169"/>
      <c r="F16" s="1151"/>
      <c r="G16" s="1170"/>
    </row>
    <row r="17" spans="1:7" ht="14.25">
      <c r="A17" s="1150"/>
      <c r="B17" s="1150"/>
      <c r="C17" s="1173" t="s">
        <v>734</v>
      </c>
      <c r="D17" s="1160" t="s">
        <v>735</v>
      </c>
      <c r="E17" s="1161"/>
      <c r="F17" s="1162"/>
      <c r="G17" s="1163">
        <v>1</v>
      </c>
    </row>
    <row r="18" spans="1:7" ht="14.25">
      <c r="A18" s="1150"/>
      <c r="B18" s="1150"/>
      <c r="C18" s="1173" t="s">
        <v>223</v>
      </c>
      <c r="D18" s="1160" t="s">
        <v>735</v>
      </c>
      <c r="E18" s="1161"/>
      <c r="F18" s="1162"/>
      <c r="G18" s="1163">
        <v>19</v>
      </c>
    </row>
    <row r="19" spans="1:7" ht="14.25">
      <c r="A19" s="1150"/>
      <c r="B19" s="1150"/>
      <c r="C19" s="1173" t="s">
        <v>222</v>
      </c>
      <c r="D19" s="1160" t="s">
        <v>735</v>
      </c>
      <c r="E19" s="1161"/>
      <c r="F19" s="1162"/>
      <c r="G19" s="1163">
        <v>10819</v>
      </c>
    </row>
    <row r="20" spans="1:7" ht="14.25">
      <c r="A20" s="1150"/>
      <c r="B20" s="1150"/>
      <c r="C20" s="1173" t="s">
        <v>736</v>
      </c>
      <c r="D20" s="1160" t="s">
        <v>735</v>
      </c>
      <c r="E20" s="1161"/>
      <c r="F20" s="1162"/>
      <c r="G20" s="1163">
        <v>1</v>
      </c>
    </row>
    <row r="21" spans="1:7" ht="14.25">
      <c r="A21" s="1150"/>
      <c r="B21" s="1150"/>
      <c r="C21" s="1171"/>
      <c r="D21" s="1160"/>
      <c r="E21" s="1169"/>
      <c r="F21" s="1151"/>
      <c r="G21" s="1170"/>
    </row>
    <row r="22" spans="1:7" ht="14.25">
      <c r="A22" s="1150"/>
      <c r="B22" s="1150"/>
      <c r="C22" s="1172" t="s">
        <v>737</v>
      </c>
      <c r="D22" s="1160"/>
      <c r="E22" s="1169"/>
      <c r="F22" s="1151"/>
      <c r="G22" s="1170"/>
    </row>
    <row r="23" spans="1:7" ht="14.25">
      <c r="A23" s="1150"/>
      <c r="B23" s="1150"/>
      <c r="C23" s="1173" t="s">
        <v>402</v>
      </c>
      <c r="D23" s="1160" t="s">
        <v>210</v>
      </c>
      <c r="E23" s="1161"/>
      <c r="F23" s="1162"/>
      <c r="G23" s="1163">
        <v>277.60000000000002</v>
      </c>
    </row>
    <row r="24" spans="1:7" ht="14.25">
      <c r="A24" s="1150"/>
      <c r="B24" s="1150"/>
      <c r="C24" s="1173" t="s">
        <v>403</v>
      </c>
      <c r="D24" s="1160" t="s">
        <v>210</v>
      </c>
      <c r="E24" s="1161"/>
      <c r="F24" s="1162"/>
      <c r="G24" s="1163">
        <v>186.7</v>
      </c>
    </row>
    <row r="25" spans="1:7" ht="14.25">
      <c r="A25" s="1150"/>
      <c r="B25" s="1150"/>
      <c r="C25" s="1173" t="s">
        <v>223</v>
      </c>
      <c r="D25" s="1160" t="s">
        <v>210</v>
      </c>
      <c r="E25" s="1161"/>
      <c r="F25" s="1162"/>
      <c r="G25" s="1163">
        <v>93.7</v>
      </c>
    </row>
    <row r="26" spans="1:7" ht="15" thickBot="1">
      <c r="A26" s="1150"/>
      <c r="B26" s="1150"/>
      <c r="C26" s="1173" t="s">
        <v>222</v>
      </c>
      <c r="D26" s="1160" t="s">
        <v>210</v>
      </c>
      <c r="E26" s="1161"/>
      <c r="F26" s="1162"/>
      <c r="G26" s="1163">
        <v>12.3</v>
      </c>
    </row>
    <row r="27" spans="1:7" ht="15" thickBot="1">
      <c r="A27" s="1150"/>
      <c r="B27" s="1150"/>
      <c r="C27" s="1174" t="s">
        <v>200</v>
      </c>
      <c r="D27" s="1160"/>
      <c r="E27" s="1175"/>
      <c r="F27" s="1176"/>
      <c r="G27" s="1177">
        <v>570.29999999999995</v>
      </c>
    </row>
    <row r="28" spans="1:7" ht="14.25">
      <c r="A28" s="1150"/>
      <c r="B28" s="1150"/>
      <c r="C28" s="1171"/>
      <c r="D28" s="1160"/>
      <c r="E28" s="1178"/>
      <c r="F28" s="1179"/>
      <c r="G28" s="1180"/>
    </row>
    <row r="29" spans="1:7" ht="14.25">
      <c r="A29" s="1150"/>
      <c r="B29" s="1150"/>
      <c r="C29" s="1172" t="s">
        <v>738</v>
      </c>
      <c r="D29" s="1160"/>
      <c r="E29" s="1178"/>
      <c r="F29" s="1179"/>
      <c r="G29" s="1180"/>
    </row>
    <row r="30" spans="1:7" ht="14.25">
      <c r="A30" s="1150"/>
      <c r="B30" s="1150"/>
      <c r="C30" s="1173" t="s">
        <v>739</v>
      </c>
      <c r="D30" s="1160" t="s">
        <v>210</v>
      </c>
      <c r="E30" s="1161"/>
      <c r="F30" s="1162"/>
      <c r="G30" s="1163">
        <v>2179.2925999999998</v>
      </c>
    </row>
    <row r="31" spans="1:7" ht="14.25">
      <c r="A31" s="1150"/>
      <c r="B31" s="1150"/>
      <c r="C31" s="1173" t="s">
        <v>740</v>
      </c>
      <c r="D31" s="1160" t="s">
        <v>210</v>
      </c>
      <c r="E31" s="1161"/>
      <c r="F31" s="1162"/>
      <c r="G31" s="1163">
        <v>2179.2925999999998</v>
      </c>
    </row>
    <row r="32" spans="1:7" ht="14.25">
      <c r="A32" s="1150"/>
      <c r="B32" s="1150"/>
      <c r="C32" s="1171"/>
      <c r="D32" s="1160"/>
      <c r="E32" s="1178"/>
      <c r="F32" s="1179"/>
      <c r="G32" s="1180"/>
    </row>
    <row r="33" spans="1:7" ht="14.25">
      <c r="A33" s="1150"/>
      <c r="B33" s="1150"/>
      <c r="C33" s="1172" t="s">
        <v>741</v>
      </c>
      <c r="D33" s="1160"/>
      <c r="E33" s="1178"/>
      <c r="F33" s="1179"/>
      <c r="G33" s="1180"/>
    </row>
    <row r="34" spans="1:7" ht="14.25">
      <c r="A34" s="1150"/>
      <c r="B34" s="1150"/>
      <c r="C34" s="1173" t="s">
        <v>734</v>
      </c>
      <c r="D34" s="1160" t="s">
        <v>215</v>
      </c>
      <c r="E34" s="1161"/>
      <c r="F34" s="1162"/>
      <c r="G34" s="1163">
        <v>2954.8379382999997</v>
      </c>
    </row>
    <row r="35" spans="1:7" ht="14.25">
      <c r="A35" s="1150"/>
      <c r="B35" s="1150"/>
      <c r="C35" s="1173" t="s">
        <v>223</v>
      </c>
      <c r="D35" s="1160" t="s">
        <v>215</v>
      </c>
      <c r="E35" s="1161"/>
      <c r="F35" s="1162"/>
      <c r="G35" s="1163">
        <v>2482.1083529999996</v>
      </c>
    </row>
    <row r="36" spans="1:7" ht="15" thickBot="1">
      <c r="A36" s="1150"/>
      <c r="B36" s="1150"/>
      <c r="C36" s="1173" t="s">
        <v>222</v>
      </c>
      <c r="D36" s="1160" t="s">
        <v>215</v>
      </c>
      <c r="E36" s="1161"/>
      <c r="F36" s="1162"/>
      <c r="G36" s="1163">
        <v>7216.2041944999992</v>
      </c>
    </row>
    <row r="37" spans="1:7" ht="15" thickBot="1">
      <c r="A37" s="1150"/>
      <c r="B37" s="1150"/>
      <c r="C37" s="1174" t="s">
        <v>200</v>
      </c>
      <c r="D37" s="1160"/>
      <c r="E37" s="1175"/>
      <c r="F37" s="1176"/>
      <c r="G37" s="1177">
        <v>12653.150485799997</v>
      </c>
    </row>
    <row r="38" spans="1:7" ht="14.25">
      <c r="A38" s="1150"/>
      <c r="B38" s="1150"/>
      <c r="C38" s="1171"/>
      <c r="D38" s="1160"/>
      <c r="E38" s="1169"/>
      <c r="F38" s="1151"/>
      <c r="G38" s="1170"/>
    </row>
    <row r="39" spans="1:7" ht="14.25">
      <c r="A39" s="1150"/>
      <c r="B39" s="1150"/>
      <c r="C39" s="1172" t="s">
        <v>742</v>
      </c>
      <c r="D39" s="1160"/>
      <c r="E39" s="1169"/>
      <c r="F39" s="1151"/>
      <c r="G39" s="1170"/>
    </row>
    <row r="40" spans="1:7" ht="14.25">
      <c r="A40" s="1150"/>
      <c r="B40" s="1150"/>
      <c r="C40" s="1173" t="s">
        <v>743</v>
      </c>
      <c r="D40" s="1160" t="s">
        <v>744</v>
      </c>
      <c r="E40" s="1161"/>
      <c r="F40" s="1162"/>
      <c r="G40" s="1163">
        <v>675.23700000000008</v>
      </c>
    </row>
    <row r="41" spans="1:7" ht="14.25">
      <c r="A41" s="1150"/>
      <c r="B41" s="1150"/>
      <c r="C41" s="1173" t="s">
        <v>745</v>
      </c>
      <c r="D41" s="1160" t="s">
        <v>746</v>
      </c>
      <c r="E41" s="1161"/>
      <c r="F41" s="1162"/>
      <c r="G41" s="1181">
        <v>5.3365128373189352E-2</v>
      </c>
    </row>
    <row r="42" spans="1:7" ht="14.25">
      <c r="A42" s="1150"/>
      <c r="B42" s="1150"/>
      <c r="C42" s="1171"/>
      <c r="D42" s="1160"/>
      <c r="E42" s="1178"/>
      <c r="F42" s="1179"/>
      <c r="G42" s="1180"/>
    </row>
    <row r="43" spans="1:7" ht="15.75" thickBot="1">
      <c r="A43" s="1150"/>
      <c r="B43" s="1150"/>
      <c r="C43" s="1159"/>
      <c r="D43" s="1164"/>
      <c r="E43" s="1165"/>
      <c r="F43" s="1166"/>
      <c r="G43" s="1167"/>
    </row>
    <row r="44" spans="1:7" ht="15">
      <c r="A44" s="1150"/>
      <c r="B44" s="1150"/>
      <c r="C44" s="1168" t="s">
        <v>747</v>
      </c>
      <c r="D44" s="1160"/>
      <c r="E44" s="1178"/>
      <c r="F44" s="1179"/>
      <c r="G44" s="1180"/>
    </row>
    <row r="45" spans="1:7" ht="14.25">
      <c r="A45" s="1150"/>
      <c r="B45" s="1150"/>
      <c r="C45" s="1171"/>
      <c r="D45" s="1160"/>
      <c r="E45" s="1178"/>
      <c r="F45" s="1179"/>
      <c r="G45" s="1180"/>
    </row>
    <row r="46" spans="1:7" ht="14.25">
      <c r="A46" s="1150"/>
      <c r="B46" s="1150"/>
      <c r="C46" s="1172" t="s">
        <v>748</v>
      </c>
      <c r="D46" s="1160"/>
      <c r="E46" s="1178"/>
      <c r="F46" s="1179"/>
      <c r="G46" s="1180"/>
    </row>
    <row r="47" spans="1:7" ht="14.25">
      <c r="A47" s="1150"/>
      <c r="B47" s="1150"/>
      <c r="C47" s="1173" t="s">
        <v>402</v>
      </c>
      <c r="D47" s="1160" t="s">
        <v>749</v>
      </c>
      <c r="E47" s="1161"/>
      <c r="F47" s="1162"/>
      <c r="G47" s="1182">
        <v>1180</v>
      </c>
    </row>
    <row r="48" spans="1:7" ht="14.25">
      <c r="A48" s="1150"/>
      <c r="B48" s="1150"/>
      <c r="C48" s="1173" t="s">
        <v>403</v>
      </c>
      <c r="D48" s="1160" t="s">
        <v>749</v>
      </c>
      <c r="E48" s="1161"/>
      <c r="F48" s="1162"/>
      <c r="G48" s="1182">
        <v>1584</v>
      </c>
    </row>
    <row r="49" spans="1:7" ht="14.25">
      <c r="A49" s="1150"/>
      <c r="B49" s="1150"/>
      <c r="C49" s="1173" t="s">
        <v>223</v>
      </c>
      <c r="D49" s="1160" t="s">
        <v>749</v>
      </c>
      <c r="E49" s="1161"/>
      <c r="F49" s="1162"/>
      <c r="G49" s="1182">
        <v>12207</v>
      </c>
    </row>
    <row r="50" spans="1:7" ht="15" thickBot="1">
      <c r="A50" s="1150"/>
      <c r="B50" s="1150"/>
      <c r="C50" s="1173" t="s">
        <v>222</v>
      </c>
      <c r="D50" s="1160" t="s">
        <v>749</v>
      </c>
      <c r="E50" s="1161"/>
      <c r="F50" s="1162"/>
      <c r="G50" s="1182">
        <v>3193</v>
      </c>
    </row>
    <row r="51" spans="1:7" ht="15" thickBot="1">
      <c r="A51" s="1150"/>
      <c r="B51" s="1150"/>
      <c r="C51" s="1174" t="s">
        <v>200</v>
      </c>
      <c r="D51" s="1160" t="s">
        <v>749</v>
      </c>
      <c r="E51" s="1175"/>
      <c r="F51" s="1176"/>
      <c r="G51" s="1177">
        <v>18164</v>
      </c>
    </row>
    <row r="52" spans="1:7" ht="14.25">
      <c r="A52" s="1150"/>
      <c r="B52" s="1150"/>
      <c r="C52" s="1171"/>
      <c r="D52" s="1160"/>
      <c r="E52" s="1178"/>
      <c r="F52" s="1179"/>
      <c r="G52" s="1180"/>
    </row>
    <row r="53" spans="1:7" ht="14.25">
      <c r="A53" s="1150"/>
      <c r="B53" s="1150"/>
      <c r="C53" s="1172" t="s">
        <v>750</v>
      </c>
      <c r="D53" s="1160"/>
      <c r="E53" s="1178"/>
      <c r="F53" s="1179"/>
      <c r="G53" s="1180"/>
    </row>
    <row r="54" spans="1:7" ht="14.25">
      <c r="A54" s="1150"/>
      <c r="B54" s="1150"/>
      <c r="C54" s="1173" t="s">
        <v>402</v>
      </c>
      <c r="D54" s="1160" t="s">
        <v>749</v>
      </c>
      <c r="E54" s="1161"/>
      <c r="F54" s="1162"/>
      <c r="G54" s="1182">
        <v>93.4</v>
      </c>
    </row>
    <row r="55" spans="1:7" ht="14.25">
      <c r="A55" s="1150"/>
      <c r="B55" s="1150"/>
      <c r="C55" s="1173" t="s">
        <v>403</v>
      </c>
      <c r="D55" s="1160" t="s">
        <v>749</v>
      </c>
      <c r="E55" s="1161"/>
      <c r="F55" s="1162"/>
      <c r="G55" s="1182">
        <v>397.26400000000001</v>
      </c>
    </row>
    <row r="56" spans="1:7" ht="14.25">
      <c r="A56" s="1150"/>
      <c r="B56" s="1150"/>
      <c r="C56" s="1173" t="s">
        <v>223</v>
      </c>
      <c r="D56" s="1160" t="s">
        <v>749</v>
      </c>
      <c r="E56" s="1161"/>
      <c r="F56" s="1162"/>
      <c r="G56" s="1182">
        <v>5366.7</v>
      </c>
    </row>
    <row r="57" spans="1:7" ht="15" thickBot="1">
      <c r="A57" s="1150"/>
      <c r="B57" s="1150"/>
      <c r="C57" s="1173" t="s">
        <v>222</v>
      </c>
      <c r="D57" s="1160" t="s">
        <v>749</v>
      </c>
      <c r="E57" s="1161"/>
      <c r="F57" s="1162"/>
      <c r="G57" s="1182">
        <v>10735.59</v>
      </c>
    </row>
    <row r="58" spans="1:7" ht="15" thickBot="1">
      <c r="A58" s="1150"/>
      <c r="B58" s="1150"/>
      <c r="C58" s="1183" t="s">
        <v>200</v>
      </c>
      <c r="D58" s="1160" t="s">
        <v>749</v>
      </c>
      <c r="E58" s="1175"/>
      <c r="F58" s="1176"/>
      <c r="G58" s="1177">
        <v>16592.953999999998</v>
      </c>
    </row>
    <row r="59" spans="1:7" ht="14.25">
      <c r="A59" s="1150"/>
      <c r="B59" s="1150"/>
      <c r="C59" s="1171"/>
      <c r="D59" s="1160"/>
      <c r="E59" s="1178"/>
      <c r="F59" s="1179"/>
      <c r="G59" s="1180"/>
    </row>
    <row r="60" spans="1:7" ht="14.25">
      <c r="A60" s="1150"/>
      <c r="B60" s="1150"/>
      <c r="C60" s="1172" t="s">
        <v>751</v>
      </c>
      <c r="D60" s="1160"/>
      <c r="E60" s="1178"/>
      <c r="F60" s="1179"/>
      <c r="G60" s="1180"/>
    </row>
    <row r="61" spans="1:7" ht="14.25">
      <c r="A61" s="1150"/>
      <c r="B61" s="1150"/>
      <c r="C61" s="1173" t="s">
        <v>402</v>
      </c>
      <c r="D61" s="1160" t="s">
        <v>749</v>
      </c>
      <c r="E61" s="1184"/>
      <c r="F61" s="1185"/>
      <c r="G61" s="1182">
        <v>1273.4000000000001</v>
      </c>
    </row>
    <row r="62" spans="1:7" ht="14.25">
      <c r="A62" s="1150"/>
      <c r="B62" s="1150"/>
      <c r="C62" s="1173" t="s">
        <v>403</v>
      </c>
      <c r="D62" s="1160" t="s">
        <v>749</v>
      </c>
      <c r="E62" s="1184"/>
      <c r="F62" s="1185"/>
      <c r="G62" s="1182">
        <v>1981.2640000000001</v>
      </c>
    </row>
    <row r="63" spans="1:7" ht="14.25">
      <c r="A63" s="1150"/>
      <c r="B63" s="1150"/>
      <c r="C63" s="1173" t="s">
        <v>223</v>
      </c>
      <c r="D63" s="1160" t="s">
        <v>749</v>
      </c>
      <c r="E63" s="1184"/>
      <c r="F63" s="1185"/>
      <c r="G63" s="1182">
        <v>17573.7</v>
      </c>
    </row>
    <row r="64" spans="1:7" ht="15" thickBot="1">
      <c r="A64" s="1150"/>
      <c r="B64" s="1150"/>
      <c r="C64" s="1173" t="s">
        <v>222</v>
      </c>
      <c r="D64" s="1160" t="s">
        <v>749</v>
      </c>
      <c r="E64" s="1184"/>
      <c r="F64" s="1185"/>
      <c r="G64" s="1182">
        <v>13928.59</v>
      </c>
    </row>
    <row r="65" spans="1:7" ht="15" thickBot="1">
      <c r="A65" s="1150"/>
      <c r="B65" s="1150"/>
      <c r="C65" s="1174" t="s">
        <v>200</v>
      </c>
      <c r="D65" s="1160" t="s">
        <v>749</v>
      </c>
      <c r="E65" s="1175"/>
      <c r="F65" s="1176"/>
      <c r="G65" s="1177">
        <v>34756.953999999998</v>
      </c>
    </row>
    <row r="66" spans="1:7" ht="14.25">
      <c r="A66" s="1150"/>
      <c r="B66" s="1150"/>
      <c r="C66" s="1171"/>
      <c r="D66" s="1160"/>
      <c r="E66" s="1178"/>
      <c r="F66" s="1179"/>
      <c r="G66" s="1180"/>
    </row>
    <row r="67" spans="1:7" ht="14.25">
      <c r="A67" s="1150"/>
      <c r="B67" s="1150"/>
      <c r="C67" s="1172" t="s">
        <v>752</v>
      </c>
      <c r="D67" s="1160"/>
      <c r="E67" s="1178"/>
      <c r="F67" s="1179"/>
      <c r="G67" s="1180"/>
    </row>
    <row r="68" spans="1:7" ht="14.25">
      <c r="A68" s="1150"/>
      <c r="B68" s="1150"/>
      <c r="C68" s="1173" t="s">
        <v>402</v>
      </c>
      <c r="D68" s="1160" t="s">
        <v>753</v>
      </c>
      <c r="E68" s="1161"/>
      <c r="F68" s="1162"/>
      <c r="G68" s="1163">
        <v>77</v>
      </c>
    </row>
    <row r="69" spans="1:7" ht="14.25">
      <c r="A69" s="1150"/>
      <c r="B69" s="1150"/>
      <c r="C69" s="1173" t="s">
        <v>754</v>
      </c>
      <c r="D69" s="1160" t="s">
        <v>753</v>
      </c>
      <c r="E69" s="1161"/>
      <c r="F69" s="1162"/>
      <c r="G69" s="1163">
        <v>196</v>
      </c>
    </row>
    <row r="70" spans="1:7" ht="14.25">
      <c r="A70" s="1150"/>
      <c r="B70" s="1150"/>
      <c r="C70" s="1173" t="s">
        <v>755</v>
      </c>
      <c r="D70" s="1160" t="s">
        <v>753</v>
      </c>
      <c r="E70" s="1161"/>
      <c r="F70" s="1162"/>
      <c r="G70" s="1163">
        <v>0</v>
      </c>
    </row>
    <row r="71" spans="1:7" ht="14.25">
      <c r="A71" s="1150"/>
      <c r="B71" s="1150"/>
      <c r="C71" s="1173" t="s">
        <v>756</v>
      </c>
      <c r="D71" s="1160" t="s">
        <v>753</v>
      </c>
      <c r="E71" s="1161"/>
      <c r="F71" s="1162"/>
      <c r="G71" s="1163">
        <v>8329</v>
      </c>
    </row>
    <row r="72" spans="1:7" ht="15" thickBot="1">
      <c r="A72" s="1150"/>
      <c r="B72" s="1150"/>
      <c r="C72" s="1173" t="s">
        <v>757</v>
      </c>
      <c r="D72" s="1160" t="s">
        <v>753</v>
      </c>
      <c r="E72" s="1161"/>
      <c r="F72" s="1162"/>
      <c r="G72" s="1163">
        <v>31138</v>
      </c>
    </row>
    <row r="73" spans="1:7" ht="15" thickBot="1">
      <c r="A73" s="1150"/>
      <c r="B73" s="1150"/>
      <c r="C73" s="1174" t="s">
        <v>200</v>
      </c>
      <c r="D73" s="1160" t="s">
        <v>753</v>
      </c>
      <c r="E73" s="1175"/>
      <c r="F73" s="1176"/>
      <c r="G73" s="1177">
        <v>39740</v>
      </c>
    </row>
    <row r="74" spans="1:7" ht="15.75" thickBot="1">
      <c r="A74" s="1150"/>
      <c r="B74" s="1150"/>
      <c r="C74" s="1165"/>
      <c r="D74" s="1164"/>
      <c r="E74" s="1165"/>
      <c r="F74" s="1166"/>
      <c r="G74" s="1167"/>
    </row>
    <row r="75" spans="1:7" ht="14.25">
      <c r="A75" s="474"/>
      <c r="B75" s="474"/>
      <c r="C75" s="474"/>
      <c r="D75" s="474"/>
      <c r="E75" s="474"/>
      <c r="F75" s="474"/>
      <c r="G75" s="474"/>
    </row>
    <row r="76" spans="1:7" ht="14.25">
      <c r="A76" s="1150"/>
      <c r="B76" s="1150"/>
      <c r="C76" s="474"/>
      <c r="D76" s="474"/>
      <c r="E76" s="474"/>
      <c r="F76" s="474"/>
      <c r="G76" s="474"/>
    </row>
    <row r="77" spans="1:7" ht="14.25">
      <c r="A77" s="1150"/>
      <c r="B77" s="1150"/>
      <c r="C77" s="474"/>
      <c r="D77" s="474"/>
      <c r="E77" s="474"/>
      <c r="F77" s="474"/>
      <c r="G77" s="474"/>
    </row>
    <row r="78" spans="1:7" ht="14.25">
      <c r="A78" s="1150"/>
      <c r="B78" s="1150"/>
      <c r="C78" s="474"/>
      <c r="D78" s="474"/>
      <c r="E78" s="474"/>
      <c r="F78" s="474"/>
      <c r="G78" s="474"/>
    </row>
    <row r="79" spans="1:7" ht="14.25">
      <c r="A79" s="1150"/>
      <c r="B79" s="1150"/>
      <c r="C79" s="474"/>
      <c r="D79" s="474"/>
      <c r="E79" s="474"/>
      <c r="F79" s="474"/>
      <c r="G79" s="474"/>
    </row>
    <row r="80" spans="1:7" ht="14.25">
      <c r="A80" s="1150"/>
      <c r="B80" s="1150"/>
      <c r="C80" s="474"/>
      <c r="D80" s="474"/>
      <c r="E80" s="474"/>
      <c r="F80" s="474"/>
      <c r="G80" s="474"/>
    </row>
  </sheetData>
  <mergeCells count="3">
    <mergeCell ref="A5:C5"/>
    <mergeCell ref="E8:G8"/>
    <mergeCell ref="H8:I8"/>
  </mergeCells>
  <hyperlinks>
    <hyperlink ref="F1" location="Inputs!A1" display="Index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5FFFF"/>
    <pageSetUpPr fitToPage="1"/>
  </sheetPr>
  <dimension ref="A1:L49"/>
  <sheetViews>
    <sheetView topLeftCell="A19" workbookViewId="0">
      <selection activeCell="H11" sqref="H11:L49"/>
    </sheetView>
  </sheetViews>
  <sheetFormatPr defaultColWidth="8.85546875" defaultRowHeight="15"/>
  <cols>
    <col min="1" max="4" width="8.85546875" style="2" customWidth="1"/>
    <col min="5" max="5" width="17.42578125" style="2" customWidth="1"/>
    <col min="6" max="7" width="8.85546875" style="2" customWidth="1"/>
    <col min="8" max="12" width="8.42578125" style="2" bestFit="1" customWidth="1"/>
    <col min="13" max="16384" width="8.85546875" style="2"/>
  </cols>
  <sheetData>
    <row r="1" spans="1:12">
      <c r="C1" s="2" t="s">
        <v>758</v>
      </c>
    </row>
    <row r="8" spans="1:12">
      <c r="A8" s="2" t="s">
        <v>759</v>
      </c>
      <c r="H8" s="28" t="s">
        <v>79</v>
      </c>
      <c r="I8" s="28" t="s">
        <v>80</v>
      </c>
      <c r="J8" s="28" t="s">
        <v>81</v>
      </c>
      <c r="K8" s="28" t="s">
        <v>82</v>
      </c>
      <c r="L8" s="28" t="s">
        <v>44</v>
      </c>
    </row>
    <row r="9" spans="1:12">
      <c r="H9" s="28">
        <v>16</v>
      </c>
      <c r="I9" s="28">
        <v>17</v>
      </c>
      <c r="J9" s="28">
        <v>18</v>
      </c>
      <c r="K9" s="28">
        <v>19</v>
      </c>
      <c r="L9" s="28">
        <v>20</v>
      </c>
    </row>
    <row r="11" spans="1:12">
      <c r="B11" s="2" t="s">
        <v>760</v>
      </c>
      <c r="F11" s="2" t="s">
        <v>203</v>
      </c>
      <c r="H11" s="1186">
        <v>155.30000000000001</v>
      </c>
      <c r="I11" s="1186">
        <v>158.46221499999999</v>
      </c>
      <c r="J11" s="1186">
        <v>164.61900800000001</v>
      </c>
      <c r="K11" s="1186">
        <v>7.529388</v>
      </c>
      <c r="L11" s="1186" t="e">
        <v>#DIV/0!</v>
      </c>
    </row>
    <row r="12" spans="1:12">
      <c r="B12" s="2" t="s">
        <v>761</v>
      </c>
      <c r="F12" s="2" t="s">
        <v>203</v>
      </c>
      <c r="H12" s="1186">
        <v>2.4392900000000002</v>
      </c>
      <c r="I12" s="1186">
        <v>0.36506899999999998</v>
      </c>
      <c r="J12" s="1186">
        <v>-0.91199699999999995</v>
      </c>
      <c r="K12" s="1186">
        <v>-17.267285000000001</v>
      </c>
      <c r="L12" s="1186">
        <v>-17.267285000000001</v>
      </c>
    </row>
    <row r="13" spans="1:12">
      <c r="B13" s="2" t="s">
        <v>762</v>
      </c>
      <c r="F13" s="2" t="s">
        <v>203</v>
      </c>
      <c r="H13" s="1186">
        <v>3.081448</v>
      </c>
      <c r="I13" s="1186">
        <v>-1.9054739999999999</v>
      </c>
      <c r="J13" s="1186">
        <v>2.5028890000000001</v>
      </c>
      <c r="K13" s="1186">
        <v>0</v>
      </c>
      <c r="L13" s="1186">
        <v>0</v>
      </c>
    </row>
    <row r="14" spans="1:12">
      <c r="B14" s="2" t="s">
        <v>763</v>
      </c>
      <c r="F14" s="2" t="s">
        <v>203</v>
      </c>
      <c r="H14" s="1186">
        <v>0.58791199999999999</v>
      </c>
      <c r="I14" s="1186">
        <v>1.2090430000000001</v>
      </c>
      <c r="J14" s="1186">
        <v>4.7731960000000004</v>
      </c>
      <c r="K14" s="1186">
        <v>2.5712950000000001</v>
      </c>
      <c r="L14" s="1186">
        <v>12.493830000000001</v>
      </c>
    </row>
    <row r="15" spans="1:12">
      <c r="H15" s="1187"/>
      <c r="I15" s="1187"/>
      <c r="J15" s="1187"/>
      <c r="K15" s="1187"/>
      <c r="L15" s="1187"/>
    </row>
    <row r="16" spans="1:12">
      <c r="B16" s="2" t="s">
        <v>764</v>
      </c>
      <c r="F16" s="2" t="s">
        <v>203</v>
      </c>
      <c r="H16" s="1188">
        <v>160.23282599999999</v>
      </c>
      <c r="I16" s="1188">
        <v>155.71276700000001</v>
      </c>
      <c r="J16" s="1188">
        <v>161.43670399999999</v>
      </c>
      <c r="K16" s="1188">
        <v>-12.309191999999999</v>
      </c>
      <c r="L16" s="1188" t="e">
        <v>#DIV/0!</v>
      </c>
    </row>
    <row r="17" spans="1:12">
      <c r="H17" s="1189"/>
      <c r="I17" s="1189"/>
      <c r="J17" s="1189"/>
      <c r="K17" s="1189"/>
      <c r="L17" s="1189"/>
    </row>
    <row r="18" spans="1:12">
      <c r="B18" s="2" t="s">
        <v>765</v>
      </c>
      <c r="F18" s="2" t="s">
        <v>203</v>
      </c>
      <c r="H18" s="1186">
        <v>161.37</v>
      </c>
      <c r="I18" s="1186">
        <v>160.11000000000001</v>
      </c>
      <c r="J18" s="1186">
        <v>163.97</v>
      </c>
      <c r="K18" s="1186">
        <v>0</v>
      </c>
      <c r="L18" s="1186">
        <v>0</v>
      </c>
    </row>
    <row r="19" spans="1:12">
      <c r="B19" s="2" t="s">
        <v>766</v>
      </c>
      <c r="F19" s="2" t="s">
        <v>203</v>
      </c>
      <c r="H19" s="1186">
        <v>0</v>
      </c>
      <c r="I19" s="1186">
        <v>0</v>
      </c>
      <c r="J19" s="1186">
        <v>0</v>
      </c>
      <c r="K19" s="1186">
        <v>0</v>
      </c>
      <c r="L19" s="1186">
        <v>0</v>
      </c>
    </row>
    <row r="20" spans="1:12">
      <c r="H20" s="1187"/>
      <c r="I20" s="1187"/>
      <c r="J20" s="1187"/>
      <c r="K20" s="1187"/>
      <c r="L20" s="1187"/>
    </row>
    <row r="21" spans="1:12">
      <c r="B21" s="2" t="s">
        <v>767</v>
      </c>
      <c r="F21" s="2" t="s">
        <v>203</v>
      </c>
      <c r="H21" s="1190">
        <v>1.1371739999999999</v>
      </c>
      <c r="I21" s="1190">
        <v>4.3972329999999999</v>
      </c>
      <c r="J21" s="1190">
        <v>2.533296</v>
      </c>
      <c r="K21" s="1190">
        <v>12.309191999999999</v>
      </c>
      <c r="L21" s="1190" t="e">
        <v>#DIV/0!</v>
      </c>
    </row>
    <row r="22" spans="1:12">
      <c r="H22" s="1189"/>
      <c r="I22" s="1189"/>
      <c r="J22" s="1189"/>
      <c r="K22" s="1189"/>
      <c r="L22" s="1189"/>
    </row>
    <row r="23" spans="1:12">
      <c r="H23" s="1189"/>
      <c r="I23" s="1189"/>
      <c r="J23" s="1189"/>
      <c r="K23" s="1189"/>
      <c r="L23" s="1189"/>
    </row>
    <row r="24" spans="1:12">
      <c r="A24" s="2" t="s">
        <v>768</v>
      </c>
      <c r="H24" s="1189"/>
      <c r="I24" s="1189"/>
      <c r="J24" s="1189"/>
      <c r="K24" s="1189"/>
      <c r="L24" s="1189"/>
    </row>
    <row r="25" spans="1:12">
      <c r="H25" s="1189"/>
      <c r="I25" s="1189"/>
      <c r="J25" s="1189"/>
      <c r="K25" s="1189"/>
      <c r="L25" s="1189"/>
    </row>
    <row r="26" spans="1:12">
      <c r="B26" s="2" t="s">
        <v>769</v>
      </c>
      <c r="F26" s="2" t="s">
        <v>203</v>
      </c>
      <c r="H26" s="1186">
        <v>0</v>
      </c>
      <c r="I26" s="1186">
        <v>1.5387E-2</v>
      </c>
      <c r="J26" s="1186">
        <v>2.3938999999999998E-2</v>
      </c>
      <c r="K26" s="1186">
        <v>0</v>
      </c>
      <c r="L26" s="1186">
        <v>0</v>
      </c>
    </row>
    <row r="27" spans="1:12">
      <c r="B27" s="2" t="s">
        <v>770</v>
      </c>
      <c r="F27" s="2" t="s">
        <v>203</v>
      </c>
      <c r="H27" s="1186">
        <v>0</v>
      </c>
      <c r="I27" s="1186">
        <v>0</v>
      </c>
      <c r="J27" s="1186">
        <v>0</v>
      </c>
      <c r="K27" s="1186">
        <v>0</v>
      </c>
      <c r="L27" s="1186">
        <v>0</v>
      </c>
    </row>
    <row r="28" spans="1:12">
      <c r="B28" s="2" t="s">
        <v>771</v>
      </c>
      <c r="F28" s="2" t="s">
        <v>203</v>
      </c>
      <c r="H28" s="1186">
        <v>0</v>
      </c>
      <c r="I28" s="1186">
        <v>0</v>
      </c>
      <c r="J28" s="1186">
        <v>-5.8479999999999999E-3</v>
      </c>
      <c r="K28" s="1186">
        <v>-8.0984E-2</v>
      </c>
      <c r="L28" s="1186">
        <v>-8.2198999999999994E-2</v>
      </c>
    </row>
    <row r="29" spans="1:12">
      <c r="H29" s="1187"/>
      <c r="I29" s="1187"/>
      <c r="J29" s="1187"/>
      <c r="K29" s="1187"/>
      <c r="L29" s="1187"/>
    </row>
    <row r="30" spans="1:12">
      <c r="B30" s="2" t="s">
        <v>768</v>
      </c>
      <c r="F30" s="2" t="s">
        <v>203</v>
      </c>
      <c r="H30" s="1188">
        <v>0</v>
      </c>
      <c r="I30" s="1188">
        <v>1.5387E-2</v>
      </c>
      <c r="J30" s="1188">
        <v>2.9787000000000001E-2</v>
      </c>
      <c r="K30" s="1188">
        <v>8.0984E-2</v>
      </c>
      <c r="L30" s="1188">
        <v>8.2198999999999994E-2</v>
      </c>
    </row>
    <row r="31" spans="1:12">
      <c r="H31" s="1189"/>
      <c r="I31" s="1189"/>
      <c r="J31" s="1189"/>
      <c r="K31" s="1189"/>
      <c r="L31" s="1189"/>
    </row>
    <row r="32" spans="1:12">
      <c r="B32" s="2" t="s">
        <v>772</v>
      </c>
      <c r="F32" s="2" t="s">
        <v>203</v>
      </c>
      <c r="H32" s="1186">
        <v>0</v>
      </c>
      <c r="I32" s="1186">
        <v>0.01</v>
      </c>
      <c r="J32" s="1186">
        <v>-0.05</v>
      </c>
      <c r="K32" s="1186">
        <v>0</v>
      </c>
      <c r="L32" s="1186">
        <v>0</v>
      </c>
    </row>
    <row r="33" spans="1:12">
      <c r="H33" s="1189"/>
      <c r="I33" s="1189"/>
      <c r="J33" s="1189"/>
      <c r="K33" s="1189"/>
      <c r="L33" s="1189"/>
    </row>
    <row r="34" spans="1:12">
      <c r="B34" s="2" t="s">
        <v>767</v>
      </c>
      <c r="F34" s="2" t="s">
        <v>203</v>
      </c>
      <c r="H34" s="1190">
        <v>0</v>
      </c>
      <c r="I34" s="1190">
        <v>-5.3870000000000003E-3</v>
      </c>
      <c r="J34" s="1190">
        <v>-7.9786999999999997E-2</v>
      </c>
      <c r="K34" s="1190">
        <v>-8.0984E-2</v>
      </c>
      <c r="L34" s="1190">
        <v>-8.2198999999999994E-2</v>
      </c>
    </row>
    <row r="35" spans="1:12">
      <c r="H35" s="1189"/>
      <c r="I35" s="1189"/>
      <c r="J35" s="1189"/>
      <c r="K35" s="1189"/>
      <c r="L35" s="1189"/>
    </row>
    <row r="36" spans="1:12">
      <c r="H36" s="1189"/>
      <c r="I36" s="1189"/>
      <c r="J36" s="1189"/>
      <c r="K36" s="1189"/>
      <c r="L36" s="1189"/>
    </row>
    <row r="37" spans="1:12">
      <c r="A37" s="2" t="s">
        <v>773</v>
      </c>
      <c r="H37" s="1191"/>
      <c r="I37" s="1191"/>
      <c r="J37" s="1191"/>
      <c r="K37" s="1191"/>
      <c r="L37" s="1191"/>
    </row>
    <row r="38" spans="1:12">
      <c r="B38" s="2" t="s">
        <v>774</v>
      </c>
      <c r="F38" s="2" t="s">
        <v>203</v>
      </c>
      <c r="H38" s="1186">
        <v>2.81</v>
      </c>
      <c r="I38" s="1186">
        <v>3.06</v>
      </c>
      <c r="J38" s="1186">
        <v>3.63</v>
      </c>
      <c r="K38" s="1186">
        <v>0</v>
      </c>
      <c r="L38" s="1186">
        <v>0</v>
      </c>
    </row>
    <row r="39" spans="1:12">
      <c r="B39" s="2" t="s">
        <v>775</v>
      </c>
      <c r="F39" s="2" t="s">
        <v>203</v>
      </c>
      <c r="H39" s="1186">
        <v>3.6498080000000002</v>
      </c>
      <c r="I39" s="1186">
        <v>4.2580520000000002</v>
      </c>
      <c r="J39" s="1192">
        <v>0</v>
      </c>
      <c r="K39" s="1192">
        <v>0</v>
      </c>
      <c r="L39" s="1192">
        <v>0</v>
      </c>
    </row>
    <row r="40" spans="1:12">
      <c r="H40" s="1189"/>
      <c r="I40" s="1189"/>
      <c r="J40" s="1189"/>
      <c r="K40" s="1189"/>
      <c r="L40" s="1189"/>
    </row>
    <row r="41" spans="1:12">
      <c r="H41" s="1193">
        <v>6.4598079999999998</v>
      </c>
      <c r="I41" s="1193">
        <v>7.3180519999999998</v>
      </c>
      <c r="J41" s="1193">
        <v>3.63</v>
      </c>
      <c r="K41" s="1193">
        <v>0</v>
      </c>
      <c r="L41" s="1193">
        <v>0</v>
      </c>
    </row>
    <row r="42" spans="1:12">
      <c r="H42" s="1191"/>
      <c r="I42" s="1191"/>
      <c r="J42" s="1191"/>
      <c r="K42" s="1191"/>
      <c r="L42" s="1191"/>
    </row>
    <row r="43" spans="1:12">
      <c r="H43" s="1191"/>
      <c r="I43" s="1191"/>
      <c r="J43" s="1191"/>
      <c r="K43" s="1191"/>
      <c r="L43" s="1191"/>
    </row>
    <row r="44" spans="1:12">
      <c r="A44" s="2" t="s">
        <v>776</v>
      </c>
      <c r="H44" s="1191"/>
      <c r="I44" s="1191"/>
      <c r="J44" s="1191"/>
      <c r="K44" s="1191"/>
      <c r="L44" s="1191"/>
    </row>
    <row r="45" spans="1:12">
      <c r="B45" s="2" t="s">
        <v>777</v>
      </c>
      <c r="F45" s="2" t="s">
        <v>203</v>
      </c>
      <c r="H45" s="1186">
        <v>25.34</v>
      </c>
      <c r="I45" s="1186">
        <v>34.46</v>
      </c>
      <c r="J45" s="1186">
        <v>36.6</v>
      </c>
      <c r="K45" s="1186">
        <v>0</v>
      </c>
      <c r="L45" s="1186">
        <v>0</v>
      </c>
    </row>
    <row r="46" spans="1:12">
      <c r="B46" s="2" t="s">
        <v>778</v>
      </c>
      <c r="F46" s="2" t="s">
        <v>203</v>
      </c>
      <c r="H46" s="1194">
        <v>4.01</v>
      </c>
      <c r="I46" s="1194">
        <v>4.32</v>
      </c>
      <c r="J46" s="1194">
        <v>4.3099999999999996</v>
      </c>
      <c r="K46" s="1194">
        <v>0</v>
      </c>
      <c r="L46" s="1194">
        <v>0</v>
      </c>
    </row>
    <row r="47" spans="1:12">
      <c r="B47" s="2" t="s">
        <v>779</v>
      </c>
      <c r="F47" s="2" t="s">
        <v>203</v>
      </c>
      <c r="H47" s="1194">
        <v>0.14000000000000001</v>
      </c>
      <c r="I47" s="1194">
        <v>0.87</v>
      </c>
      <c r="J47" s="1194">
        <v>1.28</v>
      </c>
      <c r="K47" s="1194">
        <v>0</v>
      </c>
      <c r="L47" s="1194">
        <v>0</v>
      </c>
    </row>
    <row r="48" spans="1:12">
      <c r="H48" s="1191"/>
      <c r="I48" s="1191"/>
      <c r="J48" s="1191"/>
      <c r="K48" s="1191"/>
      <c r="L48" s="1191"/>
    </row>
    <row r="49" spans="8:12">
      <c r="H49" s="1190">
        <v>29.49</v>
      </c>
      <c r="I49" s="1190">
        <v>39.65</v>
      </c>
      <c r="J49" s="1190">
        <v>42.19</v>
      </c>
      <c r="K49" s="1190">
        <v>0</v>
      </c>
      <c r="L49" s="1190">
        <v>0</v>
      </c>
    </row>
  </sheetData>
  <phoneticPr fontId="1" type="noConversion"/>
  <pageMargins left="0.75" right="0.75" top="1" bottom="1" header="0.5" footer="0.5"/>
  <pageSetup paperSize="9" scale="5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tabColor rgb="FFC5FFFF"/>
    <pageSetUpPr fitToPage="1"/>
  </sheetPr>
  <dimension ref="A16:I163"/>
  <sheetViews>
    <sheetView showGridLines="0" topLeftCell="A46" workbookViewId="0">
      <selection activeCell="E26" sqref="E26"/>
    </sheetView>
  </sheetViews>
  <sheetFormatPr defaultColWidth="10.85546875" defaultRowHeight="15"/>
  <cols>
    <col min="1" max="1" width="4.28515625" style="1" customWidth="1"/>
    <col min="2" max="2" width="4.28515625" style="2" customWidth="1"/>
    <col min="3" max="3" width="27.42578125" style="2" bestFit="1" customWidth="1"/>
    <col min="4" max="9" width="22.85546875" style="2" customWidth="1"/>
    <col min="10" max="16384" width="10.85546875" style="2"/>
  </cols>
  <sheetData>
    <row r="16" spans="3:9" s="1" customFormat="1" ht="30">
      <c r="C16" s="1" t="s">
        <v>77</v>
      </c>
      <c r="D16" s="1" t="s">
        <v>190</v>
      </c>
      <c r="E16" s="30" t="s">
        <v>780</v>
      </c>
      <c r="F16" s="30"/>
      <c r="G16" s="30" t="s">
        <v>781</v>
      </c>
      <c r="H16" s="30" t="s">
        <v>782</v>
      </c>
      <c r="I16" s="30" t="s">
        <v>783</v>
      </c>
    </row>
    <row r="17" spans="1:9" s="1" customFormat="1" ht="60">
      <c r="E17" s="30" t="s">
        <v>784</v>
      </c>
      <c r="F17" s="30" t="s">
        <v>785</v>
      </c>
      <c r="G17" s="30" t="s">
        <v>786</v>
      </c>
      <c r="H17" s="30" t="s">
        <v>787</v>
      </c>
      <c r="I17" s="30" t="s">
        <v>788</v>
      </c>
    </row>
    <row r="18" spans="1:9">
      <c r="A18" s="1" t="s">
        <v>89</v>
      </c>
    </row>
    <row r="19" spans="1:9">
      <c r="B19" s="2" t="s">
        <v>430</v>
      </c>
    </row>
    <row r="20" spans="1:9">
      <c r="C20" s="2" t="s">
        <v>91</v>
      </c>
      <c r="D20" s="2" t="s">
        <v>517</v>
      </c>
      <c r="E20" s="2">
        <f>IF(ISNUMBER('FBPQ C2'!J12),'FBPQ C2'!J12,IF(ISNUMBER('FBPQ C2'!I12),'FBPQ C2'!I12,""))</f>
        <v>19.989999999999998</v>
      </c>
      <c r="F20" s="2" t="s">
        <v>789</v>
      </c>
      <c r="G20" s="2">
        <f t="shared" ref="G20:G83" si="0">IF(ISNUMBER(E20),E20,IF(H20&gt;0,F20," "))</f>
        <v>19.989999999999998</v>
      </c>
      <c r="H20" s="2">
        <f>IF(ISBLANK('FBPQ T4'!E12)," ",'FBPQ T4'!AE12)</f>
        <v>3192</v>
      </c>
      <c r="I20" s="2">
        <f t="shared" ref="I20:I83" si="1">IF(ISERROR(G20*H20)," ",G20*H20)</f>
        <v>63808.079999999994</v>
      </c>
    </row>
    <row r="21" spans="1:9">
      <c r="C21" s="2" t="s">
        <v>92</v>
      </c>
      <c r="D21" s="2" t="s">
        <v>518</v>
      </c>
      <c r="E21" s="2">
        <f>IF(ISNUMBER('FBPQ C2'!J13),'FBPQ C2'!J13,IF(ISNUMBER('FBPQ C2'!I13),'FBPQ C2'!I13,""))</f>
        <v>0.32</v>
      </c>
      <c r="F21" s="2" t="s">
        <v>789</v>
      </c>
      <c r="G21" s="2">
        <f t="shared" si="0"/>
        <v>0.32</v>
      </c>
      <c r="H21" s="2">
        <f>IF(ISBLANK('FBPQ T4'!E13)," ",'FBPQ T4'!AE13)</f>
        <v>317000</v>
      </c>
      <c r="I21" s="2">
        <f t="shared" si="1"/>
        <v>101440</v>
      </c>
    </row>
    <row r="22" spans="1:9">
      <c r="E22" s="2" t="str">
        <f>IF(ISNUMBER('FBPQ C2'!J14),'FBPQ C2'!J14,IF(ISNUMBER('FBPQ C2'!I14),'FBPQ C2'!I14,""))</f>
        <v/>
      </c>
      <c r="G22" s="2">
        <f t="shared" si="0"/>
        <v>0</v>
      </c>
      <c r="H22" s="2" t="str">
        <f>IF(ISBLANK('FBPQ T4'!E14)," ",'FBPQ T4'!AE14)</f>
        <v xml:space="preserve"> </v>
      </c>
      <c r="I22" s="2" t="str">
        <f t="shared" si="1"/>
        <v xml:space="preserve"> </v>
      </c>
    </row>
    <row r="23" spans="1:9">
      <c r="B23" s="2" t="s">
        <v>93</v>
      </c>
      <c r="E23" s="2" t="str">
        <f>IF(ISNUMBER('FBPQ C2'!J15),'FBPQ C2'!J15,IF(ISNUMBER('FBPQ C2'!I15),'FBPQ C2'!I15,""))</f>
        <v/>
      </c>
      <c r="G23" s="2">
        <f t="shared" si="0"/>
        <v>0</v>
      </c>
      <c r="H23" s="2" t="str">
        <f>IF(ISBLANK('FBPQ T4'!E15)," ",'FBPQ T4'!AE15)</f>
        <v xml:space="preserve"> </v>
      </c>
      <c r="I23" s="2" t="str">
        <f t="shared" si="1"/>
        <v xml:space="preserve"> </v>
      </c>
    </row>
    <row r="24" spans="1:9">
      <c r="C24" s="2" t="s">
        <v>94</v>
      </c>
      <c r="D24" s="2" t="s">
        <v>518</v>
      </c>
      <c r="E24" s="2">
        <f>IF(ISNUMBER('FBPQ C2'!J16),'FBPQ C2'!J16,IF(ISNUMBER('FBPQ C2'!I16),'FBPQ C2'!I16,""))</f>
        <v>1.92</v>
      </c>
      <c r="F24" s="2" t="s">
        <v>789</v>
      </c>
      <c r="G24" s="2">
        <f t="shared" si="0"/>
        <v>1.92</v>
      </c>
      <c r="H24" s="2">
        <f>IF(ISBLANK('FBPQ T4'!E16)," ",'FBPQ T4'!AE16)</f>
        <v>97546</v>
      </c>
      <c r="I24" s="2">
        <f t="shared" si="1"/>
        <v>187288.32000000001</v>
      </c>
    </row>
    <row r="25" spans="1:9">
      <c r="E25" s="2" t="str">
        <f>IF(ISNUMBER('FBPQ C2'!J17),'FBPQ C2'!J17,IF(ISNUMBER('FBPQ C2'!I17),'FBPQ C2'!I17,""))</f>
        <v/>
      </c>
      <c r="G25" s="2">
        <f t="shared" si="0"/>
        <v>0</v>
      </c>
      <c r="H25" s="2" t="str">
        <f>IF(ISBLANK('FBPQ T4'!E17)," ",'FBPQ T4'!AE17)</f>
        <v xml:space="preserve"> </v>
      </c>
      <c r="I25" s="2" t="str">
        <f t="shared" si="1"/>
        <v xml:space="preserve"> </v>
      </c>
    </row>
    <row r="26" spans="1:9">
      <c r="B26" s="2" t="s">
        <v>95</v>
      </c>
      <c r="E26" s="2" t="str">
        <f>IF(ISNUMBER('FBPQ C2'!J18),'FBPQ C2'!J18,IF(ISNUMBER('FBPQ C2'!I18),'FBPQ C2'!I18,""))</f>
        <v/>
      </c>
      <c r="G26" s="2">
        <f t="shared" si="0"/>
        <v>0</v>
      </c>
      <c r="H26" s="2" t="str">
        <f>IF(ISBLANK('FBPQ T4'!E18)," ",'FBPQ T4'!AE18)</f>
        <v xml:space="preserve"> </v>
      </c>
      <c r="I26" s="2" t="str">
        <f t="shared" si="1"/>
        <v xml:space="preserve"> </v>
      </c>
    </row>
    <row r="27" spans="1:9">
      <c r="C27" s="2" t="s">
        <v>96</v>
      </c>
      <c r="D27" s="2" t="s">
        <v>517</v>
      </c>
      <c r="E27" s="2" t="str">
        <f>IF(ISNUMBER('FBPQ C2'!J19),'FBPQ C2'!J19,IF(ISNUMBER('FBPQ C2'!I19),'FBPQ C2'!I19,""))</f>
        <v/>
      </c>
      <c r="F27" s="2" t="s">
        <v>789</v>
      </c>
      <c r="G27" s="2" t="str">
        <f t="shared" si="0"/>
        <v xml:space="preserve"> </v>
      </c>
      <c r="H27" s="2">
        <f>IF(ISBLANK('FBPQ T4'!E19)," ",'FBPQ T4'!AE19)</f>
        <v>0</v>
      </c>
      <c r="I27" s="2" t="str">
        <f t="shared" si="1"/>
        <v xml:space="preserve"> </v>
      </c>
    </row>
    <row r="28" spans="1:9">
      <c r="C28" s="2" t="s">
        <v>97</v>
      </c>
      <c r="D28" s="2" t="s">
        <v>517</v>
      </c>
      <c r="E28" s="2">
        <f>IF(ISNUMBER('FBPQ C2'!J20),'FBPQ C2'!J20,IF(ISNUMBER('FBPQ C2'!I20),'FBPQ C2'!I20,""))</f>
        <v>67.22</v>
      </c>
      <c r="F28" s="2" t="s">
        <v>789</v>
      </c>
      <c r="G28" s="2">
        <f t="shared" si="0"/>
        <v>67.22</v>
      </c>
      <c r="H28" s="2">
        <f>IF(ISBLANK('FBPQ T4'!E20)," ",'FBPQ T4'!AE20)</f>
        <v>4772.09</v>
      </c>
      <c r="I28" s="2">
        <f t="shared" si="1"/>
        <v>320779.8898</v>
      </c>
    </row>
    <row r="29" spans="1:9">
      <c r="C29" s="2" t="s">
        <v>98</v>
      </c>
      <c r="D29" s="2" t="s">
        <v>517</v>
      </c>
      <c r="E29" s="2">
        <f>IF(ISNUMBER('FBPQ C2'!J21),'FBPQ C2'!J21,IF(ISNUMBER('FBPQ C2'!I21),'FBPQ C2'!I21,""))</f>
        <v>75.91</v>
      </c>
      <c r="F29" s="2" t="s">
        <v>789</v>
      </c>
      <c r="G29" s="2">
        <f t="shared" si="0"/>
        <v>75.91</v>
      </c>
      <c r="H29" s="2">
        <f>IF(ISBLANK('FBPQ T4'!E21)," ",'FBPQ T4'!AE21)</f>
        <v>6194.5</v>
      </c>
      <c r="I29" s="2">
        <f t="shared" si="1"/>
        <v>470224.495</v>
      </c>
    </row>
    <row r="30" spans="1:9">
      <c r="C30" s="2" t="s">
        <v>99</v>
      </c>
      <c r="D30" s="2" t="s">
        <v>518</v>
      </c>
      <c r="E30" s="2">
        <f>IF(ISNUMBER('FBPQ C2'!J22),'FBPQ C2'!J22,IF(ISNUMBER('FBPQ C2'!I22),'FBPQ C2'!I22,""))</f>
        <v>0.71</v>
      </c>
      <c r="F30" s="2" t="s">
        <v>789</v>
      </c>
      <c r="G30" s="2">
        <f t="shared" si="0"/>
        <v>0.71</v>
      </c>
      <c r="H30" s="2">
        <f>IF(ISBLANK('FBPQ T4'!E22)," ",'FBPQ T4'!AE22)</f>
        <v>778846</v>
      </c>
      <c r="I30" s="2">
        <f t="shared" si="1"/>
        <v>552980.65999999992</v>
      </c>
    </row>
    <row r="31" spans="1:9">
      <c r="E31" s="2" t="str">
        <f>IF(ISNUMBER('FBPQ C2'!J23),'FBPQ C2'!J23,IF(ISNUMBER('FBPQ C2'!I23),'FBPQ C2'!I23,""))</f>
        <v/>
      </c>
      <c r="G31" s="2">
        <f t="shared" si="0"/>
        <v>0</v>
      </c>
      <c r="H31" s="2" t="str">
        <f>IF(ISBLANK('FBPQ T4'!E23)," ",'FBPQ T4'!AE23)</f>
        <v xml:space="preserve"> </v>
      </c>
      <c r="I31" s="2" t="str">
        <f t="shared" si="1"/>
        <v xml:space="preserve"> </v>
      </c>
    </row>
    <row r="32" spans="1:9">
      <c r="B32" s="2" t="s">
        <v>100</v>
      </c>
      <c r="E32" s="2" t="str">
        <f>IF(ISNUMBER('FBPQ C2'!J24),'FBPQ C2'!J24,IF(ISNUMBER('FBPQ C2'!I24),'FBPQ C2'!I24,""))</f>
        <v/>
      </c>
      <c r="G32" s="2">
        <f t="shared" si="0"/>
        <v>0</v>
      </c>
      <c r="H32" s="2" t="str">
        <f>IF(ISBLANK('FBPQ T4'!E24)," ",'FBPQ T4'!AE24)</f>
        <v xml:space="preserve"> </v>
      </c>
      <c r="I32" s="2" t="str">
        <f t="shared" si="1"/>
        <v xml:space="preserve"> </v>
      </c>
    </row>
    <row r="33" spans="1:9">
      <c r="C33" s="2" t="s">
        <v>101</v>
      </c>
      <c r="D33" s="2" t="s">
        <v>518</v>
      </c>
      <c r="E33" s="2">
        <f>IF(ISNUMBER('FBPQ C2'!J25),'FBPQ C2'!J25,IF(ISNUMBER('FBPQ C2'!I25),'FBPQ C2'!I25,""))</f>
        <v>8.06</v>
      </c>
      <c r="F33" s="2" t="s">
        <v>789</v>
      </c>
      <c r="G33" s="2">
        <f t="shared" si="0"/>
        <v>8.06</v>
      </c>
      <c r="H33" s="2">
        <f>IF(ISBLANK('FBPQ T4'!E25)," ",'FBPQ T4'!AE25)</f>
        <v>4081</v>
      </c>
      <c r="I33" s="2">
        <f t="shared" si="1"/>
        <v>32892.86</v>
      </c>
    </row>
    <row r="34" spans="1:9">
      <c r="C34" s="2" t="s">
        <v>102</v>
      </c>
      <c r="D34" s="2" t="s">
        <v>518</v>
      </c>
      <c r="E34" s="2">
        <f>IF(ISNUMBER('FBPQ C2'!J26),'FBPQ C2'!J26,IF(ISNUMBER('FBPQ C2'!I26),'FBPQ C2'!I26,""))</f>
        <v>8.4700000000000006</v>
      </c>
      <c r="F34" s="2" t="s">
        <v>789</v>
      </c>
      <c r="G34" s="2">
        <f t="shared" si="0"/>
        <v>8.4700000000000006</v>
      </c>
      <c r="H34" s="2">
        <f>IF(ISBLANK('FBPQ T4'!E26)," ",'FBPQ T4'!AE26)</f>
        <v>3785</v>
      </c>
      <c r="I34" s="2">
        <f t="shared" si="1"/>
        <v>32058.95</v>
      </c>
    </row>
    <row r="35" spans="1:9">
      <c r="C35" s="2" t="s">
        <v>103</v>
      </c>
      <c r="D35" s="2" t="s">
        <v>518</v>
      </c>
      <c r="E35" s="2">
        <f>IF(ISNUMBER('FBPQ C2'!J27),'FBPQ C2'!J27,IF(ISNUMBER('FBPQ C2'!I27),'FBPQ C2'!I27,""))</f>
        <v>10.53</v>
      </c>
      <c r="F35" s="2" t="s">
        <v>789</v>
      </c>
      <c r="G35" s="2">
        <f t="shared" si="0"/>
        <v>10.53</v>
      </c>
      <c r="H35" s="2">
        <f>IF(ISBLANK('FBPQ T4'!E27)," ",'FBPQ T4'!AE27)</f>
        <v>199</v>
      </c>
      <c r="I35" s="2">
        <f t="shared" si="1"/>
        <v>2095.4699999999998</v>
      </c>
    </row>
    <row r="36" spans="1:9">
      <c r="C36" s="2" t="s">
        <v>104</v>
      </c>
      <c r="D36" s="2" t="s">
        <v>518</v>
      </c>
      <c r="E36" s="2" t="str">
        <f>IF(ISNUMBER('FBPQ C2'!J28),'FBPQ C2'!J28,IF(ISNUMBER('FBPQ C2'!I28),'FBPQ C2'!I28,""))</f>
        <v/>
      </c>
      <c r="F36" s="2" t="s">
        <v>789</v>
      </c>
      <c r="G36" s="2" t="str">
        <f t="shared" si="0"/>
        <v>DATA</v>
      </c>
      <c r="H36" s="2">
        <f>IF(ISBLANK('FBPQ T4'!E28)," ",'FBPQ T4'!AE28)</f>
        <v>3645</v>
      </c>
      <c r="I36" s="2" t="str">
        <f t="shared" si="1"/>
        <v xml:space="preserve"> </v>
      </c>
    </row>
    <row r="37" spans="1:9">
      <c r="C37" s="2" t="s">
        <v>105</v>
      </c>
      <c r="D37" s="2" t="s">
        <v>518</v>
      </c>
      <c r="E37" s="2" t="str">
        <f>IF(ISNUMBER('FBPQ C2'!J29),'FBPQ C2'!J29,IF(ISNUMBER('FBPQ C2'!I29),'FBPQ C2'!I29,""))</f>
        <v/>
      </c>
      <c r="F37" s="2" t="s">
        <v>789</v>
      </c>
      <c r="G37" s="2" t="str">
        <f t="shared" si="0"/>
        <v>DATA</v>
      </c>
      <c r="H37" s="2">
        <f>IF(ISBLANK('FBPQ T4'!E29)," ",'FBPQ T4'!AE29)</f>
        <v>31376</v>
      </c>
      <c r="I37" s="2" t="str">
        <f t="shared" si="1"/>
        <v xml:space="preserve"> </v>
      </c>
    </row>
    <row r="38" spans="1:9">
      <c r="C38" s="2" t="s">
        <v>106</v>
      </c>
      <c r="D38" s="2" t="s">
        <v>518</v>
      </c>
      <c r="E38" s="2" t="str">
        <f>IF(ISNUMBER('FBPQ C2'!J30),'FBPQ C2'!J30,IF(ISNUMBER('FBPQ C2'!I30),'FBPQ C2'!I30,""))</f>
        <v/>
      </c>
      <c r="F38" s="2" t="s">
        <v>789</v>
      </c>
      <c r="G38" s="2" t="str">
        <f t="shared" si="0"/>
        <v>DATA</v>
      </c>
      <c r="H38" s="2">
        <f>IF(ISBLANK('FBPQ T4'!E30)," ",'FBPQ T4'!AE30)</f>
        <v>2653</v>
      </c>
      <c r="I38" s="2" t="str">
        <f t="shared" si="1"/>
        <v xml:space="preserve"> </v>
      </c>
    </row>
    <row r="39" spans="1:9">
      <c r="E39" s="2" t="str">
        <f>IF(ISNUMBER('FBPQ C2'!J31),'FBPQ C2'!J31,IF(ISNUMBER('FBPQ C2'!I31),'FBPQ C2'!I31,""))</f>
        <v/>
      </c>
      <c r="G39" s="2">
        <f t="shared" si="0"/>
        <v>0</v>
      </c>
      <c r="H39" s="2" t="str">
        <f>IF(ISBLANK('FBPQ T4'!E31)," ",'FBPQ T4'!AE31)</f>
        <v xml:space="preserve"> </v>
      </c>
      <c r="I39" s="2" t="str">
        <f t="shared" si="1"/>
        <v xml:space="preserve"> </v>
      </c>
    </row>
    <row r="40" spans="1:9">
      <c r="A40" s="1" t="s">
        <v>107</v>
      </c>
      <c r="E40" s="2" t="str">
        <f>IF(ISNUMBER('FBPQ C2'!J32),'FBPQ C2'!J32,IF(ISNUMBER('FBPQ C2'!I32),'FBPQ C2'!I32,""))</f>
        <v/>
      </c>
      <c r="G40" s="2">
        <f t="shared" si="0"/>
        <v>0</v>
      </c>
      <c r="H40" s="2" t="str">
        <f>IF(ISBLANK('FBPQ T4'!E32)," ",'FBPQ T4'!AE32)</f>
        <v xml:space="preserve"> </v>
      </c>
      <c r="I40" s="2" t="str">
        <f t="shared" si="1"/>
        <v xml:space="preserve"> </v>
      </c>
    </row>
    <row r="41" spans="1:9">
      <c r="B41" s="2" t="s">
        <v>430</v>
      </c>
      <c r="E41" s="2" t="str">
        <f>IF(ISNUMBER('FBPQ C2'!J33),'FBPQ C2'!J33,IF(ISNUMBER('FBPQ C2'!I33),'FBPQ C2'!I33,""))</f>
        <v/>
      </c>
      <c r="G41" s="2">
        <f t="shared" si="0"/>
        <v>0</v>
      </c>
      <c r="H41" s="2" t="str">
        <f>IF(ISBLANK('FBPQ T4'!E33)," ",'FBPQ T4'!AE33)</f>
        <v xml:space="preserve"> </v>
      </c>
      <c r="I41" s="2" t="str">
        <f t="shared" si="1"/>
        <v xml:space="preserve"> </v>
      </c>
    </row>
    <row r="42" spans="1:9">
      <c r="C42" s="2" t="s">
        <v>108</v>
      </c>
      <c r="D42" s="2" t="s">
        <v>517</v>
      </c>
      <c r="E42" s="2">
        <f>IF(ISNUMBER('FBPQ C2'!J34),'FBPQ C2'!J34,IF(ISNUMBER('FBPQ C2'!I34),'FBPQ C2'!I34,""))</f>
        <v>20.82</v>
      </c>
      <c r="F42" s="2" t="s">
        <v>789</v>
      </c>
      <c r="G42" s="2">
        <f t="shared" si="0"/>
        <v>20.82</v>
      </c>
      <c r="H42" s="2">
        <f>IF(ISBLANK('FBPQ T4'!E34)," ",'FBPQ T4'!AE34)</f>
        <v>12207</v>
      </c>
      <c r="I42" s="2">
        <f t="shared" si="1"/>
        <v>254149.74</v>
      </c>
    </row>
    <row r="43" spans="1:9">
      <c r="C43" s="2" t="s">
        <v>109</v>
      </c>
      <c r="D43" s="2" t="s">
        <v>517</v>
      </c>
      <c r="E43" s="2" t="str">
        <f>IF(ISNUMBER('FBPQ C2'!J35),'FBPQ C2'!J35,IF(ISNUMBER('FBPQ C2'!I35),'FBPQ C2'!I35,""))</f>
        <v/>
      </c>
      <c r="F43" s="2" t="s">
        <v>789</v>
      </c>
      <c r="G43" s="2" t="str">
        <f t="shared" si="0"/>
        <v xml:space="preserve"> </v>
      </c>
      <c r="H43" s="2">
        <f>IF(ISBLANK('FBPQ T4'!E35)," ",'FBPQ T4'!AE35)</f>
        <v>0</v>
      </c>
      <c r="I43" s="2" t="str">
        <f t="shared" si="1"/>
        <v xml:space="preserve"> </v>
      </c>
    </row>
    <row r="44" spans="1:9">
      <c r="C44" s="2" t="s">
        <v>110</v>
      </c>
      <c r="D44" s="2" t="s">
        <v>517</v>
      </c>
      <c r="E44" s="2" t="str">
        <f>IF(ISNUMBER('FBPQ C2'!J36),'FBPQ C2'!J36,IF(ISNUMBER('FBPQ C2'!I36),'FBPQ C2'!I36,""))</f>
        <v/>
      </c>
      <c r="F44" s="2" t="s">
        <v>789</v>
      </c>
      <c r="G44" s="2" t="str">
        <f t="shared" si="0"/>
        <v xml:space="preserve"> </v>
      </c>
      <c r="H44" s="2">
        <f>IF(ISBLANK('FBPQ T4'!E36)," ",'FBPQ T4'!AE36)</f>
        <v>0</v>
      </c>
      <c r="I44" s="2" t="str">
        <f t="shared" si="1"/>
        <v xml:space="preserve"> </v>
      </c>
    </row>
    <row r="45" spans="1:9">
      <c r="C45" s="2" t="s">
        <v>111</v>
      </c>
      <c r="D45" s="2" t="s">
        <v>517</v>
      </c>
      <c r="E45" s="2" t="str">
        <f>IF(ISNUMBER('FBPQ C2'!J37),'FBPQ C2'!J37,IF(ISNUMBER('FBPQ C2'!I37),'FBPQ C2'!I37,""))</f>
        <v/>
      </c>
      <c r="F45" s="2" t="s">
        <v>789</v>
      </c>
      <c r="G45" s="2" t="str">
        <f t="shared" si="0"/>
        <v xml:space="preserve"> </v>
      </c>
      <c r="H45" s="2">
        <f>IF(ISBLANK('FBPQ T4'!E37)," ",'FBPQ T4'!AE37)</f>
        <v>0</v>
      </c>
      <c r="I45" s="2" t="str">
        <f t="shared" si="1"/>
        <v xml:space="preserve"> </v>
      </c>
    </row>
    <row r="46" spans="1:9">
      <c r="E46" s="2" t="str">
        <f>IF(ISNUMBER('FBPQ C2'!J38),'FBPQ C2'!J38,IF(ISNUMBER('FBPQ C2'!I38),'FBPQ C2'!I38,""))</f>
        <v/>
      </c>
      <c r="G46" s="2">
        <f t="shared" si="0"/>
        <v>0</v>
      </c>
      <c r="H46" s="2" t="str">
        <f>IF(ISBLANK('FBPQ T4'!E38)," ",'FBPQ T4'!AE38)</f>
        <v xml:space="preserve"> </v>
      </c>
      <c r="I46" s="2" t="str">
        <f t="shared" si="1"/>
        <v xml:space="preserve"> </v>
      </c>
    </row>
    <row r="47" spans="1:9">
      <c r="B47" s="2" t="s">
        <v>93</v>
      </c>
      <c r="E47" s="2" t="str">
        <f>IF(ISNUMBER('FBPQ C2'!J39),'FBPQ C2'!J39,IF(ISNUMBER('FBPQ C2'!I39),'FBPQ C2'!I39,""))</f>
        <v/>
      </c>
      <c r="G47" s="2">
        <f t="shared" si="0"/>
        <v>0</v>
      </c>
      <c r="H47" s="2" t="str">
        <f>IF(ISBLANK('FBPQ T4'!E39)," ",'FBPQ T4'!AE39)</f>
        <v xml:space="preserve"> </v>
      </c>
      <c r="I47" s="2" t="str">
        <f t="shared" si="1"/>
        <v xml:space="preserve"> </v>
      </c>
    </row>
    <row r="48" spans="1:9">
      <c r="C48" s="2" t="s">
        <v>112</v>
      </c>
      <c r="D48" s="2" t="s">
        <v>518</v>
      </c>
      <c r="E48" s="2">
        <f>IF(ISNUMBER('FBPQ C2'!J40),'FBPQ C2'!J40,IF(ISNUMBER('FBPQ C2'!I40),'FBPQ C2'!I40,""))</f>
        <v>2.0499999999999998</v>
      </c>
      <c r="F48" s="2" t="s">
        <v>789</v>
      </c>
      <c r="G48" s="2">
        <f t="shared" si="0"/>
        <v>2.0499999999999998</v>
      </c>
      <c r="H48" s="2">
        <f>IF(ISBLANK('FBPQ T4'!E40)," ",'FBPQ T4'!AE40)</f>
        <v>162533</v>
      </c>
      <c r="I48" s="2">
        <f t="shared" si="1"/>
        <v>333192.64999999997</v>
      </c>
    </row>
    <row r="49" spans="2:9">
      <c r="C49" s="2" t="s">
        <v>113</v>
      </c>
      <c r="D49" s="2" t="s">
        <v>518</v>
      </c>
      <c r="E49" s="2" t="str">
        <f>IF(ISNUMBER('FBPQ C2'!J41),'FBPQ C2'!J41,IF(ISNUMBER('FBPQ C2'!I41),'FBPQ C2'!I41,""))</f>
        <v/>
      </c>
      <c r="F49" s="2" t="s">
        <v>789</v>
      </c>
      <c r="G49" s="2" t="str">
        <f t="shared" si="0"/>
        <v xml:space="preserve"> </v>
      </c>
      <c r="H49" s="2">
        <f>IF(ISBLANK('FBPQ T4'!E41)," ",'FBPQ T4'!AE41)</f>
        <v>0</v>
      </c>
      <c r="I49" s="2" t="str">
        <f t="shared" si="1"/>
        <v xml:space="preserve"> </v>
      </c>
    </row>
    <row r="50" spans="2:9">
      <c r="E50" s="2" t="str">
        <f>IF(ISNUMBER('FBPQ C2'!J42),'FBPQ C2'!J42,IF(ISNUMBER('FBPQ C2'!I42),'FBPQ C2'!I42,""))</f>
        <v/>
      </c>
      <c r="F50" s="2" t="s">
        <v>789</v>
      </c>
      <c r="G50" s="2" t="str">
        <f t="shared" si="0"/>
        <v>DATA</v>
      </c>
      <c r="H50" s="2" t="str">
        <f>IF(ISBLANK('FBPQ T4'!E42)," ",'FBPQ T4'!AE42)</f>
        <v xml:space="preserve"> </v>
      </c>
      <c r="I50" s="2" t="str">
        <f t="shared" si="1"/>
        <v xml:space="preserve"> </v>
      </c>
    </row>
    <row r="51" spans="2:9">
      <c r="B51" s="2" t="s">
        <v>114</v>
      </c>
      <c r="E51" s="2" t="str">
        <f>IF(ISNUMBER('FBPQ C2'!J43),'FBPQ C2'!J43,IF(ISNUMBER('FBPQ C2'!I43),'FBPQ C2'!I43,""))</f>
        <v/>
      </c>
      <c r="G51" s="2">
        <f t="shared" si="0"/>
        <v>0</v>
      </c>
      <c r="H51" s="2" t="str">
        <f>IF(ISBLANK('FBPQ T4'!E43)," ",'FBPQ T4'!AE43)</f>
        <v xml:space="preserve"> </v>
      </c>
      <c r="I51" s="2" t="str">
        <f t="shared" si="1"/>
        <v xml:space="preserve"> </v>
      </c>
    </row>
    <row r="52" spans="2:9">
      <c r="C52" s="2" t="s">
        <v>115</v>
      </c>
      <c r="D52" s="2" t="s">
        <v>517</v>
      </c>
      <c r="E52" s="2">
        <f>IF(ISNUMBER('FBPQ C2'!J44),'FBPQ C2'!J44,IF(ISNUMBER('FBPQ C2'!I44),'FBPQ C2'!I44,""))</f>
        <v>84.36</v>
      </c>
      <c r="F52" s="2" t="s">
        <v>789</v>
      </c>
      <c r="G52" s="2">
        <f t="shared" si="0"/>
        <v>84.36</v>
      </c>
      <c r="H52" s="2">
        <f>IF(ISBLANK('FBPQ T4'!E44)," ",'FBPQ T4'!AE44)</f>
        <v>5461.7</v>
      </c>
      <c r="I52" s="2">
        <f t="shared" si="1"/>
        <v>460749.01199999999</v>
      </c>
    </row>
    <row r="53" spans="2:9">
      <c r="C53" s="2" t="s">
        <v>116</v>
      </c>
      <c r="D53" s="2" t="s">
        <v>517</v>
      </c>
      <c r="E53" s="2" t="str">
        <f>IF(ISNUMBER('FBPQ C2'!J45),'FBPQ C2'!J45,IF(ISNUMBER('FBPQ C2'!I45),'FBPQ C2'!I45,""))</f>
        <v/>
      </c>
      <c r="F53" s="2" t="s">
        <v>789</v>
      </c>
      <c r="G53" s="2" t="str">
        <f t="shared" si="0"/>
        <v xml:space="preserve"> </v>
      </c>
      <c r="H53" s="2">
        <f>IF(ISBLANK('FBPQ T4'!E45)," ",'FBPQ T4'!AE45)</f>
        <v>0</v>
      </c>
      <c r="I53" s="2" t="str">
        <f t="shared" si="1"/>
        <v xml:space="preserve"> </v>
      </c>
    </row>
    <row r="54" spans="2:9">
      <c r="E54" s="2" t="str">
        <f>IF(ISNUMBER('FBPQ C2'!J46),'FBPQ C2'!J46,IF(ISNUMBER('FBPQ C2'!I46),'FBPQ C2'!I46,""))</f>
        <v/>
      </c>
      <c r="G54" s="2">
        <f t="shared" si="0"/>
        <v>0</v>
      </c>
      <c r="H54" s="2" t="str">
        <f>IF(ISBLANK('FBPQ T4'!E46)," ",'FBPQ T4'!AE46)</f>
        <v xml:space="preserve"> </v>
      </c>
      <c r="I54" s="2" t="str">
        <f t="shared" si="1"/>
        <v xml:space="preserve"> </v>
      </c>
    </row>
    <row r="55" spans="2:9">
      <c r="B55" s="2" t="s">
        <v>117</v>
      </c>
      <c r="E55" s="2" t="str">
        <f>IF(ISNUMBER('FBPQ C2'!J47),'FBPQ C2'!J47,IF(ISNUMBER('FBPQ C2'!I47),'FBPQ C2'!I47,""))</f>
        <v/>
      </c>
      <c r="G55" s="2">
        <f t="shared" si="0"/>
        <v>0</v>
      </c>
      <c r="H55" s="2" t="str">
        <f>IF(ISBLANK('FBPQ T4'!E47)," ",'FBPQ T4'!AE47)</f>
        <v xml:space="preserve"> </v>
      </c>
      <c r="I55" s="2" t="str">
        <f t="shared" si="1"/>
        <v xml:space="preserve"> </v>
      </c>
    </row>
    <row r="56" spans="2:9">
      <c r="C56" s="2" t="s">
        <v>118</v>
      </c>
      <c r="D56" s="2" t="s">
        <v>517</v>
      </c>
      <c r="E56" s="2">
        <f>IF(ISNUMBER('FBPQ C2'!J48),'FBPQ C2'!J48,IF(ISNUMBER('FBPQ C2'!I48),'FBPQ C2'!I48,""))</f>
        <v>535.69000000000005</v>
      </c>
      <c r="F56" s="2" t="s">
        <v>789</v>
      </c>
      <c r="G56" s="2">
        <f t="shared" si="0"/>
        <v>535.69000000000005</v>
      </c>
      <c r="H56" s="2">
        <f>IF(ISBLANK('FBPQ T4'!E48)," ",'FBPQ T4'!AE48)</f>
        <v>5</v>
      </c>
      <c r="I56" s="2">
        <f t="shared" si="1"/>
        <v>2678.4500000000003</v>
      </c>
    </row>
    <row r="57" spans="2:9">
      <c r="E57" s="2" t="str">
        <f>IF(ISNUMBER('FBPQ C2'!J49),'FBPQ C2'!J49,IF(ISNUMBER('FBPQ C2'!I49),'FBPQ C2'!I49,""))</f>
        <v/>
      </c>
      <c r="F57" s="2" t="s">
        <v>789</v>
      </c>
      <c r="G57" s="2" t="str">
        <f t="shared" si="0"/>
        <v>DATA</v>
      </c>
      <c r="H57" s="2" t="str">
        <f>IF(ISBLANK('FBPQ T4'!E49)," ",'FBPQ T4'!AE49)</f>
        <v xml:space="preserve"> </v>
      </c>
      <c r="I57" s="2" t="str">
        <f t="shared" si="1"/>
        <v xml:space="preserve"> </v>
      </c>
    </row>
    <row r="58" spans="2:9">
      <c r="B58" s="2" t="s">
        <v>100</v>
      </c>
      <c r="E58" s="2" t="str">
        <f>IF(ISNUMBER('FBPQ C2'!J50),'FBPQ C2'!J50,IF(ISNUMBER('FBPQ C2'!I50),'FBPQ C2'!I50,""))</f>
        <v/>
      </c>
      <c r="G58" s="2">
        <f t="shared" si="0"/>
        <v>0</v>
      </c>
      <c r="H58" s="2" t="str">
        <f>IF(ISBLANK('FBPQ T4'!E50)," ",'FBPQ T4'!AE50)</f>
        <v xml:space="preserve"> </v>
      </c>
      <c r="I58" s="2" t="str">
        <f t="shared" si="1"/>
        <v xml:space="preserve"> </v>
      </c>
    </row>
    <row r="59" spans="2:9">
      <c r="C59" s="2" t="s">
        <v>119</v>
      </c>
      <c r="D59" s="2" t="s">
        <v>518</v>
      </c>
      <c r="E59" s="2">
        <f>IF(ISNUMBER('FBPQ C2'!J51),'FBPQ C2'!J51,IF(ISNUMBER('FBPQ C2'!I51),'FBPQ C2'!I51,""))</f>
        <v>8.31</v>
      </c>
      <c r="F59" s="2" t="s">
        <v>789</v>
      </c>
      <c r="G59" s="2">
        <f t="shared" si="0"/>
        <v>8.31</v>
      </c>
      <c r="H59" s="2">
        <f>IF(ISBLANK('FBPQ T4'!E51)," ",'FBPQ T4'!AE51)</f>
        <v>913</v>
      </c>
      <c r="I59" s="2">
        <f t="shared" si="1"/>
        <v>7587.0300000000007</v>
      </c>
    </row>
    <row r="60" spans="2:9">
      <c r="C60" s="2" t="s">
        <v>120</v>
      </c>
      <c r="D60" s="2" t="s">
        <v>518</v>
      </c>
      <c r="E60" s="2">
        <f>IF(ISNUMBER('FBPQ C2'!J52),'FBPQ C2'!J52,IF(ISNUMBER('FBPQ C2'!I52),'FBPQ C2'!I52,""))</f>
        <v>24.52</v>
      </c>
      <c r="F60" s="2" t="s">
        <v>789</v>
      </c>
      <c r="G60" s="2">
        <f t="shared" si="0"/>
        <v>24.52</v>
      </c>
      <c r="H60" s="2">
        <f>IF(ISBLANK('FBPQ T4'!E52)," ",'FBPQ T4'!AE52)</f>
        <v>3015</v>
      </c>
      <c r="I60" s="2">
        <f t="shared" si="1"/>
        <v>73927.8</v>
      </c>
    </row>
    <row r="61" spans="2:9">
      <c r="C61" s="2" t="s">
        <v>121</v>
      </c>
      <c r="D61" s="2" t="s">
        <v>518</v>
      </c>
      <c r="E61" s="2">
        <f>IF(ISNUMBER('FBPQ C2'!J53),'FBPQ C2'!J53,IF(ISNUMBER('FBPQ C2'!I53),'FBPQ C2'!I53,""))</f>
        <v>7.06</v>
      </c>
      <c r="F61" s="2" t="s">
        <v>789</v>
      </c>
      <c r="G61" s="2">
        <f t="shared" si="0"/>
        <v>7.06</v>
      </c>
      <c r="H61" s="2">
        <f>IF(ISBLANK('FBPQ T4'!E53)," ",'FBPQ T4'!AE53)</f>
        <v>148</v>
      </c>
      <c r="I61" s="2">
        <f t="shared" si="1"/>
        <v>1044.8799999999999</v>
      </c>
    </row>
    <row r="62" spans="2:9">
      <c r="C62" s="2" t="s">
        <v>122</v>
      </c>
      <c r="D62" s="2" t="s">
        <v>518</v>
      </c>
      <c r="E62" s="2">
        <f>IF(ISNUMBER('FBPQ C2'!J54),'FBPQ C2'!J54,IF(ISNUMBER('FBPQ C2'!I54),'FBPQ C2'!I54,""))</f>
        <v>10.15</v>
      </c>
      <c r="F62" s="2" t="s">
        <v>789</v>
      </c>
      <c r="G62" s="2">
        <f t="shared" si="0"/>
        <v>10.15</v>
      </c>
      <c r="H62" s="2">
        <f>IF(ISBLANK('FBPQ T4'!E54)," ",'FBPQ T4'!AE54)</f>
        <v>2330</v>
      </c>
      <c r="I62" s="2">
        <f t="shared" si="1"/>
        <v>23649.5</v>
      </c>
    </row>
    <row r="63" spans="2:9">
      <c r="C63" s="2" t="s">
        <v>123</v>
      </c>
      <c r="D63" s="2" t="s">
        <v>518</v>
      </c>
      <c r="E63" s="2">
        <f>IF(ISNUMBER('FBPQ C2'!J55),'FBPQ C2'!J55,IF(ISNUMBER('FBPQ C2'!I55),'FBPQ C2'!I55,""))</f>
        <v>12.28</v>
      </c>
      <c r="F63" s="2" t="s">
        <v>789</v>
      </c>
      <c r="G63" s="2">
        <f t="shared" si="0"/>
        <v>12.28</v>
      </c>
      <c r="H63" s="2">
        <f>IF(ISBLANK('FBPQ T4'!E55)," ",'FBPQ T4'!AE55)</f>
        <v>7526</v>
      </c>
      <c r="I63" s="2">
        <f t="shared" si="1"/>
        <v>92419.28</v>
      </c>
    </row>
    <row r="64" spans="2:9">
      <c r="C64" s="2" t="s">
        <v>124</v>
      </c>
      <c r="D64" s="2" t="s">
        <v>518</v>
      </c>
      <c r="E64" s="2" t="str">
        <f>IF(ISNUMBER('FBPQ C2'!J56),'FBPQ C2'!J56,IF(ISNUMBER('FBPQ C2'!I56),'FBPQ C2'!I56,""))</f>
        <v/>
      </c>
      <c r="F64" s="2" t="s">
        <v>789</v>
      </c>
      <c r="G64" s="2" t="str">
        <f t="shared" si="0"/>
        <v>DATA</v>
      </c>
      <c r="H64" s="2">
        <f>IF(ISBLANK('FBPQ T4'!E56)," ",'FBPQ T4'!AE56)</f>
        <v>5702</v>
      </c>
      <c r="I64" s="2" t="str">
        <f t="shared" si="1"/>
        <v xml:space="preserve"> </v>
      </c>
    </row>
    <row r="65" spans="1:9">
      <c r="C65" s="2" t="s">
        <v>125</v>
      </c>
      <c r="D65" s="2" t="s">
        <v>518</v>
      </c>
      <c r="E65" s="2" t="str">
        <f>IF(ISNUMBER('FBPQ C2'!J57),'FBPQ C2'!J57,IF(ISNUMBER('FBPQ C2'!I57),'FBPQ C2'!I57,""))</f>
        <v/>
      </c>
      <c r="F65" s="2" t="s">
        <v>789</v>
      </c>
      <c r="G65" s="2" t="str">
        <f t="shared" si="0"/>
        <v>DATA</v>
      </c>
      <c r="H65" s="2">
        <f>IF(ISBLANK('FBPQ T4'!E57)," ",'FBPQ T4'!AE57)</f>
        <v>1</v>
      </c>
      <c r="I65" s="2" t="str">
        <f t="shared" si="1"/>
        <v xml:space="preserve"> </v>
      </c>
    </row>
    <row r="66" spans="1:9">
      <c r="C66" s="2" t="s">
        <v>126</v>
      </c>
      <c r="D66" s="2" t="s">
        <v>518</v>
      </c>
      <c r="E66" s="2" t="str">
        <f>IF(ISNUMBER('FBPQ C2'!J58),'FBPQ C2'!J58,IF(ISNUMBER('FBPQ C2'!I58),'FBPQ C2'!I58,""))</f>
        <v/>
      </c>
      <c r="F66" s="2" t="s">
        <v>789</v>
      </c>
      <c r="G66" s="2" t="str">
        <f t="shared" si="0"/>
        <v xml:space="preserve"> </v>
      </c>
      <c r="H66" s="2">
        <f>IF(ISBLANK('FBPQ T4'!E58)," ",'FBPQ T4'!AE58)</f>
        <v>0</v>
      </c>
      <c r="I66" s="2" t="str">
        <f t="shared" si="1"/>
        <v xml:space="preserve"> </v>
      </c>
    </row>
    <row r="67" spans="1:9">
      <c r="C67" s="2" t="s">
        <v>127</v>
      </c>
      <c r="D67" s="2" t="s">
        <v>518</v>
      </c>
      <c r="E67" s="2" t="str">
        <f>IF(ISNUMBER('FBPQ C2'!J59),'FBPQ C2'!J59,IF(ISNUMBER('FBPQ C2'!I59),'FBPQ C2'!I59,""))</f>
        <v/>
      </c>
      <c r="F67" s="2" t="s">
        <v>789</v>
      </c>
      <c r="G67" s="2" t="str">
        <f t="shared" si="0"/>
        <v xml:space="preserve"> </v>
      </c>
      <c r="H67" s="2">
        <f>IF(ISBLANK('FBPQ T4'!E59)," ",'FBPQ T4'!AE59)</f>
        <v>0</v>
      </c>
      <c r="I67" s="2" t="str">
        <f t="shared" si="1"/>
        <v xml:space="preserve"> </v>
      </c>
    </row>
    <row r="68" spans="1:9">
      <c r="C68" s="2" t="s">
        <v>128</v>
      </c>
      <c r="D68" s="2" t="s">
        <v>518</v>
      </c>
      <c r="E68" s="2" t="str">
        <f>IF(ISNUMBER('FBPQ C2'!J60),'FBPQ C2'!J60,IF(ISNUMBER('FBPQ C2'!I60),'FBPQ C2'!I60,""))</f>
        <v/>
      </c>
      <c r="F68" s="2" t="s">
        <v>789</v>
      </c>
      <c r="G68" s="2" t="str">
        <f t="shared" si="0"/>
        <v xml:space="preserve"> </v>
      </c>
      <c r="H68" s="2">
        <f>IF(ISBLANK('FBPQ T4'!E60)," ",'FBPQ T4'!AE60)</f>
        <v>0</v>
      </c>
      <c r="I68" s="2" t="str">
        <f t="shared" si="1"/>
        <v xml:space="preserve"> </v>
      </c>
    </row>
    <row r="69" spans="1:9">
      <c r="C69" s="2" t="s">
        <v>129</v>
      </c>
      <c r="D69" s="2" t="s">
        <v>518</v>
      </c>
      <c r="E69" s="2" t="str">
        <f>IF(ISNUMBER('FBPQ C2'!J61),'FBPQ C2'!J61,IF(ISNUMBER('FBPQ C2'!I61),'FBPQ C2'!I61,""))</f>
        <v/>
      </c>
      <c r="F69" s="2" t="s">
        <v>789</v>
      </c>
      <c r="G69" s="2" t="str">
        <f t="shared" si="0"/>
        <v xml:space="preserve"> </v>
      </c>
      <c r="H69" s="2">
        <f>IF(ISBLANK('FBPQ T4'!E61)," ",'FBPQ T4'!AE61)</f>
        <v>0</v>
      </c>
      <c r="I69" s="2" t="str">
        <f t="shared" si="1"/>
        <v xml:space="preserve"> </v>
      </c>
    </row>
    <row r="70" spans="1:9">
      <c r="C70" s="2" t="s">
        <v>130</v>
      </c>
      <c r="D70" s="2" t="s">
        <v>518</v>
      </c>
      <c r="E70" s="2" t="str">
        <f>IF(ISNUMBER('FBPQ C2'!J62),'FBPQ C2'!J62,IF(ISNUMBER('FBPQ C2'!I62),'FBPQ C2'!I62,""))</f>
        <v/>
      </c>
      <c r="F70" s="2" t="s">
        <v>789</v>
      </c>
      <c r="G70" s="2" t="str">
        <f t="shared" si="0"/>
        <v xml:space="preserve"> </v>
      </c>
      <c r="H70" s="2">
        <f>IF(ISBLANK('FBPQ T4'!E62)," ",'FBPQ T4'!AE62)</f>
        <v>0</v>
      </c>
      <c r="I70" s="2" t="str">
        <f t="shared" si="1"/>
        <v xml:space="preserve"> </v>
      </c>
    </row>
    <row r="71" spans="1:9">
      <c r="C71" s="2" t="s">
        <v>131</v>
      </c>
      <c r="D71" s="2" t="s">
        <v>518</v>
      </c>
      <c r="E71" s="2" t="str">
        <f>IF(ISNUMBER('FBPQ C2'!J63),'FBPQ C2'!J63,IF(ISNUMBER('FBPQ C2'!I63),'FBPQ C2'!I63,""))</f>
        <v/>
      </c>
      <c r="F71" s="2" t="s">
        <v>789</v>
      </c>
      <c r="G71" s="2" t="str">
        <f t="shared" si="0"/>
        <v xml:space="preserve"> </v>
      </c>
      <c r="H71" s="2">
        <f>IF(ISBLANK('FBPQ T4'!E63)," ",'FBPQ T4'!AE63)</f>
        <v>0</v>
      </c>
      <c r="I71" s="2" t="str">
        <f t="shared" si="1"/>
        <v xml:space="preserve"> </v>
      </c>
    </row>
    <row r="72" spans="1:9">
      <c r="C72" s="2" t="s">
        <v>132</v>
      </c>
      <c r="D72" s="2" t="s">
        <v>518</v>
      </c>
      <c r="E72" s="2" t="str">
        <f>IF(ISNUMBER('FBPQ C2'!J64),'FBPQ C2'!J64,IF(ISNUMBER('FBPQ C2'!I64),'FBPQ C2'!I64,""))</f>
        <v/>
      </c>
      <c r="F72" s="2" t="s">
        <v>789</v>
      </c>
      <c r="G72" s="2" t="str">
        <f t="shared" si="0"/>
        <v xml:space="preserve"> </v>
      </c>
      <c r="H72" s="2">
        <f>IF(ISBLANK('FBPQ T4'!E64)," ",'FBPQ T4'!AE64)</f>
        <v>0</v>
      </c>
      <c r="I72" s="2" t="str">
        <f t="shared" si="1"/>
        <v xml:space="preserve"> </v>
      </c>
    </row>
    <row r="73" spans="1:9">
      <c r="E73" s="2" t="str">
        <f>IF(ISNUMBER('FBPQ C2'!J65),'FBPQ C2'!J65,IF(ISNUMBER('FBPQ C2'!I65),'FBPQ C2'!I65,""))</f>
        <v/>
      </c>
      <c r="G73" s="2">
        <f t="shared" si="0"/>
        <v>0</v>
      </c>
      <c r="H73" s="2" t="str">
        <f>IF(ISBLANK('FBPQ T4'!E65)," ",'FBPQ T4'!AE65)</f>
        <v xml:space="preserve"> </v>
      </c>
      <c r="I73" s="2" t="str">
        <f t="shared" si="1"/>
        <v xml:space="preserve"> </v>
      </c>
    </row>
    <row r="74" spans="1:9">
      <c r="B74" s="2" t="s">
        <v>133</v>
      </c>
      <c r="E74" s="2" t="str">
        <f>IF(ISNUMBER('FBPQ C2'!J66),'FBPQ C2'!J66,IF(ISNUMBER('FBPQ C2'!I66),'FBPQ C2'!I66,""))</f>
        <v/>
      </c>
      <c r="G74" s="2">
        <f t="shared" si="0"/>
        <v>0</v>
      </c>
      <c r="H74" s="2" t="str">
        <f>IF(ISBLANK('FBPQ T4'!E66)," ",'FBPQ T4'!AE66)</f>
        <v xml:space="preserve"> </v>
      </c>
      <c r="I74" s="2" t="str">
        <f t="shared" si="1"/>
        <v xml:space="preserve"> </v>
      </c>
    </row>
    <row r="75" spans="1:9">
      <c r="C75" s="2" t="s">
        <v>134</v>
      </c>
      <c r="D75" s="2" t="s">
        <v>518</v>
      </c>
      <c r="E75" s="2">
        <f>IF(ISNUMBER('FBPQ C2'!J67),'FBPQ C2'!J67,IF(ISNUMBER('FBPQ C2'!I67),'FBPQ C2'!I67,""))</f>
        <v>1.78</v>
      </c>
      <c r="F75" s="2" t="s">
        <v>789</v>
      </c>
      <c r="G75" s="2">
        <f t="shared" si="0"/>
        <v>1.78</v>
      </c>
      <c r="H75" s="2">
        <f>IF(ISBLANK('FBPQ T4'!E67)," ",'FBPQ T4'!AE67)</f>
        <v>31541</v>
      </c>
      <c r="I75" s="2">
        <f t="shared" si="1"/>
        <v>56142.98</v>
      </c>
    </row>
    <row r="76" spans="1:9">
      <c r="C76" s="2" t="s">
        <v>135</v>
      </c>
      <c r="D76" s="2" t="s">
        <v>518</v>
      </c>
      <c r="E76" s="2">
        <f>IF(ISNUMBER('FBPQ C2'!J68),'FBPQ C2'!J68,IF(ISNUMBER('FBPQ C2'!I68),'FBPQ C2'!I68,""))</f>
        <v>12.82</v>
      </c>
      <c r="F76" s="2" t="s">
        <v>789</v>
      </c>
      <c r="G76" s="2">
        <f t="shared" si="0"/>
        <v>12.82</v>
      </c>
      <c r="H76" s="2">
        <f>IF(ISBLANK('FBPQ T4'!E68)," ",'FBPQ T4'!AE68)</f>
        <v>8203</v>
      </c>
      <c r="I76" s="2">
        <f t="shared" si="1"/>
        <v>105162.46</v>
      </c>
    </row>
    <row r="77" spans="1:9">
      <c r="C77" s="2" t="s">
        <v>136</v>
      </c>
      <c r="D77" s="2" t="s">
        <v>518</v>
      </c>
      <c r="E77" s="2" t="str">
        <f>IF(ISNUMBER('FBPQ C2'!J69),'FBPQ C2'!J69,IF(ISNUMBER('FBPQ C2'!I69),'FBPQ C2'!I69,""))</f>
        <v/>
      </c>
      <c r="F77" s="2" t="s">
        <v>789</v>
      </c>
      <c r="G77" s="2" t="str">
        <f t="shared" si="0"/>
        <v xml:space="preserve"> </v>
      </c>
      <c r="H77" s="2">
        <f>IF(ISBLANK('FBPQ T4'!E69)," ",'FBPQ T4'!AE69)</f>
        <v>0</v>
      </c>
      <c r="I77" s="2" t="str">
        <f t="shared" si="1"/>
        <v xml:space="preserve"> </v>
      </c>
    </row>
    <row r="78" spans="1:9">
      <c r="C78" s="2" t="s">
        <v>137</v>
      </c>
      <c r="D78" s="2" t="s">
        <v>518</v>
      </c>
      <c r="E78" s="2" t="str">
        <f>IF(ISNUMBER('FBPQ C2'!J70),'FBPQ C2'!J70,IF(ISNUMBER('FBPQ C2'!I70),'FBPQ C2'!I70,""))</f>
        <v/>
      </c>
      <c r="F78" s="2" t="s">
        <v>789</v>
      </c>
      <c r="G78" s="2" t="str">
        <f t="shared" si="0"/>
        <v xml:space="preserve"> </v>
      </c>
      <c r="H78" s="2">
        <f>IF(ISBLANK('FBPQ T4'!E70)," ",'FBPQ T4'!AE70)</f>
        <v>0</v>
      </c>
      <c r="I78" s="2" t="str">
        <f t="shared" si="1"/>
        <v xml:space="preserve"> </v>
      </c>
    </row>
    <row r="79" spans="1:9">
      <c r="E79" s="2" t="str">
        <f>IF(ISNUMBER('FBPQ C2'!J71),'FBPQ C2'!J71,IF(ISNUMBER('FBPQ C2'!I71),'FBPQ C2'!I71,""))</f>
        <v/>
      </c>
      <c r="G79" s="2">
        <f t="shared" si="0"/>
        <v>0</v>
      </c>
      <c r="H79" s="2" t="str">
        <f>IF(ISBLANK('FBPQ T4'!E71)," ",'FBPQ T4'!AE71)</f>
        <v xml:space="preserve"> </v>
      </c>
      <c r="I79" s="2" t="str">
        <f t="shared" si="1"/>
        <v xml:space="preserve"> </v>
      </c>
    </row>
    <row r="80" spans="1:9">
      <c r="A80" s="1" t="s">
        <v>138</v>
      </c>
      <c r="E80" s="2" t="str">
        <f>IF(ISNUMBER('FBPQ C2'!J72),'FBPQ C2'!J72,IF(ISNUMBER('FBPQ C2'!I72),'FBPQ C2'!I72,""))</f>
        <v/>
      </c>
      <c r="G80" s="2">
        <f t="shared" si="0"/>
        <v>0</v>
      </c>
      <c r="H80" s="2" t="str">
        <f>IF(ISBLANK('FBPQ T4'!E72)," ",'FBPQ T4'!AE72)</f>
        <v xml:space="preserve"> </v>
      </c>
      <c r="I80" s="2" t="str">
        <f t="shared" si="1"/>
        <v xml:space="preserve"> </v>
      </c>
    </row>
    <row r="81" spans="2:9">
      <c r="B81" s="2" t="s">
        <v>430</v>
      </c>
      <c r="E81" s="2" t="str">
        <f>IF(ISNUMBER('FBPQ C2'!J73),'FBPQ C2'!J73,IF(ISNUMBER('FBPQ C2'!I73),'FBPQ C2'!I73,""))</f>
        <v/>
      </c>
      <c r="G81" s="2">
        <f t="shared" si="0"/>
        <v>0</v>
      </c>
      <c r="H81" s="2" t="str">
        <f>IF(ISBLANK('FBPQ T4'!E73)," ",'FBPQ T4'!AE73)</f>
        <v xml:space="preserve"> </v>
      </c>
      <c r="I81" s="2" t="str">
        <f t="shared" si="1"/>
        <v xml:space="preserve"> </v>
      </c>
    </row>
    <row r="82" spans="2:9">
      <c r="C82" s="2" t="s">
        <v>139</v>
      </c>
      <c r="D82" s="2" t="s">
        <v>517</v>
      </c>
      <c r="E82" s="2">
        <f>IF(ISNUMBER('FBPQ C2'!J74),'FBPQ C2'!J74,IF(ISNUMBER('FBPQ C2'!I74),'FBPQ C2'!I74,""))</f>
        <v>26.88</v>
      </c>
      <c r="F82" s="2" t="s">
        <v>789</v>
      </c>
      <c r="G82" s="2">
        <f t="shared" si="0"/>
        <v>26.88</v>
      </c>
      <c r="H82" s="2">
        <f>IF(ISBLANK('FBPQ T4'!E74)," ",'FBPQ T4'!AE74)</f>
        <v>1186</v>
      </c>
      <c r="I82" s="2">
        <f t="shared" si="1"/>
        <v>31879.68</v>
      </c>
    </row>
    <row r="83" spans="2:9">
      <c r="C83" s="2" t="s">
        <v>140</v>
      </c>
      <c r="D83" s="2" t="s">
        <v>517</v>
      </c>
      <c r="E83" s="2">
        <f>IF(ISNUMBER('FBPQ C2'!J75),'FBPQ C2'!J75,IF(ISNUMBER('FBPQ C2'!I75),'FBPQ C2'!I75,""))</f>
        <v>33.67</v>
      </c>
      <c r="F83" s="2" t="s">
        <v>789</v>
      </c>
      <c r="G83" s="2">
        <f t="shared" si="0"/>
        <v>33.67</v>
      </c>
      <c r="H83" s="2">
        <f>IF(ISBLANK('FBPQ T4'!E75)," ",'FBPQ T4'!AE75)</f>
        <v>41</v>
      </c>
      <c r="I83" s="2">
        <f t="shared" si="1"/>
        <v>1380.47</v>
      </c>
    </row>
    <row r="84" spans="2:9">
      <c r="C84" s="2" t="s">
        <v>141</v>
      </c>
      <c r="D84" s="2" t="s">
        <v>517</v>
      </c>
      <c r="E84" s="2">
        <f>IF(ISNUMBER('FBPQ C2'!J76),'FBPQ C2'!J76,IF(ISNUMBER('FBPQ C2'!I76),'FBPQ C2'!I76,""))</f>
        <v>41.55</v>
      </c>
      <c r="F84" s="2" t="s">
        <v>789</v>
      </c>
      <c r="G84" s="2">
        <f t="shared" ref="G84:G147" si="2">IF(ISNUMBER(E84),E84,IF(H84&gt;0,F84," "))</f>
        <v>41.55</v>
      </c>
      <c r="H84" s="2">
        <f>IF(ISBLANK('FBPQ T4'!E76)," ",'FBPQ T4'!AE76)</f>
        <v>329</v>
      </c>
      <c r="I84" s="2">
        <f t="shared" ref="I84:I147" si="3">IF(ISERROR(G84*H84)," ",G84*H84)</f>
        <v>13669.949999999999</v>
      </c>
    </row>
    <row r="85" spans="2:9">
      <c r="C85" s="2" t="s">
        <v>142</v>
      </c>
      <c r="D85" s="2" t="s">
        <v>517</v>
      </c>
      <c r="E85" s="2">
        <f>IF(ISNUMBER('FBPQ C2'!J77),'FBPQ C2'!J77,IF(ISNUMBER('FBPQ C2'!I77),'FBPQ C2'!I77,""))</f>
        <v>52.49</v>
      </c>
      <c r="F85" s="2" t="s">
        <v>789</v>
      </c>
      <c r="G85" s="2">
        <f t="shared" si="2"/>
        <v>52.49</v>
      </c>
      <c r="H85" s="2">
        <f>IF(ISBLANK('FBPQ T4'!E77)," ",'FBPQ T4'!AE77)</f>
        <v>28</v>
      </c>
      <c r="I85" s="2">
        <f t="shared" si="3"/>
        <v>1469.72</v>
      </c>
    </row>
    <row r="86" spans="2:9">
      <c r="E86" s="2" t="str">
        <f>IF(ISNUMBER('FBPQ C2'!J78),'FBPQ C2'!J78,IF(ISNUMBER('FBPQ C2'!I78),'FBPQ C2'!I78,""))</f>
        <v/>
      </c>
      <c r="G86" s="2">
        <f t="shared" si="2"/>
        <v>0</v>
      </c>
      <c r="H86" s="2" t="str">
        <f>IF(ISBLANK('FBPQ T4'!E78)," ",'FBPQ T4'!AE78)</f>
        <v xml:space="preserve"> </v>
      </c>
      <c r="I86" s="2" t="str">
        <f t="shared" si="3"/>
        <v xml:space="preserve"> </v>
      </c>
    </row>
    <row r="87" spans="2:9">
      <c r="B87" s="2" t="s">
        <v>93</v>
      </c>
      <c r="E87" s="2" t="str">
        <f>IF(ISNUMBER('FBPQ C2'!J79),'FBPQ C2'!J79,IF(ISNUMBER('FBPQ C2'!I79),'FBPQ C2'!I79,""))</f>
        <v/>
      </c>
      <c r="G87" s="2">
        <f t="shared" si="2"/>
        <v>0</v>
      </c>
      <c r="H87" s="2" t="str">
        <f>IF(ISBLANK('FBPQ T4'!E79)," ",'FBPQ T4'!AE79)</f>
        <v xml:space="preserve"> </v>
      </c>
      <c r="I87" s="2" t="str">
        <f t="shared" si="3"/>
        <v xml:space="preserve"> </v>
      </c>
    </row>
    <row r="88" spans="2:9">
      <c r="C88" s="2" t="s">
        <v>143</v>
      </c>
      <c r="D88" s="2" t="s">
        <v>518</v>
      </c>
      <c r="E88" s="2">
        <f>IF(ISNUMBER('FBPQ C2'!J80),'FBPQ C2'!J80,IF(ISNUMBER('FBPQ C2'!I80),'FBPQ C2'!I80,""))</f>
        <v>2.61</v>
      </c>
      <c r="F88" s="2" t="s">
        <v>789</v>
      </c>
      <c r="G88" s="2">
        <f t="shared" si="2"/>
        <v>2.61</v>
      </c>
      <c r="H88" s="2">
        <f>IF(ISBLANK('FBPQ T4'!E80)," ",'FBPQ T4'!AE80)</f>
        <v>15324</v>
      </c>
      <c r="I88" s="2">
        <f t="shared" si="3"/>
        <v>39995.64</v>
      </c>
    </row>
    <row r="89" spans="2:9">
      <c r="C89" s="2" t="s">
        <v>144</v>
      </c>
      <c r="D89" s="2" t="s">
        <v>518</v>
      </c>
      <c r="E89" s="2">
        <f>IF(ISNUMBER('FBPQ C2'!J81),'FBPQ C2'!J81,IF(ISNUMBER('FBPQ C2'!I81),'FBPQ C2'!I81,""))</f>
        <v>45.36</v>
      </c>
      <c r="F89" s="2" t="s">
        <v>789</v>
      </c>
      <c r="G89" s="2">
        <f t="shared" si="2"/>
        <v>45.36</v>
      </c>
      <c r="H89" s="2">
        <f>IF(ISBLANK('FBPQ T4'!E81)," ",'FBPQ T4'!AE81)</f>
        <v>190</v>
      </c>
      <c r="I89" s="2">
        <f t="shared" si="3"/>
        <v>8618.4</v>
      </c>
    </row>
    <row r="90" spans="2:9">
      <c r="C90" s="2" t="s">
        <v>145</v>
      </c>
      <c r="D90" s="2" t="s">
        <v>518</v>
      </c>
      <c r="E90" s="2">
        <f>IF(ISNUMBER('FBPQ C2'!J82),'FBPQ C2'!J82,IF(ISNUMBER('FBPQ C2'!I82),'FBPQ C2'!I82,""))</f>
        <v>3.61</v>
      </c>
      <c r="F90" s="2" t="s">
        <v>789</v>
      </c>
      <c r="G90" s="2">
        <f t="shared" si="2"/>
        <v>3.61</v>
      </c>
      <c r="H90" s="2">
        <f>IF(ISBLANK('FBPQ T4'!E82)," ",'FBPQ T4'!AE82)</f>
        <v>4318</v>
      </c>
      <c r="I90" s="2">
        <f t="shared" si="3"/>
        <v>15587.98</v>
      </c>
    </row>
    <row r="91" spans="2:9">
      <c r="C91" s="2" t="s">
        <v>146</v>
      </c>
      <c r="D91" s="2" t="s">
        <v>518</v>
      </c>
      <c r="E91" s="2">
        <f>IF(ISNUMBER('FBPQ C2'!J83),'FBPQ C2'!J83,IF(ISNUMBER('FBPQ C2'!I83),'FBPQ C2'!I83,""))</f>
        <v>74.53</v>
      </c>
      <c r="F91" s="2" t="s">
        <v>789</v>
      </c>
      <c r="G91" s="2">
        <f t="shared" si="2"/>
        <v>74.53</v>
      </c>
      <c r="H91" s="2">
        <f>IF(ISBLANK('FBPQ T4'!E83)," ",'FBPQ T4'!AE83)</f>
        <v>251</v>
      </c>
      <c r="I91" s="2">
        <f t="shared" si="3"/>
        <v>18707.03</v>
      </c>
    </row>
    <row r="92" spans="2:9">
      <c r="E92" s="2" t="str">
        <f>IF(ISNUMBER('FBPQ C2'!J84),'FBPQ C2'!J84,IF(ISNUMBER('FBPQ C2'!I84),'FBPQ C2'!I84,""))</f>
        <v/>
      </c>
      <c r="G92" s="2">
        <f t="shared" si="2"/>
        <v>0</v>
      </c>
      <c r="H92" s="2" t="str">
        <f>IF(ISBLANK('FBPQ T4'!E84)," ",'FBPQ T4'!AE84)</f>
        <v xml:space="preserve"> </v>
      </c>
      <c r="I92" s="2" t="str">
        <f t="shared" si="3"/>
        <v xml:space="preserve"> </v>
      </c>
    </row>
    <row r="93" spans="2:9">
      <c r="B93" s="2" t="s">
        <v>114</v>
      </c>
      <c r="E93" s="2" t="str">
        <f>IF(ISNUMBER('FBPQ C2'!J85),'FBPQ C2'!J85,IF(ISNUMBER('FBPQ C2'!I85),'FBPQ C2'!I85,""))</f>
        <v/>
      </c>
      <c r="G93" s="2">
        <f t="shared" si="2"/>
        <v>0</v>
      </c>
      <c r="H93" s="2" t="str">
        <f>IF(ISBLANK('FBPQ T4'!E85)," ",'FBPQ T4'!AE85)</f>
        <v xml:space="preserve"> </v>
      </c>
      <c r="I93" s="2" t="str">
        <f t="shared" si="3"/>
        <v xml:space="preserve"> </v>
      </c>
    </row>
    <row r="94" spans="2:9">
      <c r="C94" s="2" t="s">
        <v>147</v>
      </c>
      <c r="D94" s="2" t="s">
        <v>517</v>
      </c>
      <c r="E94" s="2">
        <f>IF(ISNUMBER('FBPQ C2'!J86),'FBPQ C2'!J86,IF(ISNUMBER('FBPQ C2'!I86),'FBPQ C2'!I86,""))</f>
        <v>173.04</v>
      </c>
      <c r="F94" s="2" t="s">
        <v>789</v>
      </c>
      <c r="G94" s="2">
        <f t="shared" si="2"/>
        <v>173.04</v>
      </c>
      <c r="H94" s="2">
        <f>IF(ISBLANK('FBPQ T4'!E86)," ",'FBPQ T4'!AE86)</f>
        <v>386.84</v>
      </c>
      <c r="I94" s="2">
        <f t="shared" si="3"/>
        <v>66938.79359999999</v>
      </c>
    </row>
    <row r="95" spans="2:9">
      <c r="C95" s="2" t="s">
        <v>148</v>
      </c>
      <c r="D95" s="2" t="s">
        <v>517</v>
      </c>
      <c r="E95" s="2">
        <f>IF(ISNUMBER('FBPQ C2'!J87),'FBPQ C2'!J87,IF(ISNUMBER('FBPQ C2'!I87),'FBPQ C2'!I87,""))</f>
        <v>152.88999999999999</v>
      </c>
      <c r="F95" s="2" t="s">
        <v>789</v>
      </c>
      <c r="G95" s="2">
        <f t="shared" si="2"/>
        <v>152.88999999999999</v>
      </c>
      <c r="H95" s="2">
        <f>IF(ISBLANK('FBPQ T4'!E87)," ",'FBPQ T4'!AE87)</f>
        <v>0</v>
      </c>
      <c r="I95" s="2">
        <f t="shared" si="3"/>
        <v>0</v>
      </c>
    </row>
    <row r="96" spans="2:9">
      <c r="C96" s="2" t="s">
        <v>149</v>
      </c>
      <c r="D96" s="2" t="s">
        <v>517</v>
      </c>
      <c r="E96" s="2">
        <f>IF(ISNUMBER('FBPQ C2'!J88),'FBPQ C2'!J88,IF(ISNUMBER('FBPQ C2'!I88),'FBPQ C2'!I88,""))</f>
        <v>173.42</v>
      </c>
      <c r="F96" s="2" t="s">
        <v>789</v>
      </c>
      <c r="G96" s="2">
        <f t="shared" si="2"/>
        <v>173.42</v>
      </c>
      <c r="H96" s="2">
        <f>IF(ISBLANK('FBPQ T4'!E88)," ",'FBPQ T4'!AE88)</f>
        <v>8.1240000000000006</v>
      </c>
      <c r="I96" s="2">
        <f t="shared" si="3"/>
        <v>1408.8640800000001</v>
      </c>
    </row>
    <row r="97" spans="2:9">
      <c r="C97" s="2" t="s">
        <v>150</v>
      </c>
      <c r="D97" s="2" t="s">
        <v>517</v>
      </c>
      <c r="E97" s="2">
        <f>IF(ISNUMBER('FBPQ C2'!J89),'FBPQ C2'!J89,IF(ISNUMBER('FBPQ C2'!I89),'FBPQ C2'!I89,""))</f>
        <v>444.45</v>
      </c>
      <c r="F97" s="2" t="s">
        <v>789</v>
      </c>
      <c r="G97" s="2">
        <f t="shared" si="2"/>
        <v>444.45</v>
      </c>
      <c r="H97" s="2">
        <f>IF(ISBLANK('FBPQ T4'!E89)," ",'FBPQ T4'!AE89)</f>
        <v>6</v>
      </c>
      <c r="I97" s="2">
        <f t="shared" si="3"/>
        <v>2666.7</v>
      </c>
    </row>
    <row r="98" spans="2:9">
      <c r="C98" s="2" t="s">
        <v>151</v>
      </c>
      <c r="D98" s="2" t="s">
        <v>517</v>
      </c>
      <c r="E98" s="2">
        <f>IF(ISNUMBER('FBPQ C2'!J90),'FBPQ C2'!J90,IF(ISNUMBER('FBPQ C2'!I90),'FBPQ C2'!I90,""))</f>
        <v>444.45</v>
      </c>
      <c r="F98" s="2" t="s">
        <v>789</v>
      </c>
      <c r="G98" s="2">
        <f t="shared" si="2"/>
        <v>444.45</v>
      </c>
      <c r="H98" s="2">
        <f>IF(ISBLANK('FBPQ T4'!E90)," ",'FBPQ T4'!AE90)</f>
        <v>2</v>
      </c>
      <c r="I98" s="2">
        <f t="shared" si="3"/>
        <v>888.9</v>
      </c>
    </row>
    <row r="99" spans="2:9">
      <c r="C99" s="2" t="s">
        <v>152</v>
      </c>
      <c r="D99" s="2" t="s">
        <v>517</v>
      </c>
      <c r="E99" s="2">
        <f>IF(ISNUMBER('FBPQ C2'!J91),'FBPQ C2'!J91,IF(ISNUMBER('FBPQ C2'!I91),'FBPQ C2'!I91,""))</f>
        <v>444.45</v>
      </c>
      <c r="F99" s="2" t="s">
        <v>789</v>
      </c>
      <c r="G99" s="2">
        <f t="shared" si="2"/>
        <v>444.45</v>
      </c>
      <c r="H99" s="2">
        <f>IF(ISBLANK('FBPQ T4'!E91)," ",'FBPQ T4'!AE91)</f>
        <v>1</v>
      </c>
      <c r="I99" s="2">
        <f t="shared" si="3"/>
        <v>444.45</v>
      </c>
    </row>
    <row r="100" spans="2:9">
      <c r="E100" s="2" t="str">
        <f>IF(ISNUMBER('FBPQ C2'!J92),'FBPQ C2'!J92,IF(ISNUMBER('FBPQ C2'!I92),'FBPQ C2'!I92,""))</f>
        <v/>
      </c>
      <c r="G100" s="2">
        <f t="shared" si="2"/>
        <v>0</v>
      </c>
      <c r="H100" s="2" t="str">
        <f>IF(ISBLANK('FBPQ T4'!E92)," ",'FBPQ T4'!AE92)</f>
        <v xml:space="preserve"> </v>
      </c>
      <c r="I100" s="2" t="str">
        <f t="shared" si="3"/>
        <v xml:space="preserve"> </v>
      </c>
    </row>
    <row r="101" spans="2:9">
      <c r="B101" s="2" t="s">
        <v>117</v>
      </c>
      <c r="E101" s="2" t="str">
        <f>IF(ISNUMBER('FBPQ C2'!J93),'FBPQ C2'!J93,IF(ISNUMBER('FBPQ C2'!I93),'FBPQ C2'!I93,""))</f>
        <v/>
      </c>
      <c r="G101" s="2">
        <f t="shared" si="2"/>
        <v>0</v>
      </c>
      <c r="H101" s="2" t="str">
        <f>IF(ISBLANK('FBPQ T4'!E93)," ",'FBPQ T4'!AE93)</f>
        <v xml:space="preserve"> </v>
      </c>
      <c r="I101" s="2" t="str">
        <f t="shared" si="3"/>
        <v xml:space="preserve"> </v>
      </c>
    </row>
    <row r="102" spans="2:9">
      <c r="C102" s="2" t="s">
        <v>153</v>
      </c>
      <c r="D102" s="2" t="s">
        <v>517</v>
      </c>
      <c r="E102" s="2">
        <f>IF(ISNUMBER('FBPQ C2'!J94),'FBPQ C2'!J94,IF(ISNUMBER('FBPQ C2'!I94),'FBPQ C2'!I94,""))</f>
        <v>1134.52</v>
      </c>
      <c r="F102" s="2" t="s">
        <v>789</v>
      </c>
      <c r="G102" s="2">
        <f t="shared" si="2"/>
        <v>1134.52</v>
      </c>
      <c r="H102" s="2">
        <f>IF(ISBLANK('FBPQ T4'!E94)," ",'FBPQ T4'!AE94)</f>
        <v>1.3</v>
      </c>
      <c r="I102" s="2">
        <f t="shared" si="3"/>
        <v>1474.876</v>
      </c>
    </row>
    <row r="103" spans="2:9">
      <c r="E103" s="2" t="str">
        <f>IF(ISNUMBER('FBPQ C2'!J95),'FBPQ C2'!J95,IF(ISNUMBER('FBPQ C2'!I95),'FBPQ C2'!I95,""))</f>
        <v/>
      </c>
      <c r="G103" s="2">
        <f t="shared" si="2"/>
        <v>0</v>
      </c>
      <c r="H103" s="2" t="str">
        <f>IF(ISBLANK('FBPQ T4'!E95)," ",'FBPQ T4'!AE95)</f>
        <v xml:space="preserve"> </v>
      </c>
      <c r="I103" s="2" t="str">
        <f t="shared" si="3"/>
        <v xml:space="preserve"> </v>
      </c>
    </row>
    <row r="104" spans="2:9">
      <c r="B104" s="2" t="s">
        <v>100</v>
      </c>
      <c r="E104" s="2" t="str">
        <f>IF(ISNUMBER('FBPQ C2'!J96),'FBPQ C2'!J96,IF(ISNUMBER('FBPQ C2'!I96),'FBPQ C2'!I96,""))</f>
        <v/>
      </c>
      <c r="G104" s="2">
        <f t="shared" si="2"/>
        <v>0</v>
      </c>
      <c r="H104" s="2" t="str">
        <f>IF(ISBLANK('FBPQ T4'!E96)," ",'FBPQ T4'!AE96)</f>
        <v xml:space="preserve"> </v>
      </c>
      <c r="I104" s="2" t="str">
        <f t="shared" si="3"/>
        <v xml:space="preserve"> </v>
      </c>
    </row>
    <row r="105" spans="2:9">
      <c r="C105" s="2" t="s">
        <v>154</v>
      </c>
      <c r="D105" s="2" t="s">
        <v>518</v>
      </c>
      <c r="E105" s="2">
        <f>IF(ISNUMBER('FBPQ C2'!J97),'FBPQ C2'!J97,IF(ISNUMBER('FBPQ C2'!I97),'FBPQ C2'!I97,""))</f>
        <v>66.58</v>
      </c>
      <c r="F105" s="2" t="s">
        <v>789</v>
      </c>
      <c r="G105" s="2">
        <f t="shared" si="2"/>
        <v>66.58</v>
      </c>
      <c r="H105" s="2">
        <f>IF(ISBLANK('FBPQ T4'!E97)," ",'FBPQ T4'!AE97)</f>
        <v>311</v>
      </c>
      <c r="I105" s="2">
        <f t="shared" si="3"/>
        <v>20706.38</v>
      </c>
    </row>
    <row r="106" spans="2:9">
      <c r="C106" s="2" t="s">
        <v>155</v>
      </c>
      <c r="D106" s="2" t="s">
        <v>518</v>
      </c>
      <c r="E106" s="2">
        <f>IF(ISNUMBER('FBPQ C2'!J98),'FBPQ C2'!J98,IF(ISNUMBER('FBPQ C2'!I98),'FBPQ C2'!I98,""))</f>
        <v>51.4</v>
      </c>
      <c r="F106" s="2" t="s">
        <v>789</v>
      </c>
      <c r="G106" s="2">
        <f t="shared" si="2"/>
        <v>51.4</v>
      </c>
      <c r="H106" s="2">
        <f>IF(ISBLANK('FBPQ T4'!E98)," ",'FBPQ T4'!AE98)</f>
        <v>274</v>
      </c>
      <c r="I106" s="2">
        <f t="shared" si="3"/>
        <v>14083.6</v>
      </c>
    </row>
    <row r="107" spans="2:9">
      <c r="C107" s="2" t="s">
        <v>156</v>
      </c>
      <c r="D107" s="2" t="s">
        <v>518</v>
      </c>
      <c r="E107" s="2">
        <f>IF(ISNUMBER('FBPQ C2'!J99),'FBPQ C2'!J99,IF(ISNUMBER('FBPQ C2'!I99),'FBPQ C2'!I99,""))</f>
        <v>33.17</v>
      </c>
      <c r="F107" s="2" t="s">
        <v>789</v>
      </c>
      <c r="G107" s="2">
        <f t="shared" si="2"/>
        <v>33.17</v>
      </c>
      <c r="H107" s="2">
        <f>IF(ISBLANK('FBPQ T4'!E99)," ",'FBPQ T4'!AE99)</f>
        <v>16</v>
      </c>
      <c r="I107" s="2">
        <f t="shared" si="3"/>
        <v>530.72</v>
      </c>
    </row>
    <row r="108" spans="2:9">
      <c r="C108" s="2" t="s">
        <v>157</v>
      </c>
      <c r="D108" s="2" t="s">
        <v>518</v>
      </c>
      <c r="E108" s="2" t="str">
        <f>IF(ISNUMBER('FBPQ C2'!J100),'FBPQ C2'!J100,IF(ISNUMBER('FBPQ C2'!I100),'FBPQ C2'!I100,""))</f>
        <v/>
      </c>
      <c r="F108" s="2" t="s">
        <v>789</v>
      </c>
      <c r="G108" s="2" t="str">
        <f t="shared" si="2"/>
        <v xml:space="preserve"> </v>
      </c>
      <c r="H108" s="2">
        <f>IF(ISBLANK('FBPQ T4'!E100)," ",'FBPQ T4'!AE100)</f>
        <v>0</v>
      </c>
      <c r="I108" s="2" t="str">
        <f t="shared" si="3"/>
        <v xml:space="preserve"> </v>
      </c>
    </row>
    <row r="109" spans="2:9">
      <c r="C109" s="2" t="s">
        <v>158</v>
      </c>
      <c r="D109" s="2" t="s">
        <v>518</v>
      </c>
      <c r="E109" s="2" t="str">
        <f>IF(ISNUMBER('FBPQ C2'!J101),'FBPQ C2'!J101,IF(ISNUMBER('FBPQ C2'!I101),'FBPQ C2'!I101,""))</f>
        <v/>
      </c>
      <c r="F109" s="2" t="s">
        <v>789</v>
      </c>
      <c r="G109" s="2" t="str">
        <f t="shared" si="2"/>
        <v xml:space="preserve"> </v>
      </c>
      <c r="H109" s="2">
        <f>IF(ISBLANK('FBPQ T4'!E101)," ",'FBPQ T4'!AE101)</f>
        <v>0</v>
      </c>
      <c r="I109" s="2" t="str">
        <f t="shared" si="3"/>
        <v xml:space="preserve"> </v>
      </c>
    </row>
    <row r="110" spans="2:9">
      <c r="C110" s="2" t="s">
        <v>159</v>
      </c>
      <c r="D110" s="2" t="s">
        <v>518</v>
      </c>
      <c r="E110" s="2" t="str">
        <f>IF(ISNUMBER('FBPQ C2'!J102),'FBPQ C2'!J102,IF(ISNUMBER('FBPQ C2'!I102),'FBPQ C2'!I102,""))</f>
        <v/>
      </c>
      <c r="F110" s="2" t="s">
        <v>789</v>
      </c>
      <c r="G110" s="2" t="str">
        <f t="shared" si="2"/>
        <v>DATA</v>
      </c>
      <c r="H110" s="2">
        <f>IF(ISBLANK('FBPQ T4'!E102)," ",'FBPQ T4'!AE102)</f>
        <v>1074</v>
      </c>
      <c r="I110" s="2" t="str">
        <f t="shared" si="3"/>
        <v xml:space="preserve"> </v>
      </c>
    </row>
    <row r="111" spans="2:9">
      <c r="C111" s="2" t="s">
        <v>160</v>
      </c>
      <c r="D111" s="2" t="s">
        <v>518</v>
      </c>
      <c r="E111" s="2">
        <f>IF(ISNUMBER('FBPQ C2'!J103),'FBPQ C2'!J103,IF(ISNUMBER('FBPQ C2'!I103),'FBPQ C2'!I103,""))</f>
        <v>88.11</v>
      </c>
      <c r="F111" s="2" t="s">
        <v>789</v>
      </c>
      <c r="G111" s="2">
        <f t="shared" si="2"/>
        <v>88.11</v>
      </c>
      <c r="H111" s="2">
        <f>IF(ISBLANK('FBPQ T4'!E103)," ",'FBPQ T4'!AE103)</f>
        <v>53</v>
      </c>
      <c r="I111" s="2">
        <f t="shared" si="3"/>
        <v>4669.83</v>
      </c>
    </row>
    <row r="112" spans="2:9">
      <c r="C112" s="2" t="s">
        <v>161</v>
      </c>
      <c r="D112" s="2" t="s">
        <v>518</v>
      </c>
      <c r="E112" s="2" t="str">
        <f>IF(ISNUMBER('FBPQ C2'!J104),'FBPQ C2'!J104,IF(ISNUMBER('FBPQ C2'!I104),'FBPQ C2'!I104,""))</f>
        <v/>
      </c>
      <c r="F112" s="2" t="s">
        <v>789</v>
      </c>
      <c r="G112" s="2" t="str">
        <f t="shared" si="2"/>
        <v>DATA</v>
      </c>
      <c r="H112" s="2">
        <f>IF(ISBLANK('FBPQ T4'!E104)," ",'FBPQ T4'!AE104)</f>
        <v>233</v>
      </c>
      <c r="I112" s="2" t="str">
        <f t="shared" si="3"/>
        <v xml:space="preserve"> </v>
      </c>
    </row>
    <row r="113" spans="1:9">
      <c r="E113" s="2" t="str">
        <f>IF(ISNUMBER('FBPQ C2'!J105),'FBPQ C2'!J105,IF(ISNUMBER('FBPQ C2'!I105),'FBPQ C2'!I105,""))</f>
        <v/>
      </c>
      <c r="G113" s="2">
        <f t="shared" si="2"/>
        <v>0</v>
      </c>
      <c r="H113" s="2" t="str">
        <f>IF(ISBLANK('FBPQ T4'!E105)," ",'FBPQ T4'!AE105)</f>
        <v xml:space="preserve"> </v>
      </c>
      <c r="I113" s="2" t="str">
        <f t="shared" si="3"/>
        <v xml:space="preserve"> </v>
      </c>
    </row>
    <row r="114" spans="1:9">
      <c r="B114" s="2" t="s">
        <v>133</v>
      </c>
      <c r="E114" s="2" t="str">
        <f>IF(ISNUMBER('FBPQ C2'!J106),'FBPQ C2'!J106,IF(ISNUMBER('FBPQ C2'!I106),'FBPQ C2'!I106,""))</f>
        <v/>
      </c>
      <c r="G114" s="2">
        <f t="shared" si="2"/>
        <v>0</v>
      </c>
      <c r="H114" s="2" t="str">
        <f>IF(ISBLANK('FBPQ T4'!E106)," ",'FBPQ T4'!AE106)</f>
        <v xml:space="preserve"> </v>
      </c>
      <c r="I114" s="2" t="str">
        <f t="shared" si="3"/>
        <v xml:space="preserve"> </v>
      </c>
    </row>
    <row r="115" spans="1:9">
      <c r="C115" s="2" t="s">
        <v>162</v>
      </c>
      <c r="D115" s="2" t="s">
        <v>518</v>
      </c>
      <c r="E115" s="2" t="str">
        <f>IF(ISNUMBER('FBPQ C2'!J107),'FBPQ C2'!J107,IF(ISNUMBER('FBPQ C2'!I107),'FBPQ C2'!I107,""))</f>
        <v/>
      </c>
      <c r="F115" s="2" t="s">
        <v>789</v>
      </c>
      <c r="G115" s="2" t="str">
        <f t="shared" si="2"/>
        <v xml:space="preserve"> </v>
      </c>
      <c r="H115" s="2">
        <f>IF(ISBLANK('FBPQ T4'!E107)," ",'FBPQ T4'!AE107)</f>
        <v>0</v>
      </c>
      <c r="I115" s="2" t="str">
        <f t="shared" si="3"/>
        <v xml:space="preserve"> </v>
      </c>
    </row>
    <row r="116" spans="1:9">
      <c r="C116" s="2" t="s">
        <v>163</v>
      </c>
      <c r="D116" s="2" t="s">
        <v>518</v>
      </c>
      <c r="E116" s="2">
        <f>IF(ISNUMBER('FBPQ C2'!J108),'FBPQ C2'!J108,IF(ISNUMBER('FBPQ C2'!I108),'FBPQ C2'!I108,""))</f>
        <v>262.73</v>
      </c>
      <c r="F116" s="2" t="s">
        <v>789</v>
      </c>
      <c r="G116" s="2">
        <f t="shared" si="2"/>
        <v>262.73</v>
      </c>
      <c r="H116" s="2">
        <f>IF(ISBLANK('FBPQ T4'!E108)," ",'FBPQ T4'!AE108)</f>
        <v>247</v>
      </c>
      <c r="I116" s="2">
        <f t="shared" si="3"/>
        <v>64894.310000000005</v>
      </c>
    </row>
    <row r="117" spans="1:9">
      <c r="C117" s="2" t="s">
        <v>164</v>
      </c>
      <c r="D117" s="2" t="s">
        <v>518</v>
      </c>
      <c r="E117" s="2" t="str">
        <f>IF(ISNUMBER('FBPQ C2'!J109),'FBPQ C2'!J109,IF(ISNUMBER('FBPQ C2'!I109),'FBPQ C2'!I109,""))</f>
        <v/>
      </c>
      <c r="F117" s="2" t="s">
        <v>789</v>
      </c>
      <c r="G117" s="2" t="str">
        <f t="shared" si="2"/>
        <v>DATA</v>
      </c>
      <c r="H117" s="2">
        <f>IF(ISBLANK('FBPQ T4'!E109)," ",'FBPQ T4'!AE109)</f>
        <v>244</v>
      </c>
      <c r="I117" s="2" t="str">
        <f t="shared" si="3"/>
        <v xml:space="preserve"> </v>
      </c>
    </row>
    <row r="118" spans="1:9">
      <c r="C118" s="2" t="s">
        <v>165</v>
      </c>
      <c r="D118" s="2" t="s">
        <v>518</v>
      </c>
      <c r="E118" s="2">
        <f>IF(ISNUMBER('FBPQ C2'!J110),'FBPQ C2'!J110,IF(ISNUMBER('FBPQ C2'!I110),'FBPQ C2'!I110,""))</f>
        <v>457.92</v>
      </c>
      <c r="F118" s="2" t="s">
        <v>789</v>
      </c>
      <c r="G118" s="2">
        <f t="shared" si="2"/>
        <v>457.92</v>
      </c>
      <c r="H118" s="2">
        <f>IF(ISBLANK('FBPQ T4'!E110)," ",'FBPQ T4'!AE110)</f>
        <v>30</v>
      </c>
      <c r="I118" s="2">
        <f t="shared" si="3"/>
        <v>13737.6</v>
      </c>
    </row>
    <row r="119" spans="1:9">
      <c r="C119" s="2" t="s">
        <v>166</v>
      </c>
      <c r="D119" s="2" t="s">
        <v>518</v>
      </c>
      <c r="E119" s="2" t="str">
        <f>IF(ISNUMBER('FBPQ C2'!J111),'FBPQ C2'!J111,IF(ISNUMBER('FBPQ C2'!I111),'FBPQ C2'!I111,""))</f>
        <v/>
      </c>
      <c r="F119" s="2" t="s">
        <v>789</v>
      </c>
      <c r="G119" s="2" t="str">
        <f t="shared" si="2"/>
        <v xml:space="preserve"> </v>
      </c>
      <c r="H119" s="2">
        <f>IF(ISBLANK('FBPQ T4'!E111)," ",'FBPQ T4'!AE111)</f>
        <v>0</v>
      </c>
      <c r="I119" s="2" t="str">
        <f t="shared" si="3"/>
        <v xml:space="preserve"> </v>
      </c>
    </row>
    <row r="120" spans="1:9">
      <c r="E120" s="2" t="str">
        <f>IF(ISNUMBER('FBPQ C2'!J112),'FBPQ C2'!J112,IF(ISNUMBER('FBPQ C2'!I112),'FBPQ C2'!I112,""))</f>
        <v/>
      </c>
      <c r="G120" s="2">
        <f t="shared" si="2"/>
        <v>0</v>
      </c>
      <c r="H120" s="2" t="str">
        <f>IF(ISBLANK('FBPQ T4'!E112)," ",'FBPQ T4'!AE112)</f>
        <v xml:space="preserve"> </v>
      </c>
      <c r="I120" s="2" t="str">
        <f t="shared" si="3"/>
        <v xml:space="preserve"> </v>
      </c>
    </row>
    <row r="121" spans="1:9">
      <c r="A121" s="1" t="s">
        <v>167</v>
      </c>
      <c r="E121" s="2" t="str">
        <f>IF(ISNUMBER('FBPQ C2'!J113),'FBPQ C2'!J113,IF(ISNUMBER('FBPQ C2'!I113),'FBPQ C2'!I113,""))</f>
        <v/>
      </c>
      <c r="G121" s="2">
        <f t="shared" si="2"/>
        <v>0</v>
      </c>
      <c r="H121" s="2" t="str">
        <f>IF(ISBLANK('FBPQ T4'!E113)," ",'FBPQ T4'!AE113)</f>
        <v xml:space="preserve"> </v>
      </c>
      <c r="I121" s="2" t="str">
        <f t="shared" si="3"/>
        <v xml:space="preserve"> </v>
      </c>
    </row>
    <row r="122" spans="1:9">
      <c r="B122" s="2" t="s">
        <v>430</v>
      </c>
      <c r="E122" s="2" t="str">
        <f>IF(ISNUMBER('FBPQ C2'!J114),'FBPQ C2'!J114,IF(ISNUMBER('FBPQ C2'!I114),'FBPQ C2'!I114,""))</f>
        <v/>
      </c>
      <c r="G122" s="2">
        <f t="shared" si="2"/>
        <v>0</v>
      </c>
      <c r="H122" s="2" t="str">
        <f>IF(ISBLANK('FBPQ T4'!E114)," ",'FBPQ T4'!AE114)</f>
        <v xml:space="preserve"> </v>
      </c>
      <c r="I122" s="2" t="str">
        <f t="shared" si="3"/>
        <v xml:space="preserve"> </v>
      </c>
    </row>
    <row r="123" spans="1:9">
      <c r="C123" s="2" t="s">
        <v>168</v>
      </c>
      <c r="D123" s="2" t="s">
        <v>517</v>
      </c>
      <c r="E123" s="2">
        <f>IF(ISNUMBER('FBPQ C2'!J115),'FBPQ C2'!J115,IF(ISNUMBER('FBPQ C2'!I115),'FBPQ C2'!I115,""))</f>
        <v>52.85</v>
      </c>
      <c r="F123" s="2" t="s">
        <v>789</v>
      </c>
      <c r="G123" s="2">
        <f t="shared" si="2"/>
        <v>52.85</v>
      </c>
      <c r="H123" s="2">
        <f>IF(ISBLANK('FBPQ T4'!E115)," ",'FBPQ T4'!AE115)</f>
        <v>91</v>
      </c>
      <c r="I123" s="2">
        <f t="shared" si="3"/>
        <v>4809.3500000000004</v>
      </c>
    </row>
    <row r="124" spans="1:9">
      <c r="C124" s="2" t="s">
        <v>169</v>
      </c>
      <c r="D124" s="2" t="s">
        <v>517</v>
      </c>
      <c r="E124" s="2">
        <f>IF(ISNUMBER('FBPQ C2'!J116),'FBPQ C2'!J116,IF(ISNUMBER('FBPQ C2'!I116),'FBPQ C2'!I116,""))</f>
        <v>53.51</v>
      </c>
      <c r="F124" s="2" t="s">
        <v>789</v>
      </c>
      <c r="G124" s="2">
        <f t="shared" si="2"/>
        <v>53.51</v>
      </c>
      <c r="H124" s="2">
        <f>IF(ISBLANK('FBPQ T4'!E116)," ",'FBPQ T4'!AE116)</f>
        <v>1089</v>
      </c>
      <c r="I124" s="2">
        <f t="shared" si="3"/>
        <v>58272.39</v>
      </c>
    </row>
    <row r="125" spans="1:9">
      <c r="E125" s="2" t="str">
        <f>IF(ISNUMBER('FBPQ C2'!J117),'FBPQ C2'!J117,IF(ISNUMBER('FBPQ C2'!I117),'FBPQ C2'!I117,""))</f>
        <v/>
      </c>
      <c r="G125" s="2">
        <f t="shared" si="2"/>
        <v>0</v>
      </c>
      <c r="H125" s="2" t="str">
        <f>IF(ISBLANK('FBPQ T4'!E117)," ",'FBPQ T4'!AE117)</f>
        <v xml:space="preserve"> </v>
      </c>
      <c r="I125" s="2" t="str">
        <f t="shared" si="3"/>
        <v xml:space="preserve"> </v>
      </c>
    </row>
    <row r="126" spans="1:9">
      <c r="B126" s="2" t="s">
        <v>93</v>
      </c>
      <c r="E126" s="2" t="str">
        <f>IF(ISNUMBER('FBPQ C2'!J118),'FBPQ C2'!J118,IF(ISNUMBER('FBPQ C2'!I118),'FBPQ C2'!I118,""))</f>
        <v/>
      </c>
      <c r="G126" s="2">
        <f t="shared" si="2"/>
        <v>0</v>
      </c>
      <c r="H126" s="2" t="str">
        <f>IF(ISBLANK('FBPQ T4'!E118)," ",'FBPQ T4'!AE118)</f>
        <v xml:space="preserve"> </v>
      </c>
      <c r="I126" s="2" t="str">
        <f t="shared" si="3"/>
        <v xml:space="preserve"> </v>
      </c>
    </row>
    <row r="127" spans="1:9">
      <c r="C127" s="2" t="s">
        <v>170</v>
      </c>
      <c r="D127" s="2" t="s">
        <v>518</v>
      </c>
      <c r="E127" s="2">
        <f>IF(ISNUMBER('FBPQ C2'!J119),'FBPQ C2'!J119,IF(ISNUMBER('FBPQ C2'!I119),'FBPQ C2'!I119,""))</f>
        <v>3.64</v>
      </c>
      <c r="F127" s="2" t="s">
        <v>789</v>
      </c>
      <c r="G127" s="2">
        <f t="shared" si="2"/>
        <v>3.64</v>
      </c>
      <c r="H127" s="2">
        <f>IF(ISBLANK('FBPQ T4'!E119)," ",'FBPQ T4'!AE119)</f>
        <v>835</v>
      </c>
      <c r="I127" s="2">
        <f t="shared" si="3"/>
        <v>3039.4</v>
      </c>
    </row>
    <row r="128" spans="1:9">
      <c r="C128" s="2" t="s">
        <v>171</v>
      </c>
      <c r="D128" s="2" t="s">
        <v>518</v>
      </c>
      <c r="E128" s="2">
        <f>IF(ISNUMBER('FBPQ C2'!J120),'FBPQ C2'!J120,IF(ISNUMBER('FBPQ C2'!I120),'FBPQ C2'!I120,""))</f>
        <v>98.62</v>
      </c>
      <c r="F128" s="2" t="s">
        <v>789</v>
      </c>
      <c r="G128" s="2">
        <f t="shared" si="2"/>
        <v>98.62</v>
      </c>
      <c r="H128" s="2">
        <f>IF(ISBLANK('FBPQ T4'!E120)," ",'FBPQ T4'!AE120)</f>
        <v>2354</v>
      </c>
      <c r="I128" s="2">
        <f t="shared" si="3"/>
        <v>232151.48</v>
      </c>
    </row>
    <row r="129" spans="2:9">
      <c r="C129" s="2" t="s">
        <v>172</v>
      </c>
      <c r="D129" s="2" t="s">
        <v>518</v>
      </c>
      <c r="E129" s="2">
        <f>IF(ISNUMBER('FBPQ C2'!J121),'FBPQ C2'!J121,IF(ISNUMBER('FBPQ C2'!I121),'FBPQ C2'!I121,""))</f>
        <v>3.8</v>
      </c>
      <c r="F129" s="2" t="s">
        <v>789</v>
      </c>
      <c r="G129" s="2">
        <f t="shared" si="2"/>
        <v>3.8</v>
      </c>
      <c r="H129" s="2">
        <f>IF(ISBLANK('FBPQ T4'!E121)," ",'FBPQ T4'!AE121)</f>
        <v>4708</v>
      </c>
      <c r="I129" s="2">
        <f t="shared" si="3"/>
        <v>17890.399999999998</v>
      </c>
    </row>
    <row r="130" spans="2:9">
      <c r="E130" s="2" t="str">
        <f>IF(ISNUMBER('FBPQ C2'!J122),'FBPQ C2'!J122,IF(ISNUMBER('FBPQ C2'!I122),'FBPQ C2'!I122,""))</f>
        <v/>
      </c>
      <c r="G130" s="2">
        <f t="shared" si="2"/>
        <v>0</v>
      </c>
      <c r="H130" s="2" t="str">
        <f>IF(ISBLANK('FBPQ T4'!E122)," ",'FBPQ T4'!AE122)</f>
        <v xml:space="preserve"> </v>
      </c>
      <c r="I130" s="2" t="str">
        <f t="shared" si="3"/>
        <v xml:space="preserve"> </v>
      </c>
    </row>
    <row r="131" spans="2:9">
      <c r="B131" s="2" t="s">
        <v>114</v>
      </c>
      <c r="E131" s="2" t="str">
        <f>IF(ISNUMBER('FBPQ C2'!J123),'FBPQ C2'!J123,IF(ISNUMBER('FBPQ C2'!I123),'FBPQ C2'!I123,""))</f>
        <v/>
      </c>
      <c r="G131" s="2">
        <f t="shared" si="2"/>
        <v>0</v>
      </c>
      <c r="H131" s="2" t="str">
        <f>IF(ISBLANK('FBPQ T4'!E123)," ",'FBPQ T4'!AE123)</f>
        <v xml:space="preserve"> </v>
      </c>
      <c r="I131" s="2" t="str">
        <f t="shared" si="3"/>
        <v xml:space="preserve"> </v>
      </c>
    </row>
    <row r="132" spans="2:9">
      <c r="C132" s="2" t="s">
        <v>173</v>
      </c>
      <c r="D132" s="2" t="s">
        <v>517</v>
      </c>
      <c r="E132" s="2">
        <f>IF(ISNUMBER('FBPQ C2'!J124),'FBPQ C2'!J124,IF(ISNUMBER('FBPQ C2'!I124),'FBPQ C2'!I124,""))</f>
        <v>0</v>
      </c>
      <c r="F132" s="2" t="s">
        <v>789</v>
      </c>
      <c r="G132" s="2">
        <f t="shared" si="2"/>
        <v>0</v>
      </c>
      <c r="H132" s="2">
        <f>IF(ISBLANK('FBPQ T4'!E124)," ",'FBPQ T4'!AE124)</f>
        <v>35.4</v>
      </c>
      <c r="I132" s="2">
        <f t="shared" si="3"/>
        <v>0</v>
      </c>
    </row>
    <row r="133" spans="2:9">
      <c r="C133" s="2" t="s">
        <v>174</v>
      </c>
      <c r="D133" s="2" t="s">
        <v>517</v>
      </c>
      <c r="E133" s="2">
        <f>IF(ISNUMBER('FBPQ C2'!J125),'FBPQ C2'!J125,IF(ISNUMBER('FBPQ C2'!I125),'FBPQ C2'!I125,""))</f>
        <v>1323.44</v>
      </c>
      <c r="F133" s="2" t="s">
        <v>789</v>
      </c>
      <c r="G133" s="2">
        <f t="shared" si="2"/>
        <v>1323.44</v>
      </c>
      <c r="H133" s="2">
        <f>IF(ISBLANK('FBPQ T4'!E125)," ",'FBPQ T4'!AE125)</f>
        <v>58</v>
      </c>
      <c r="I133" s="2">
        <f t="shared" si="3"/>
        <v>76759.520000000004</v>
      </c>
    </row>
    <row r="134" spans="2:9">
      <c r="C134" s="2" t="s">
        <v>175</v>
      </c>
      <c r="D134" s="2" t="s">
        <v>517</v>
      </c>
      <c r="E134" s="2" t="str">
        <f>IF(ISNUMBER('FBPQ C2'!J126),'FBPQ C2'!J126,IF(ISNUMBER('FBPQ C2'!I126),'FBPQ C2'!I126,""))</f>
        <v/>
      </c>
      <c r="F134" s="2" t="s">
        <v>789</v>
      </c>
      <c r="G134" s="2" t="str">
        <f t="shared" si="2"/>
        <v xml:space="preserve"> </v>
      </c>
      <c r="H134" s="2">
        <f>IF(ISBLANK('FBPQ T4'!E126)," ",'FBPQ T4'!AE126)</f>
        <v>0</v>
      </c>
      <c r="I134" s="2" t="str">
        <f t="shared" si="3"/>
        <v xml:space="preserve"> </v>
      </c>
    </row>
    <row r="135" spans="2:9">
      <c r="E135" s="2" t="str">
        <f>IF(ISNUMBER('FBPQ C2'!J127),'FBPQ C2'!J127,IF(ISNUMBER('FBPQ C2'!I127),'FBPQ C2'!I127,""))</f>
        <v/>
      </c>
      <c r="G135" s="2">
        <f t="shared" si="2"/>
        <v>0</v>
      </c>
      <c r="H135" s="2" t="str">
        <f>IF(ISBLANK('FBPQ T4'!E127)," ",'FBPQ T4'!AE127)</f>
        <v xml:space="preserve"> </v>
      </c>
      <c r="I135" s="2" t="str">
        <f t="shared" si="3"/>
        <v xml:space="preserve"> </v>
      </c>
    </row>
    <row r="136" spans="2:9">
      <c r="B136" s="2" t="s">
        <v>117</v>
      </c>
      <c r="E136" s="2" t="str">
        <f>IF(ISNUMBER('FBPQ C2'!J128),'FBPQ C2'!J128,IF(ISNUMBER('FBPQ C2'!I128),'FBPQ C2'!I128,""))</f>
        <v/>
      </c>
      <c r="G136" s="2">
        <f t="shared" si="2"/>
        <v>0</v>
      </c>
      <c r="H136" s="2" t="str">
        <f>IF(ISBLANK('FBPQ T4'!E128)," ",'FBPQ T4'!AE128)</f>
        <v xml:space="preserve"> </v>
      </c>
      <c r="I136" s="2" t="str">
        <f t="shared" si="3"/>
        <v xml:space="preserve"> </v>
      </c>
    </row>
    <row r="137" spans="2:9">
      <c r="C137" s="2" t="s">
        <v>176</v>
      </c>
      <c r="D137" s="2" t="s">
        <v>517</v>
      </c>
      <c r="E137" s="2" t="str">
        <f>IF(ISNUMBER('FBPQ C2'!J129),'FBPQ C2'!J129,IF(ISNUMBER('FBPQ C2'!I129),'FBPQ C2'!I129,""))</f>
        <v/>
      </c>
      <c r="F137" s="2" t="s">
        <v>789</v>
      </c>
      <c r="G137" s="2" t="str">
        <f t="shared" si="2"/>
        <v xml:space="preserve"> </v>
      </c>
      <c r="H137" s="2">
        <f>IF(ISBLANK('FBPQ T4'!E129)," ",'FBPQ T4'!AE129)</f>
        <v>0</v>
      </c>
      <c r="I137" s="2" t="str">
        <f t="shared" si="3"/>
        <v xml:space="preserve"> </v>
      </c>
    </row>
    <row r="138" spans="2:9">
      <c r="E138" s="2" t="str">
        <f>IF(ISNUMBER('FBPQ C2'!J130),'FBPQ C2'!J130,IF(ISNUMBER('FBPQ C2'!I130),'FBPQ C2'!I130,""))</f>
        <v/>
      </c>
      <c r="G138" s="2">
        <f t="shared" si="2"/>
        <v>0</v>
      </c>
      <c r="H138" s="2" t="str">
        <f>IF(ISBLANK('FBPQ T4'!E130)," ",'FBPQ T4'!AE130)</f>
        <v xml:space="preserve"> </v>
      </c>
      <c r="I138" s="2" t="str">
        <f t="shared" si="3"/>
        <v xml:space="preserve"> </v>
      </c>
    </row>
    <row r="139" spans="2:9">
      <c r="B139" s="2" t="s">
        <v>100</v>
      </c>
      <c r="E139" s="2" t="str">
        <f>IF(ISNUMBER('FBPQ C2'!J131),'FBPQ C2'!J131,IF(ISNUMBER('FBPQ C2'!I131),'FBPQ C2'!I131,""))</f>
        <v/>
      </c>
      <c r="G139" s="2">
        <f t="shared" si="2"/>
        <v>0</v>
      </c>
      <c r="H139" s="2" t="str">
        <f>IF(ISBLANK('FBPQ T4'!E131)," ",'FBPQ T4'!AE131)</f>
        <v xml:space="preserve"> </v>
      </c>
      <c r="I139" s="2" t="str">
        <f t="shared" si="3"/>
        <v xml:space="preserve"> </v>
      </c>
    </row>
    <row r="140" spans="2:9">
      <c r="C140" s="2" t="s">
        <v>177</v>
      </c>
      <c r="D140" s="2" t="s">
        <v>518</v>
      </c>
      <c r="E140" s="2">
        <f>IF(ISNUMBER('FBPQ C2'!J132),'FBPQ C2'!J132,IF(ISNUMBER('FBPQ C2'!I132),'FBPQ C2'!I132,""))</f>
        <v>146.88</v>
      </c>
      <c r="F140" s="2" t="s">
        <v>789</v>
      </c>
      <c r="G140" s="2">
        <f t="shared" si="2"/>
        <v>146.88</v>
      </c>
      <c r="H140" s="2">
        <f>IF(ISBLANK('FBPQ T4'!E132)," ",'FBPQ T4'!AE132)</f>
        <v>222</v>
      </c>
      <c r="I140" s="2">
        <f t="shared" si="3"/>
        <v>32607.360000000001</v>
      </c>
    </row>
    <row r="141" spans="2:9">
      <c r="C141" s="2" t="s">
        <v>178</v>
      </c>
      <c r="D141" s="2" t="s">
        <v>518</v>
      </c>
      <c r="E141" s="2" t="str">
        <f>IF(ISNUMBER('FBPQ C2'!J133),'FBPQ C2'!J133,IF(ISNUMBER('FBPQ C2'!I133),'FBPQ C2'!I133,""))</f>
        <v/>
      </c>
      <c r="F141" s="2" t="s">
        <v>789</v>
      </c>
      <c r="G141" s="2" t="str">
        <f t="shared" si="2"/>
        <v>DATA</v>
      </c>
      <c r="H141" s="2">
        <f>IF(ISBLANK('FBPQ T4'!E133)," ",'FBPQ T4'!AE133)</f>
        <v>727</v>
      </c>
      <c r="I141" s="2" t="str">
        <f t="shared" si="3"/>
        <v xml:space="preserve"> </v>
      </c>
    </row>
    <row r="142" spans="2:9">
      <c r="E142" s="2" t="str">
        <f>IF(ISNUMBER('FBPQ C2'!J134),'FBPQ C2'!J134,IF(ISNUMBER('FBPQ C2'!I134),'FBPQ C2'!I134,""))</f>
        <v/>
      </c>
      <c r="G142" s="2">
        <f t="shared" si="2"/>
        <v>0</v>
      </c>
      <c r="H142" s="2" t="str">
        <f>IF(ISBLANK('FBPQ T4'!E134)," ",'FBPQ T4'!AE134)</f>
        <v xml:space="preserve"> </v>
      </c>
      <c r="I142" s="2" t="str">
        <f t="shared" si="3"/>
        <v xml:space="preserve"> </v>
      </c>
    </row>
    <row r="143" spans="2:9">
      <c r="B143" s="2" t="s">
        <v>133</v>
      </c>
      <c r="E143" s="2" t="str">
        <f>IF(ISNUMBER('FBPQ C2'!J135),'FBPQ C2'!J135,IF(ISNUMBER('FBPQ C2'!I135),'FBPQ C2'!I135,""))</f>
        <v/>
      </c>
      <c r="G143" s="2">
        <f t="shared" si="2"/>
        <v>0</v>
      </c>
      <c r="H143" s="2" t="str">
        <f>IF(ISBLANK('FBPQ T4'!E135)," ",'FBPQ T4'!AE135)</f>
        <v xml:space="preserve"> </v>
      </c>
      <c r="I143" s="2" t="str">
        <f t="shared" si="3"/>
        <v xml:space="preserve"> </v>
      </c>
    </row>
    <row r="144" spans="2:9">
      <c r="C144" s="2" t="s">
        <v>179</v>
      </c>
      <c r="D144" s="2" t="s">
        <v>518</v>
      </c>
      <c r="E144" s="2">
        <f>IF(ISNUMBER('FBPQ C2'!J136),'FBPQ C2'!J136,IF(ISNUMBER('FBPQ C2'!I136),'FBPQ C2'!I136,""))</f>
        <v>1139.95</v>
      </c>
      <c r="F144" s="2" t="s">
        <v>789</v>
      </c>
      <c r="G144" s="2">
        <f t="shared" si="2"/>
        <v>1139.95</v>
      </c>
      <c r="H144" s="2">
        <f>IF(ISBLANK('FBPQ T4'!E136)," ",'FBPQ T4'!AE136)</f>
        <v>131</v>
      </c>
      <c r="I144" s="2">
        <f t="shared" si="3"/>
        <v>149333.45000000001</v>
      </c>
    </row>
    <row r="145" spans="1:9">
      <c r="C145" s="2" t="s">
        <v>180</v>
      </c>
      <c r="D145" s="2" t="s">
        <v>518</v>
      </c>
      <c r="E145" s="2" t="str">
        <f>IF(ISNUMBER('FBPQ C2'!J137),'FBPQ C2'!J137,IF(ISNUMBER('FBPQ C2'!I137),'FBPQ C2'!I137,""))</f>
        <v/>
      </c>
      <c r="F145" s="2" t="s">
        <v>789</v>
      </c>
      <c r="G145" s="2" t="str">
        <f t="shared" si="2"/>
        <v>DATA</v>
      </c>
      <c r="H145" s="2">
        <f>IF(ISBLANK('FBPQ T4'!E137)," ",'FBPQ T4'!AE137)</f>
        <v>140</v>
      </c>
      <c r="I145" s="2" t="str">
        <f t="shared" si="3"/>
        <v xml:space="preserve"> </v>
      </c>
    </row>
    <row r="146" spans="1:9">
      <c r="E146" s="2" t="str">
        <f>IF(ISNUMBER('FBPQ C2'!J138),'FBPQ C2'!J138,IF(ISNUMBER('FBPQ C2'!I138),'FBPQ C2'!I138,""))</f>
        <v/>
      </c>
      <c r="G146" s="2">
        <f t="shared" si="2"/>
        <v>0</v>
      </c>
      <c r="H146" s="2" t="str">
        <f>IF(ISBLANK('FBPQ T4'!E138)," ",'FBPQ T4'!AE138)</f>
        <v xml:space="preserve"> </v>
      </c>
      <c r="I146" s="2" t="str">
        <f t="shared" si="3"/>
        <v xml:space="preserve"> </v>
      </c>
    </row>
    <row r="147" spans="1:9">
      <c r="A147" s="1" t="s">
        <v>181</v>
      </c>
      <c r="E147" s="2" t="str">
        <f>IF(ISNUMBER('FBPQ C2'!J139),'FBPQ C2'!J139,IF(ISNUMBER('FBPQ C2'!I139),'FBPQ C2'!I139,""))</f>
        <v/>
      </c>
      <c r="G147" s="2">
        <f t="shared" si="2"/>
        <v>0</v>
      </c>
      <c r="H147" s="2" t="str">
        <f>IF(ISBLANK('FBPQ T4'!E139)," ",'FBPQ T4'!AE139)</f>
        <v xml:space="preserve"> </v>
      </c>
      <c r="I147" s="2" t="str">
        <f t="shared" si="3"/>
        <v xml:space="preserve"> </v>
      </c>
    </row>
    <row r="148" spans="1:9">
      <c r="B148" s="2" t="s">
        <v>182</v>
      </c>
      <c r="E148" s="2" t="str">
        <f>IF(ISNUMBER('FBPQ C2'!J140),'FBPQ C2'!J140,IF(ISNUMBER('FBPQ C2'!I140),'FBPQ C2'!I140,""))</f>
        <v/>
      </c>
      <c r="G148" s="2">
        <f t="shared" ref="G148:G163" si="4">IF(ISNUMBER(E148),E148,IF(H148&gt;0,F148," "))</f>
        <v>0</v>
      </c>
      <c r="H148" s="2" t="str">
        <f>IF(ISBLANK('FBPQ T4'!E140)," ",'FBPQ T4'!AE140)</f>
        <v xml:space="preserve"> </v>
      </c>
      <c r="I148" s="2" t="str">
        <f t="shared" ref="I148:I163" si="5">IF(ISERROR(G148*H148)," ",G148*H148)</f>
        <v xml:space="preserve"> </v>
      </c>
    </row>
    <row r="149" spans="1:9">
      <c r="C149" s="2" t="s">
        <v>183</v>
      </c>
      <c r="D149" s="2" t="s">
        <v>518</v>
      </c>
      <c r="E149" s="2" t="str">
        <f>IF(ISNUMBER('FBPQ C2'!J141),'FBPQ C2'!J141,IF(ISNUMBER('FBPQ C2'!I141),'FBPQ C2'!I141,""))</f>
        <v/>
      </c>
      <c r="F149" s="2" t="s">
        <v>789</v>
      </c>
      <c r="G149" s="2" t="str">
        <f t="shared" si="4"/>
        <v>DATA</v>
      </c>
      <c r="H149" s="2">
        <f>IF(ISBLANK('FBPQ T4'!E141)," ",'FBPQ T4'!AE141)</f>
        <v>1</v>
      </c>
      <c r="I149" s="2" t="str">
        <f t="shared" si="5"/>
        <v xml:space="preserve"> </v>
      </c>
    </row>
    <row r="150" spans="1:9">
      <c r="C150" s="2" t="s">
        <v>184</v>
      </c>
      <c r="D150" s="2" t="s">
        <v>518</v>
      </c>
      <c r="E150" s="2" t="str">
        <f>IF(ISNUMBER('FBPQ C2'!J142),'FBPQ C2'!J142,IF(ISNUMBER('FBPQ C2'!I142),'FBPQ C2'!I142,""))</f>
        <v/>
      </c>
      <c r="F150" s="2" t="s">
        <v>789</v>
      </c>
      <c r="G150" s="2" t="str">
        <f t="shared" si="4"/>
        <v>DATA</v>
      </c>
      <c r="H150" s="2">
        <f>IF(ISBLANK('FBPQ T4'!E142)," ",'FBPQ T4'!AE142)</f>
        <v>272</v>
      </c>
      <c r="I150" s="2" t="str">
        <f t="shared" si="5"/>
        <v xml:space="preserve"> </v>
      </c>
    </row>
    <row r="151" spans="1:9">
      <c r="E151" s="2" t="str">
        <f>IF(ISNUMBER('FBPQ C2'!J143),'FBPQ C2'!J143,IF(ISNUMBER('FBPQ C2'!I143),'FBPQ C2'!I143,""))</f>
        <v/>
      </c>
      <c r="G151" s="2">
        <f t="shared" si="4"/>
        <v>0</v>
      </c>
      <c r="H151" s="2" t="str">
        <f>IF(ISBLANK('FBPQ T4'!E143)," ",'FBPQ T4'!AE143)</f>
        <v xml:space="preserve"> </v>
      </c>
      <c r="I151" s="2" t="str">
        <f t="shared" si="5"/>
        <v xml:space="preserve"> </v>
      </c>
    </row>
    <row r="152" spans="1:9">
      <c r="B152" s="2" t="s">
        <v>185</v>
      </c>
      <c r="E152" s="2" t="str">
        <f>IF(ISNUMBER('FBPQ C2'!J144),'FBPQ C2'!J144,IF(ISNUMBER('FBPQ C2'!I144),'FBPQ C2'!I144,""))</f>
        <v/>
      </c>
      <c r="G152" s="2">
        <f t="shared" si="4"/>
        <v>0</v>
      </c>
      <c r="H152" s="2" t="str">
        <f>IF(ISBLANK('FBPQ T4'!E144)," ",'FBPQ T4'!AE144)</f>
        <v xml:space="preserve"> </v>
      </c>
      <c r="I152" s="2" t="str">
        <f t="shared" si="5"/>
        <v xml:space="preserve"> </v>
      </c>
    </row>
    <row r="153" spans="1:9">
      <c r="C153" s="2" t="s">
        <v>186</v>
      </c>
      <c r="D153" s="2" t="s">
        <v>518</v>
      </c>
      <c r="E153" s="2" t="str">
        <f>IF(ISNUMBER('FBPQ C2'!J145),'FBPQ C2'!J145,IF(ISNUMBER('FBPQ C2'!I145),'FBPQ C2'!I145,""))</f>
        <v/>
      </c>
      <c r="F153" s="2" t="s">
        <v>789</v>
      </c>
      <c r="G153" s="2" t="str">
        <f t="shared" si="4"/>
        <v>DATA</v>
      </c>
      <c r="H153" s="2">
        <f>IF(ISBLANK('FBPQ T4'!E145)," ",'FBPQ T4'!AE145)</f>
        <v>1246</v>
      </c>
      <c r="I153" s="2" t="str">
        <f t="shared" si="5"/>
        <v xml:space="preserve"> </v>
      </c>
    </row>
    <row r="154" spans="1:9">
      <c r="C154" s="2" t="s">
        <v>187</v>
      </c>
      <c r="D154" s="2" t="s">
        <v>518</v>
      </c>
      <c r="E154" s="2" t="str">
        <f>IF(ISNUMBER('FBPQ C2'!J146),'FBPQ C2'!J146,IF(ISNUMBER('FBPQ C2'!I146),'FBPQ C2'!I146,""))</f>
        <v/>
      </c>
      <c r="F154" s="2" t="s">
        <v>789</v>
      </c>
      <c r="G154" s="2" t="str">
        <f t="shared" si="4"/>
        <v>DATA</v>
      </c>
      <c r="H154" s="2">
        <f>IF(ISBLANK('FBPQ T4'!E146)," ",'FBPQ T4'!AE146)</f>
        <v>143</v>
      </c>
      <c r="I154" s="2" t="str">
        <f t="shared" si="5"/>
        <v xml:space="preserve"> </v>
      </c>
    </row>
    <row r="155" spans="1:9">
      <c r="E155" s="2" t="str">
        <f>IF(ISNUMBER('FBPQ C2'!J147),'FBPQ C2'!J147,IF(ISNUMBER('FBPQ C2'!I147),'FBPQ C2'!I147,""))</f>
        <v/>
      </c>
      <c r="G155" s="2">
        <f t="shared" si="4"/>
        <v>0</v>
      </c>
      <c r="H155" s="2" t="str">
        <f>IF(ISBLANK('FBPQ T4'!E147)," ",'FBPQ T4'!AE147)</f>
        <v xml:space="preserve"> </v>
      </c>
      <c r="I155" s="2" t="str">
        <f t="shared" si="5"/>
        <v xml:space="preserve"> </v>
      </c>
    </row>
    <row r="156" spans="1:9">
      <c r="E156" s="2" t="str">
        <f>IF(ISNUMBER('FBPQ C2'!J148),'FBPQ C2'!J148,IF(ISNUMBER('FBPQ C2'!I148),'FBPQ C2'!I148,""))</f>
        <v/>
      </c>
      <c r="G156" s="2">
        <f t="shared" si="4"/>
        <v>0</v>
      </c>
      <c r="H156" s="2" t="str">
        <f>IF(ISBLANK('FBPQ T4'!E148)," ",'FBPQ T4'!AE148)</f>
        <v xml:space="preserve"> </v>
      </c>
      <c r="I156" s="2" t="str">
        <f t="shared" si="5"/>
        <v xml:space="preserve"> </v>
      </c>
    </row>
    <row r="157" spans="1:9">
      <c r="A157" s="1" t="s">
        <v>519</v>
      </c>
      <c r="E157" s="2" t="str">
        <f>IF(ISNUMBER('FBPQ C2'!J149),'FBPQ C2'!J149,IF(ISNUMBER('FBPQ C2'!I149),'FBPQ C2'!I149,""))</f>
        <v/>
      </c>
      <c r="G157" s="2">
        <f t="shared" si="4"/>
        <v>0</v>
      </c>
      <c r="H157" s="2" t="str">
        <f>IF(ISBLANK('FBPQ T4'!E149)," ",'FBPQ T4'!AE149)</f>
        <v xml:space="preserve"> </v>
      </c>
      <c r="I157" s="2" t="str">
        <f t="shared" si="5"/>
        <v xml:space="preserve"> </v>
      </c>
    </row>
    <row r="158" spans="1:9">
      <c r="C158" s="2" t="s">
        <v>120</v>
      </c>
      <c r="E158" s="2" t="str">
        <f>IF(ISNUMBER('FBPQ C2'!J150),'FBPQ C2'!J150,IF(ISNUMBER('FBPQ C2'!I150),'FBPQ C2'!I150,""))</f>
        <v/>
      </c>
      <c r="G158" s="2">
        <f t="shared" si="4"/>
        <v>0</v>
      </c>
      <c r="H158" s="2" t="str">
        <f>IF(ISBLANK('FBPQ T4'!E150)," ",'FBPQ T4'!AE150)</f>
        <v xml:space="preserve"> </v>
      </c>
      <c r="I158" s="2" t="str">
        <f t="shared" si="5"/>
        <v xml:space="preserve"> </v>
      </c>
    </row>
    <row r="159" spans="1:9">
      <c r="C159" s="2" t="s">
        <v>520</v>
      </c>
      <c r="D159" s="2" t="s">
        <v>518</v>
      </c>
      <c r="E159" s="2">
        <f>IF(ISNUMBER('FBPQ C2'!J151),'FBPQ C2'!J151,IF(ISNUMBER('FBPQ C2'!I151),'FBPQ C2'!I151,""))</f>
        <v>24.52</v>
      </c>
      <c r="F159" s="2" t="s">
        <v>789</v>
      </c>
      <c r="G159" s="2">
        <f t="shared" si="4"/>
        <v>24.52</v>
      </c>
      <c r="H159" s="2" t="str">
        <f>IF(ISBLANK('FBPQ T4'!E151)," ",'FBPQ T4'!AE151)</f>
        <v xml:space="preserve"> </v>
      </c>
      <c r="I159" s="2" t="str">
        <f t="shared" si="5"/>
        <v xml:space="preserve"> </v>
      </c>
    </row>
    <row r="160" spans="1:9">
      <c r="C160" s="2" t="s">
        <v>521</v>
      </c>
      <c r="D160" s="2" t="s">
        <v>518</v>
      </c>
      <c r="E160" s="2">
        <f>IF(ISNUMBER('FBPQ C2'!J152),'FBPQ C2'!J152,IF(ISNUMBER('FBPQ C2'!I152),'FBPQ C2'!I152,""))</f>
        <v>24.52</v>
      </c>
      <c r="F160" s="2" t="s">
        <v>789</v>
      </c>
      <c r="G160" s="2">
        <f t="shared" si="4"/>
        <v>24.52</v>
      </c>
      <c r="H160" s="2" t="str">
        <f>IF(ISBLANK('FBPQ T4'!E152)," ",'FBPQ T4'!AE152)</f>
        <v xml:space="preserve"> </v>
      </c>
      <c r="I160" s="2" t="str">
        <f t="shared" si="5"/>
        <v xml:space="preserve"> </v>
      </c>
    </row>
    <row r="161" spans="3:9">
      <c r="C161" s="2" t="s">
        <v>129</v>
      </c>
      <c r="E161" s="2" t="str">
        <f>IF(ISNUMBER('FBPQ C2'!J153),'FBPQ C2'!J153,IF(ISNUMBER('FBPQ C2'!I153),'FBPQ C2'!I153,""))</f>
        <v/>
      </c>
      <c r="F161" s="2" t="s">
        <v>789</v>
      </c>
      <c r="G161" s="2" t="str">
        <f t="shared" si="4"/>
        <v>DATA</v>
      </c>
      <c r="H161" s="2" t="str">
        <f>IF(ISBLANK('FBPQ T4'!E153)," ",'FBPQ T4'!AE153)</f>
        <v xml:space="preserve"> </v>
      </c>
      <c r="I161" s="2" t="str">
        <f t="shared" si="5"/>
        <v xml:space="preserve"> </v>
      </c>
    </row>
    <row r="162" spans="3:9">
      <c r="C162" s="2" t="s">
        <v>520</v>
      </c>
      <c r="D162" s="2" t="s">
        <v>518</v>
      </c>
      <c r="E162" s="2" t="str">
        <f>IF(ISNUMBER('FBPQ C2'!J154),'FBPQ C2'!J154,IF(ISNUMBER('FBPQ C2'!I154),'FBPQ C2'!I154,""))</f>
        <v/>
      </c>
      <c r="F162" s="2" t="s">
        <v>789</v>
      </c>
      <c r="G162" s="2" t="str">
        <f t="shared" si="4"/>
        <v>DATA</v>
      </c>
      <c r="H162" s="2" t="str">
        <f>IF(ISBLANK('FBPQ T4'!E154)," ",'FBPQ T4'!AE154)</f>
        <v xml:space="preserve"> </v>
      </c>
      <c r="I162" s="2" t="str">
        <f t="shared" si="5"/>
        <v xml:space="preserve"> </v>
      </c>
    </row>
    <row r="163" spans="3:9">
      <c r="C163" s="2" t="s">
        <v>521</v>
      </c>
      <c r="D163" s="2" t="s">
        <v>518</v>
      </c>
      <c r="E163" s="2" t="str">
        <f>IF(ISNUMBER('FBPQ C2'!J155),'FBPQ C2'!J155,IF(ISNUMBER('FBPQ C2'!I155),'FBPQ C2'!I155,""))</f>
        <v/>
      </c>
      <c r="F163" s="2" t="s">
        <v>789</v>
      </c>
      <c r="G163" s="2" t="str">
        <f t="shared" si="4"/>
        <v>DATA</v>
      </c>
      <c r="H163" s="2" t="str">
        <f>IF(ISBLANK('FBPQ T4'!E155)," ",'FBPQ T4'!AE155)</f>
        <v xml:space="preserve"> </v>
      </c>
      <c r="I163" s="2" t="str">
        <f t="shared" si="5"/>
        <v xml:space="preserve"> </v>
      </c>
    </row>
  </sheetData>
  <phoneticPr fontId="1" type="noConversion"/>
  <pageMargins left="0.75" right="0.75" top="1" bottom="1" header="0.5" footer="0.5"/>
  <pageSetup paperSize="9" scale="3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C5FFFF"/>
    <pageSetUpPr fitToPage="1"/>
  </sheetPr>
  <dimension ref="A1:L17"/>
  <sheetViews>
    <sheetView showGridLines="0" workbookViewId="0">
      <selection activeCell="C7" sqref="C7"/>
    </sheetView>
  </sheetViews>
  <sheetFormatPr defaultColWidth="18.28515625" defaultRowHeight="15"/>
  <cols>
    <col min="1" max="1" width="36.140625" style="2" customWidth="1"/>
    <col min="2" max="12" width="18.85546875" style="2" customWidth="1"/>
    <col min="13" max="16384" width="18.28515625" style="2"/>
  </cols>
  <sheetData>
    <row r="1" spans="1:12" ht="19.5">
      <c r="A1" s="4" t="str">
        <f>"Inputs for Method M ("&amp;'Calc-Net capex'!B5&amp;") for "&amp;Inputs!B6&amp;" in "&amp;Inputs!C6&amp;"  Status: "&amp;Inputs!D6&amp;""</f>
        <v>Inputs for Method M (LR1) for South Wales in April 2017  Status: Finals</v>
      </c>
    </row>
    <row r="2" spans="1:12">
      <c r="C2" s="17"/>
    </row>
    <row r="3" spans="1:12" ht="17.25">
      <c r="A3" s="44" t="s">
        <v>26</v>
      </c>
      <c r="B3" s="5"/>
      <c r="C3" s="17"/>
    </row>
    <row r="4" spans="1:12">
      <c r="A4" s="5"/>
      <c r="B4" s="5"/>
      <c r="C4" s="17"/>
    </row>
    <row r="5" spans="1:12">
      <c r="B5" s="14" t="s">
        <v>27</v>
      </c>
      <c r="C5" s="14" t="s">
        <v>28</v>
      </c>
      <c r="D5" s="14" t="s">
        <v>29</v>
      </c>
    </row>
    <row r="6" spans="1:12" ht="17.25" customHeight="1">
      <c r="A6" s="14" t="s">
        <v>26</v>
      </c>
      <c r="B6" s="36" t="s">
        <v>983</v>
      </c>
      <c r="C6" s="36" t="s">
        <v>1032</v>
      </c>
      <c r="D6" s="36" t="s">
        <v>984</v>
      </c>
    </row>
    <row r="7" spans="1:12">
      <c r="C7" s="17"/>
    </row>
    <row r="8" spans="1:12" ht="17.25">
      <c r="A8" s="44" t="s">
        <v>30</v>
      </c>
      <c r="B8" s="5"/>
      <c r="D8" s="7"/>
      <c r="E8" s="8"/>
      <c r="F8" s="9"/>
      <c r="G8" s="9"/>
    </row>
    <row r="9" spans="1:12">
      <c r="A9" s="3" t="s">
        <v>31</v>
      </c>
      <c r="B9" s="3"/>
    </row>
    <row r="10" spans="1:12">
      <c r="A10" s="3" t="s">
        <v>32</v>
      </c>
      <c r="B10" s="3"/>
    </row>
    <row r="11" spans="1:12">
      <c r="A11" s="3" t="s">
        <v>33</v>
      </c>
      <c r="B11" s="3"/>
    </row>
    <row r="12" spans="1:12" ht="32.25" customHeight="1">
      <c r="A12" s="10">
        <v>1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4" spans="1:12" ht="17.25">
      <c r="A14" s="44" t="s">
        <v>34</v>
      </c>
    </row>
    <row r="15" spans="1:12">
      <c r="A15" s="5"/>
    </row>
    <row r="16" spans="1:12">
      <c r="A16" s="5"/>
      <c r="B16" s="18" t="s">
        <v>35</v>
      </c>
    </row>
    <row r="17" spans="1:2">
      <c r="A17" s="14" t="s">
        <v>35</v>
      </c>
      <c r="B17" s="13">
        <v>5.5449999999999999E-2</v>
      </c>
    </row>
  </sheetData>
  <sheetProtection sheet="1" objects="1" scenarios="1"/>
  <phoneticPr fontId="1" type="noConversion"/>
  <pageMargins left="0.75" right="0.75" top="1" bottom="1" header="0.5" footer="0.5"/>
  <pageSetup paperSize="9" scale="58" orientation="portrait" horizontalDpi="4294967292" verticalDpi="4294967292" r:id="rId1"/>
  <headerFooter>
    <oddHeader>&amp;A&amp;RPage 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47625</xdr:rowOff>
                  </from>
                  <to>
                    <xdr:col>1</xdr:col>
                    <xdr:colOff>1095375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47625</xdr:rowOff>
                  </from>
                  <to>
                    <xdr:col>3</xdr:col>
                    <xdr:colOff>0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C4"/>
    <pageSetUpPr fitToPage="1"/>
  </sheetPr>
  <dimension ref="A1:H11"/>
  <sheetViews>
    <sheetView showGridLines="0" workbookViewId="0">
      <selection sqref="A1:XFD1048576"/>
    </sheetView>
  </sheetViews>
  <sheetFormatPr defaultColWidth="8.85546875" defaultRowHeight="15"/>
  <cols>
    <col min="1" max="1" width="21.7109375" style="2" customWidth="1"/>
    <col min="2" max="2" width="9.85546875" style="2" customWidth="1"/>
    <col min="3" max="3" width="31.140625" style="2" customWidth="1"/>
    <col min="4" max="4" width="8.85546875" style="2" customWidth="1"/>
    <col min="5" max="7" width="20.42578125" style="2" customWidth="1"/>
    <col min="8" max="8" width="21.85546875" style="2" customWidth="1"/>
    <col min="9" max="10" width="20.42578125" style="2" customWidth="1"/>
    <col min="11" max="11" width="21.85546875" style="2" customWidth="1"/>
    <col min="12" max="13" width="9.140625" style="2" customWidth="1"/>
    <col min="14" max="15" width="20.42578125" style="2" customWidth="1"/>
    <col min="16" max="16" width="21.85546875" style="2" customWidth="1"/>
    <col min="17" max="16384" width="8.85546875" style="2"/>
  </cols>
  <sheetData>
    <row r="1" spans="1:8" ht="19.5">
      <c r="A1" s="4" t="str">
        <f>"Calc-MEAV for Method M ("&amp;'Calc-Net capex'!B5&amp;") for "&amp;Inputs!B6&amp;" in "&amp;Inputs!C6&amp;"  Status: "&amp;Inputs!D6&amp;""</f>
        <v>Calc-MEAV for Method M (LR1) for South Wales in April 2017  Status: Finals</v>
      </c>
    </row>
    <row r="3" spans="1:8" ht="26.25" customHeight="1">
      <c r="F3" s="2" t="s">
        <v>790</v>
      </c>
    </row>
    <row r="4" spans="1:8" ht="27.75" customHeight="1">
      <c r="F4" s="2" t="s">
        <v>791</v>
      </c>
    </row>
    <row r="5" spans="1:8">
      <c r="G5" s="2" t="s">
        <v>203</v>
      </c>
      <c r="H5" s="2" t="s">
        <v>792</v>
      </c>
    </row>
    <row r="6" spans="1:8">
      <c r="F6" s="2" t="s">
        <v>222</v>
      </c>
      <c r="G6" s="2">
        <f>SUM('Data-MEAV'!I20:I39)</f>
        <v>1763568.7248</v>
      </c>
      <c r="H6" s="2">
        <f>G6/$G$11</f>
        <v>0.43300183232118161</v>
      </c>
    </row>
    <row r="7" spans="1:8">
      <c r="F7" s="2" t="s">
        <v>526</v>
      </c>
      <c r="G7" s="2">
        <f>SUM('Data-MEAV'!I62:I63)+SUM('Data-MEAV'!I69:I70)+SUM('Data-MEAV'!I75:I78)</f>
        <v>277374.21999999997</v>
      </c>
      <c r="H7" s="2">
        <f>G7/$G$11</f>
        <v>6.8102560342398366E-2</v>
      </c>
    </row>
    <row r="8" spans="1:8">
      <c r="F8" s="2" t="s">
        <v>223</v>
      </c>
      <c r="G8" s="2">
        <f>SUM('Data-MEAV'!I42:I56)+SUM('Data-MEAV'!I59:I61)+SUM('Data-MEAV'!I64:I68)+SUM('Data-MEAV'!I71:I72)+SUM('Data-MEAV'!I158:I163)+SUM('Data-MEAV'!I153:I154)</f>
        <v>1133329.5619999999</v>
      </c>
      <c r="H8" s="2">
        <f>G8/$G$11</f>
        <v>0.27826178252589195</v>
      </c>
    </row>
    <row r="9" spans="1:8">
      <c r="F9" s="2" t="s">
        <v>403</v>
      </c>
      <c r="G9" s="2">
        <f>SUM('Data-MEAV'!I81:I120)+SUM('Data-MEAV'!I149:I150)</f>
        <v>323753.89367999998</v>
      </c>
      <c r="H9" s="2">
        <f>G9/$G$11</f>
        <v>7.9489972357303512E-2</v>
      </c>
    </row>
    <row r="10" spans="1:8">
      <c r="F10" s="2" t="s">
        <v>482</v>
      </c>
      <c r="G10" s="2">
        <f>SUM('Data-MEAV'!I121:I146)</f>
        <v>574863.35000000009</v>
      </c>
      <c r="H10" s="2">
        <f>G10/$G$11</f>
        <v>0.14114385245322467</v>
      </c>
    </row>
    <row r="11" spans="1:8">
      <c r="F11" s="2" t="s">
        <v>200</v>
      </c>
      <c r="G11" s="2">
        <f>SUM(G6:G10)</f>
        <v>4072889.7504799995</v>
      </c>
      <c r="H11" s="2">
        <f>SUM(H6:H10)</f>
        <v>1</v>
      </c>
    </row>
  </sheetData>
  <sheetProtection sheet="1" objects="1" scenarios="1"/>
  <phoneticPr fontId="1" type="noConversion"/>
  <pageMargins left="0.75" right="0.75" top="1" bottom="1" header="0.5" footer="0.5"/>
  <pageSetup paperSize="9" scale="4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C4"/>
    <pageSetUpPr fitToPage="1"/>
  </sheetPr>
  <dimension ref="A1:F23"/>
  <sheetViews>
    <sheetView showGridLines="0" workbookViewId="0">
      <selection sqref="A1:XFD1048576"/>
    </sheetView>
  </sheetViews>
  <sheetFormatPr defaultColWidth="8.85546875" defaultRowHeight="15"/>
  <cols>
    <col min="1" max="1" width="59.140625" style="2" customWidth="1"/>
    <col min="2" max="2" width="16" style="2" customWidth="1"/>
    <col min="3" max="6" width="19" style="2" customWidth="1"/>
    <col min="7" max="16384" width="8.85546875" style="2"/>
  </cols>
  <sheetData>
    <row r="1" spans="1:6" ht="19.5">
      <c r="A1" s="4" t="str">
        <f>"Calc-Units for Method M ("&amp;'Calc-Net capex'!B5&amp;") for "&amp;Inputs!B6&amp;" in "&amp;Inputs!C6&amp;"  Status: "&amp;Inputs!D6&amp;""</f>
        <v>Calc-Units for Method M (LR1) for South Wales in April 2017  Status: Finals</v>
      </c>
    </row>
    <row r="3" spans="1:6">
      <c r="A3" s="2" t="s">
        <v>793</v>
      </c>
    </row>
    <row r="4" spans="1:6">
      <c r="B4" s="2" t="s">
        <v>794</v>
      </c>
    </row>
    <row r="5" spans="1:6">
      <c r="A5" s="2" t="s">
        <v>795</v>
      </c>
      <c r="B5" s="2">
        <f>'RRP 5.1'!G36</f>
        <v>7216.2041944999992</v>
      </c>
    </row>
    <row r="6" spans="1:6">
      <c r="A6" s="2" t="s">
        <v>796</v>
      </c>
      <c r="B6" s="2">
        <f>'RRP 5.1'!G35</f>
        <v>2482.1083529999996</v>
      </c>
    </row>
    <row r="7" spans="1:6">
      <c r="A7" s="2" t="s">
        <v>797</v>
      </c>
      <c r="B7" s="2">
        <f>'RRP 5.1'!G34</f>
        <v>2954.8379382999997</v>
      </c>
    </row>
    <row r="8" spans="1:6">
      <c r="A8" s="2" t="s">
        <v>798</v>
      </c>
      <c r="B8" s="2">
        <f>'RRP 5.1'!G40</f>
        <v>675.23700000000008</v>
      </c>
    </row>
    <row r="10" spans="1:6">
      <c r="A10" s="2" t="s">
        <v>799</v>
      </c>
    </row>
    <row r="11" spans="1:6">
      <c r="B11" s="2" t="s">
        <v>800</v>
      </c>
      <c r="C11" s="2" t="s">
        <v>222</v>
      </c>
      <c r="D11" s="2" t="s">
        <v>223</v>
      </c>
      <c r="E11" s="2" t="s">
        <v>403</v>
      </c>
      <c r="F11" s="2" t="s">
        <v>402</v>
      </c>
    </row>
    <row r="12" spans="1:6">
      <c r="A12" s="2" t="s">
        <v>795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>
      <c r="A13" s="2" t="s">
        <v>796</v>
      </c>
      <c r="B13" s="2">
        <v>0</v>
      </c>
      <c r="C13" s="2">
        <v>0</v>
      </c>
      <c r="D13" s="2">
        <f>(1+$B$8/($B$5+$B$6/2+$B$7/4)/2)/(1+$B$8/($B$5+$B$6/2+$B$7/4))</f>
        <v>0.96579764021315795</v>
      </c>
      <c r="E13" s="2">
        <f>(1+$B$8/($B$5+$B$6/2+$B$7/4)/2)/(1+$B$8/($B$5+$B$6/2+$B$7/4))</f>
        <v>0.96579764021315795</v>
      </c>
      <c r="F13" s="2">
        <f>(1+$B$8/($B$5+$B$6/2+$B$7/4)/2)/(1+$B$8/($B$5+$B$6/2+$B$7/4))</f>
        <v>0.96579764021315795</v>
      </c>
    </row>
    <row r="14" spans="1:6">
      <c r="A14" s="2" t="s">
        <v>797</v>
      </c>
      <c r="B14" s="2">
        <v>0</v>
      </c>
      <c r="C14" s="2">
        <v>0</v>
      </c>
      <c r="D14" s="2">
        <v>0</v>
      </c>
      <c r="E14" s="2">
        <f>(1+$B$8/($B$5+$B$6/2+$B$7/4)/4)/(1+$B$8/($B$5+$B$6/2+$B$7/4))</f>
        <v>0.94869646031973676</v>
      </c>
      <c r="F14" s="2">
        <f>(1+$B$8/($B$5+$B$6/2+$B$7/4)/4)/(1+$B$8/($B$5+$B$6/2+$B$7/4))</f>
        <v>0.94869646031973676</v>
      </c>
    </row>
    <row r="21" spans="1:6">
      <c r="B21" s="2" t="s">
        <v>800</v>
      </c>
      <c r="C21" s="2" t="s">
        <v>222</v>
      </c>
      <c r="D21" s="2" t="s">
        <v>223</v>
      </c>
      <c r="E21" s="2" t="s">
        <v>403</v>
      </c>
      <c r="F21" s="2" t="s">
        <v>402</v>
      </c>
    </row>
    <row r="22" spans="1:6">
      <c r="A22" s="2" t="s">
        <v>801</v>
      </c>
      <c r="B22" s="2">
        <f>SUMPRODUCT(B$12:B$14,$B$5:$B$7)</f>
        <v>7216.2041944999992</v>
      </c>
      <c r="C22" s="2">
        <f>SUMPRODUCT(C$12:C$14,$B$5:$B$7)</f>
        <v>7216.2041944999992</v>
      </c>
      <c r="D22" s="2">
        <f>SUMPRODUCT(D$12:D$14,$B$5:$B$7)</f>
        <v>9613.418584580766</v>
      </c>
      <c r="E22" s="2">
        <f>SUMPRODUCT(E$12:E$14,$B$5:$B$7)</f>
        <v>12416.662877464445</v>
      </c>
      <c r="F22" s="2">
        <f>SUMPRODUCT(F$12:F$14,$B$5:$B$7)</f>
        <v>12416.662877464445</v>
      </c>
    </row>
    <row r="23" spans="1:6">
      <c r="A23" s="2" t="s">
        <v>802</v>
      </c>
      <c r="B23" s="2">
        <f>B22*1000000</f>
        <v>7216204194.499999</v>
      </c>
      <c r="C23" s="2">
        <f>C22*1000000</f>
        <v>7216204194.499999</v>
      </c>
      <c r="D23" s="2">
        <f>D22*1000000</f>
        <v>9613418584.5807667</v>
      </c>
      <c r="E23" s="2">
        <f>E22*1000000</f>
        <v>12416662877.464445</v>
      </c>
      <c r="F23" s="2">
        <f>F22*1000000</f>
        <v>12416662877.464445</v>
      </c>
    </row>
  </sheetData>
  <sheetProtection sheet="1" objects="1" scenarios="1"/>
  <phoneticPr fontId="1" type="noConversion"/>
  <pageMargins left="0.75" right="0.75" top="1" bottom="1" header="0.5" footer="0.5"/>
  <pageSetup paperSize="9" scale="5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C4"/>
    <pageSetUpPr fitToPage="1"/>
  </sheetPr>
  <dimension ref="A1:P110"/>
  <sheetViews>
    <sheetView showGridLines="0" workbookViewId="0">
      <selection activeCell="C19" sqref="A1:XFD1048576"/>
    </sheetView>
  </sheetViews>
  <sheetFormatPr defaultColWidth="8.85546875" defaultRowHeight="15"/>
  <cols>
    <col min="1" max="1" width="8.85546875" style="2" customWidth="1"/>
    <col min="2" max="10" width="11.42578125" style="2" customWidth="1"/>
    <col min="11" max="16384" width="8.85546875" style="2"/>
  </cols>
  <sheetData>
    <row r="1" spans="1:16" ht="19.5">
      <c r="A1" s="4" t="str">
        <f>"Calc-Net capex for Method M ("&amp;B5&amp;") for "&amp;Inputs!B6&amp;" in "&amp;Inputs!C6&amp;"  Status: "&amp;Inputs!D6&amp;""</f>
        <v>Calc-Net capex for Method M (LR1) for South Wales in April 2017  Status: Finals</v>
      </c>
    </row>
    <row r="3" spans="1:16" ht="26.25" customHeight="1">
      <c r="A3" s="31" t="s">
        <v>803</v>
      </c>
      <c r="B3" s="32"/>
      <c r="C3" s="32"/>
      <c r="D3" s="33"/>
      <c r="F3" s="1504" t="s">
        <v>804</v>
      </c>
      <c r="G3" s="1505"/>
      <c r="H3" s="1509"/>
      <c r="J3" s="1504" t="s">
        <v>522</v>
      </c>
      <c r="K3" s="1505"/>
      <c r="L3" s="1509"/>
      <c r="N3" s="1511" t="s">
        <v>523</v>
      </c>
      <c r="O3" s="1512"/>
      <c r="P3" s="1513"/>
    </row>
    <row r="4" spans="1:16" ht="12.75" customHeight="1">
      <c r="A4" s="23"/>
      <c r="B4" s="21"/>
      <c r="C4" s="21" t="s">
        <v>805</v>
      </c>
      <c r="D4" s="22" t="s">
        <v>806</v>
      </c>
      <c r="F4" s="23"/>
      <c r="G4" s="21"/>
      <c r="H4" s="22"/>
      <c r="J4" s="1514" t="s">
        <v>524</v>
      </c>
      <c r="K4" s="1515"/>
      <c r="L4" s="1516"/>
      <c r="N4" s="1514" t="s">
        <v>525</v>
      </c>
      <c r="O4" s="1515"/>
      <c r="P4" s="1516"/>
    </row>
    <row r="5" spans="1:16">
      <c r="A5" s="24"/>
      <c r="B5" s="25" t="str">
        <f>IF(Inputs!A12,INDEX(C4:D4,Inputs!A12),"No option selected")</f>
        <v>LR1</v>
      </c>
      <c r="C5" s="25"/>
      <c r="D5" s="26"/>
      <c r="F5" s="23"/>
      <c r="G5" s="21" t="s">
        <v>203</v>
      </c>
      <c r="H5" s="22" t="s">
        <v>792</v>
      </c>
      <c r="J5" s="23" t="s">
        <v>403</v>
      </c>
      <c r="K5" s="21">
        <f>'Reductions to net capex'!K5</f>
        <v>0</v>
      </c>
      <c r="L5" s="22">
        <f>K$5*(F21/(F21+F22))</f>
        <v>0</v>
      </c>
      <c r="N5" s="23"/>
      <c r="O5" s="21" t="s">
        <v>203</v>
      </c>
      <c r="P5" s="22"/>
    </row>
    <row r="6" spans="1:16">
      <c r="F6" s="23" t="s">
        <v>222</v>
      </c>
      <c r="G6" s="21">
        <f>C39+F39+I39+C49+F49-O6</f>
        <v>49.299918108546755</v>
      </c>
      <c r="H6" s="22">
        <f>G6/SUM($G$6:$G$10)</f>
        <v>0.18558934458027709</v>
      </c>
      <c r="J6" s="24" t="s">
        <v>402</v>
      </c>
      <c r="K6" s="25"/>
      <c r="L6" s="26">
        <f>K$5*(F22/(F21+F22))</f>
        <v>0</v>
      </c>
      <c r="N6" s="23" t="s">
        <v>222</v>
      </c>
      <c r="O6" s="21">
        <f>'Reductions to net capex'!O6</f>
        <v>0</v>
      </c>
      <c r="P6" s="22"/>
    </row>
    <row r="7" spans="1:16">
      <c r="F7" s="23" t="s">
        <v>526</v>
      </c>
      <c r="G7" s="21">
        <f>C40+F40+I40+C50+F50-O7</f>
        <v>23.067824613711821</v>
      </c>
      <c r="H7" s="22">
        <f>G7/SUM($G$6:$G$10)</f>
        <v>8.6838733515246375E-2</v>
      </c>
      <c r="N7" s="23" t="s">
        <v>526</v>
      </c>
      <c r="O7" s="21">
        <f>'Reductions to net capex'!O7</f>
        <v>0</v>
      </c>
      <c r="P7" s="22"/>
    </row>
    <row r="8" spans="1:16">
      <c r="F8" s="23" t="s">
        <v>223</v>
      </c>
      <c r="G8" s="21">
        <f>C41+F41+I41+C51+F51-O8</f>
        <v>93.064880701504492</v>
      </c>
      <c r="H8" s="22">
        <f>G8/SUM($G$6:$G$10)</f>
        <v>0.35034237125516859</v>
      </c>
      <c r="N8" s="23" t="s">
        <v>223</v>
      </c>
      <c r="O8" s="21">
        <f>'Reductions to net capex'!O8</f>
        <v>0</v>
      </c>
      <c r="P8" s="22"/>
    </row>
    <row r="9" spans="1:16">
      <c r="F9" s="23" t="s">
        <v>403</v>
      </c>
      <c r="G9" s="21">
        <f>C42+F42+I42+C52+F52-L5-O9</f>
        <v>58.049577218071228</v>
      </c>
      <c r="H9" s="22">
        <f>G9/SUM($G$6:$G$10)</f>
        <v>0.21852740131015197</v>
      </c>
      <c r="N9" s="23" t="s">
        <v>403</v>
      </c>
      <c r="O9" s="21">
        <f>'Reductions to net capex'!O9</f>
        <v>0</v>
      </c>
      <c r="P9" s="22"/>
    </row>
    <row r="10" spans="1:16">
      <c r="F10" s="24" t="s">
        <v>482</v>
      </c>
      <c r="G10" s="25">
        <f>C43+F43+I43+C53+F53-L6-O10</f>
        <v>42.157608691195435</v>
      </c>
      <c r="H10" s="26">
        <f>G10/SUM($G$6:$G$10)</f>
        <v>0.15870214933915611</v>
      </c>
      <c r="N10" s="24" t="s">
        <v>482</v>
      </c>
      <c r="O10" s="25">
        <f>'Reductions to net capex'!O10</f>
        <v>0</v>
      </c>
      <c r="P10" s="26"/>
    </row>
    <row r="12" spans="1:16" ht="12" customHeight="1"/>
    <row r="13" spans="1:16">
      <c r="A13" s="1" t="s">
        <v>807</v>
      </c>
    </row>
    <row r="15" spans="1:16" ht="5.25" customHeight="1"/>
    <row r="16" spans="1:16" ht="26.25" customHeight="1">
      <c r="A16" s="29"/>
      <c r="B16" s="1504" t="s">
        <v>808</v>
      </c>
      <c r="C16" s="1509"/>
      <c r="D16" s="29"/>
      <c r="E16" s="1504" t="s">
        <v>809</v>
      </c>
      <c r="F16" s="1509"/>
      <c r="G16" s="29"/>
      <c r="H16" s="1504" t="s">
        <v>810</v>
      </c>
      <c r="I16" s="1509"/>
    </row>
    <row r="17" spans="1:9" ht="45.95" customHeight="1">
      <c r="A17" s="29"/>
      <c r="B17" s="1500" t="s">
        <v>811</v>
      </c>
      <c r="C17" s="1510"/>
      <c r="D17" s="29"/>
      <c r="E17" s="1500" t="s">
        <v>812</v>
      </c>
      <c r="F17" s="1510"/>
      <c r="G17" s="29"/>
      <c r="H17" s="1500" t="s">
        <v>813</v>
      </c>
      <c r="I17" s="1510"/>
    </row>
    <row r="18" spans="1:9" ht="12.75" customHeight="1">
      <c r="B18" s="23"/>
      <c r="C18" s="22"/>
      <c r="E18" s="23"/>
      <c r="F18" s="22"/>
      <c r="H18" s="23"/>
      <c r="I18" s="22"/>
    </row>
    <row r="19" spans="1:9" ht="12" customHeight="1">
      <c r="B19" s="23" t="s">
        <v>222</v>
      </c>
      <c r="C19" s="22">
        <f>IF(Inputs!$A$12=1,C87,IF(Inputs!$A$12=2,C66,#VALUE!))</f>
        <v>3.0999999999999943</v>
      </c>
      <c r="E19" s="23" t="s">
        <v>222</v>
      </c>
      <c r="F19" s="22">
        <f>SUM('FBPQ LR4'!D11:M11)</f>
        <v>1.8999999999999997</v>
      </c>
      <c r="H19" s="23" t="s">
        <v>222</v>
      </c>
      <c r="I19" s="22">
        <f>SUM('FBPQ LR6'!C28:L28)</f>
        <v>0</v>
      </c>
    </row>
    <row r="20" spans="1:9" ht="12" customHeight="1">
      <c r="B20" s="23" t="s">
        <v>223</v>
      </c>
      <c r="C20" s="22">
        <f>IF(Inputs!$A$12=1,C88,IF(Inputs!$A$12=2,C67,#VALUE!))</f>
        <v>1.1999999999999993</v>
      </c>
      <c r="E20" s="23" t="s">
        <v>223</v>
      </c>
      <c r="F20" s="22">
        <f>SUM('FBPQ LR4'!D12:M12)</f>
        <v>12.600000000000003</v>
      </c>
      <c r="H20" s="23" t="s">
        <v>223</v>
      </c>
      <c r="I20" s="22">
        <f>SUM('FBPQ LR6'!C29:L29)</f>
        <v>0</v>
      </c>
    </row>
    <row r="21" spans="1:9">
      <c r="B21" s="23" t="s">
        <v>403</v>
      </c>
      <c r="C21" s="22">
        <f>IF(Inputs!$A$12=1,C89,IF(Inputs!$A$12=2,C68,#VALUE!))</f>
        <v>1.5500000000000016</v>
      </c>
      <c r="E21" s="23" t="s">
        <v>403</v>
      </c>
      <c r="F21" s="22">
        <f>SUM('FBPQ LR4'!D13:M13)</f>
        <v>17.700000000000003</v>
      </c>
      <c r="H21" s="23" t="s">
        <v>403</v>
      </c>
      <c r="I21" s="22">
        <f>SUM('FBPQ LR6'!C30:L30)</f>
        <v>0.7</v>
      </c>
    </row>
    <row r="22" spans="1:9">
      <c r="B22" s="24" t="s">
        <v>482</v>
      </c>
      <c r="C22" s="26">
        <f>IF(Inputs!$A$12=1,C90,IF(Inputs!$A$12=2,C69,#VALUE!))</f>
        <v>0</v>
      </c>
      <c r="E22" s="24" t="s">
        <v>482</v>
      </c>
      <c r="F22" s="26">
        <f>SUM('FBPQ LR4'!D14:M14)</f>
        <v>9.3000000000000007</v>
      </c>
      <c r="H22" s="24" t="s">
        <v>482</v>
      </c>
      <c r="I22" s="26">
        <f>SUM('FBPQ LR6'!C31:L31)</f>
        <v>0</v>
      </c>
    </row>
    <row r="25" spans="1:9" s="29" customFormat="1" ht="36.950000000000003" customHeight="1">
      <c r="B25" s="1504" t="s">
        <v>814</v>
      </c>
      <c r="C25" s="1509"/>
      <c r="E25" s="1506" t="s">
        <v>815</v>
      </c>
      <c r="F25" s="1507"/>
    </row>
    <row r="26" spans="1:9" s="29" customFormat="1" ht="27.75" customHeight="1">
      <c r="B26" s="1500" t="s">
        <v>816</v>
      </c>
      <c r="C26" s="1510"/>
      <c r="E26" s="1502" t="s">
        <v>817</v>
      </c>
      <c r="F26" s="1503"/>
    </row>
    <row r="27" spans="1:9">
      <c r="B27" s="23"/>
      <c r="C27" s="22"/>
      <c r="E27" s="23"/>
      <c r="F27" s="22"/>
    </row>
    <row r="28" spans="1:9">
      <c r="B28" s="23" t="s">
        <v>222</v>
      </c>
      <c r="C28" s="22">
        <f>SUM('FBPQ NL1'!D10:M16)</f>
        <v>44.299918108546763</v>
      </c>
      <c r="E28" s="23" t="s">
        <v>222</v>
      </c>
      <c r="F28" s="22">
        <f>SUM('NL9 - Legal &amp; Safety'!D33:M33,'NL9 - Legal &amp; Safety'!D42:M42)</f>
        <v>0</v>
      </c>
    </row>
    <row r="29" spans="1:9">
      <c r="B29" s="23" t="s">
        <v>223</v>
      </c>
      <c r="C29" s="22">
        <f>SUM('FBPQ NL1'!D17:M22)</f>
        <v>102.33270531521633</v>
      </c>
      <c r="E29" s="23" t="s">
        <v>223</v>
      </c>
      <c r="F29" s="22">
        <f>SUM('NL9 - Legal &amp; Safety'!D34:M34,'NL9 - Legal &amp; Safety'!D43:M43)</f>
        <v>0</v>
      </c>
    </row>
    <row r="30" spans="1:9">
      <c r="B30" s="23" t="s">
        <v>403</v>
      </c>
      <c r="C30" s="22">
        <f>SUM('FBPQ NL1'!D23:M28)</f>
        <v>38.099577218071225</v>
      </c>
      <c r="E30" s="23" t="s">
        <v>403</v>
      </c>
      <c r="F30" s="22">
        <f>SUM('NL9 - Legal &amp; Safety'!D35:M35,'NL9 - Legal &amp; Safety'!D44:M44)</f>
        <v>0</v>
      </c>
    </row>
    <row r="31" spans="1:9">
      <c r="B31" s="24" t="s">
        <v>482</v>
      </c>
      <c r="C31" s="26">
        <f>SUM('FBPQ NL1'!D29:M34)</f>
        <v>32.857608691195438</v>
      </c>
      <c r="E31" s="24" t="s">
        <v>482</v>
      </c>
      <c r="F31" s="26">
        <f>SUM('NL9 - Legal &amp; Safety'!D36:M36,'NL9 - Legal &amp; Safety'!D45:M45)</f>
        <v>0</v>
      </c>
    </row>
    <row r="33" spans="1:10" s="1" customFormat="1">
      <c r="A33" s="1" t="s">
        <v>818</v>
      </c>
    </row>
    <row r="35" spans="1:10" ht="5.25" customHeight="1"/>
    <row r="36" spans="1:10" s="29" customFormat="1" ht="51" customHeight="1">
      <c r="B36" s="1504" t="s">
        <v>808</v>
      </c>
      <c r="C36" s="1505"/>
      <c r="D36" s="34"/>
      <c r="E36" s="1504" t="s">
        <v>809</v>
      </c>
      <c r="F36" s="1505"/>
      <c r="G36" s="34"/>
      <c r="H36" s="1504" t="s">
        <v>810</v>
      </c>
      <c r="I36" s="1505"/>
      <c r="J36" s="34"/>
    </row>
    <row r="37" spans="1:10" s="29" customFormat="1" ht="51" customHeight="1">
      <c r="B37" s="1500" t="s">
        <v>811</v>
      </c>
      <c r="C37" s="1501"/>
      <c r="D37" s="35"/>
      <c r="E37" s="1500" t="s">
        <v>812</v>
      </c>
      <c r="F37" s="1501"/>
      <c r="G37" s="35"/>
      <c r="H37" s="1500" t="s">
        <v>813</v>
      </c>
      <c r="I37" s="1501"/>
      <c r="J37" s="35"/>
    </row>
    <row r="38" spans="1:10" ht="12.75" customHeight="1">
      <c r="B38" s="23"/>
      <c r="C38" s="21"/>
      <c r="D38" s="22"/>
      <c r="E38" s="23"/>
      <c r="F38" s="21"/>
      <c r="G38" s="22"/>
      <c r="H38" s="23"/>
      <c r="I38" s="21"/>
      <c r="J38" s="22"/>
    </row>
    <row r="39" spans="1:10">
      <c r="B39" s="23" t="s">
        <v>222</v>
      </c>
      <c r="C39" s="21">
        <f>IF(Inputs!$A$12=1,C96,IF(Inputs!$A$12=2,C75,#VALUE!))</f>
        <v>3.0999999999999943</v>
      </c>
      <c r="D39" s="22"/>
      <c r="E39" s="23" t="s">
        <v>222</v>
      </c>
      <c r="F39" s="21">
        <f>SUM('FBPQ LR4'!D11:M11)</f>
        <v>1.8999999999999997</v>
      </c>
      <c r="G39" s="22"/>
      <c r="H39" s="23" t="s">
        <v>222</v>
      </c>
      <c r="I39" s="21">
        <f>SUM('FBPQ LR6'!C28:L28)</f>
        <v>0</v>
      </c>
      <c r="J39" s="22"/>
    </row>
    <row r="40" spans="1:10">
      <c r="B40" s="23" t="s">
        <v>526</v>
      </c>
      <c r="C40" s="21">
        <f>IF(Inputs!$A$12=1,C97,IF(Inputs!$A$12=2,C76,#VALUE!))</f>
        <v>0.28724606794854218</v>
      </c>
      <c r="D40" s="22" t="s">
        <v>819</v>
      </c>
      <c r="E40" s="23" t="s">
        <v>526</v>
      </c>
      <c r="F40" s="21">
        <f>SUM('FBPQ LR4'!D12:M12)*(C55)</f>
        <v>3.0160837134596958</v>
      </c>
      <c r="G40" s="22" t="s">
        <v>819</v>
      </c>
      <c r="H40" s="23" t="s">
        <v>526</v>
      </c>
      <c r="I40" s="21">
        <f>SUM('FBPQ LR6'!C29:L29)*(C55)</f>
        <v>0</v>
      </c>
      <c r="J40" s="22" t="s">
        <v>819</v>
      </c>
    </row>
    <row r="41" spans="1:10">
      <c r="B41" s="23" t="s">
        <v>223</v>
      </c>
      <c r="C41" s="21">
        <f>IF(Inputs!$A$12=1,C98,IF(Inputs!$A$12=2,C77,#VALUE!))</f>
        <v>0.91275393205145705</v>
      </c>
      <c r="D41" s="22"/>
      <c r="E41" s="23" t="s">
        <v>223</v>
      </c>
      <c r="F41" s="21">
        <f>SUM('FBPQ LR4'!D12:M12)*(1-C55)</f>
        <v>9.5839162865403082</v>
      </c>
      <c r="G41" s="22"/>
      <c r="H41" s="23" t="s">
        <v>223</v>
      </c>
      <c r="I41" s="21">
        <f>SUM('FBPQ LR6'!C29:L29)*(1-C55)</f>
        <v>0</v>
      </c>
      <c r="J41" s="22"/>
    </row>
    <row r="42" spans="1:10">
      <c r="B42" s="23" t="s">
        <v>403</v>
      </c>
      <c r="C42" s="21">
        <f>IF(Inputs!$A$12=1,C99,IF(Inputs!$A$12=2,C78,#VALUE!))</f>
        <v>1.5500000000000016</v>
      </c>
      <c r="D42" s="22"/>
      <c r="E42" s="23" t="s">
        <v>403</v>
      </c>
      <c r="F42" s="21">
        <f>SUM('FBPQ LR4'!D13:M13)</f>
        <v>17.700000000000003</v>
      </c>
      <c r="G42" s="22"/>
      <c r="H42" s="23" t="s">
        <v>403</v>
      </c>
      <c r="I42" s="21">
        <f>SUM('FBPQ LR6'!C30:L30)</f>
        <v>0.7</v>
      </c>
      <c r="J42" s="22"/>
    </row>
    <row r="43" spans="1:10">
      <c r="B43" s="24" t="s">
        <v>482</v>
      </c>
      <c r="C43" s="25">
        <f>IF(Inputs!$A$12=1,C100,IF(Inputs!$A$12=2,C79,#VALUE!))</f>
        <v>0</v>
      </c>
      <c r="D43" s="26"/>
      <c r="E43" s="24" t="s">
        <v>482</v>
      </c>
      <c r="F43" s="25">
        <f>SUM('FBPQ LR4'!D14:M14)</f>
        <v>9.3000000000000007</v>
      </c>
      <c r="G43" s="26"/>
      <c r="H43" s="24" t="s">
        <v>482</v>
      </c>
      <c r="I43" s="25">
        <f>SUM('FBPQ LR6'!C31:L31)</f>
        <v>0</v>
      </c>
      <c r="J43" s="26"/>
    </row>
    <row r="46" spans="1:10" s="29" customFormat="1" ht="27.75" customHeight="1">
      <c r="B46" s="1504" t="s">
        <v>814</v>
      </c>
      <c r="C46" s="1505"/>
      <c r="D46" s="34"/>
      <c r="E46" s="1506" t="s">
        <v>815</v>
      </c>
      <c r="F46" s="1507"/>
      <c r="H46" s="1506" t="s">
        <v>815</v>
      </c>
      <c r="I46" s="1508"/>
      <c r="J46" s="34"/>
    </row>
    <row r="47" spans="1:10" s="29" customFormat="1" ht="27.75" customHeight="1">
      <c r="B47" s="1500" t="s">
        <v>816</v>
      </c>
      <c r="C47" s="1501"/>
      <c r="D47" s="35"/>
      <c r="E47" s="1502" t="s">
        <v>817</v>
      </c>
      <c r="F47" s="1503"/>
      <c r="H47" s="1500" t="s">
        <v>820</v>
      </c>
      <c r="I47" s="1501"/>
      <c r="J47" s="35"/>
    </row>
    <row r="48" spans="1:10">
      <c r="B48" s="23"/>
      <c r="C48" s="21"/>
      <c r="D48" s="22"/>
      <c r="E48" s="23"/>
      <c r="F48" s="22"/>
      <c r="H48" s="23"/>
      <c r="I48" s="21"/>
      <c r="J48" s="22"/>
    </row>
    <row r="49" spans="2:10">
      <c r="B49" s="23" t="s">
        <v>222</v>
      </c>
      <c r="C49" s="21">
        <f>SUM('FBPQ NL1'!D10:M16)</f>
        <v>44.299918108546763</v>
      </c>
      <c r="D49" s="22"/>
      <c r="E49" s="23" t="s">
        <v>222</v>
      </c>
      <c r="F49" s="22">
        <f>SUM('NL9 - Legal &amp; Safety'!D33:M33,'NL9 - Legal &amp; Safety'!D42:M42)</f>
        <v>0</v>
      </c>
      <c r="H49" s="23" t="s">
        <v>222</v>
      </c>
      <c r="I49" s="21">
        <f>F49+C49</f>
        <v>44.299918108546763</v>
      </c>
      <c r="J49" s="22">
        <f>I49/SUM($I$49:$I$53)</f>
        <v>0.20359371720733485</v>
      </c>
    </row>
    <row r="50" spans="2:10">
      <c r="B50" s="23" t="s">
        <v>526</v>
      </c>
      <c r="C50" s="21">
        <f>SUM('FBPQ NL1'!D21:M22)</f>
        <v>19.764494832303583</v>
      </c>
      <c r="D50" s="22" t="s">
        <v>821</v>
      </c>
      <c r="E50" s="23" t="s">
        <v>526</v>
      </c>
      <c r="F50" s="22">
        <f>SUM('NL9 - Legal &amp; Safety'!D34:M34,'NL9 - Legal &amp; Safety'!D43:M43)*C55</f>
        <v>0</v>
      </c>
      <c r="H50" s="23" t="s">
        <v>526</v>
      </c>
      <c r="I50" s="21">
        <f>F50+C50</f>
        <v>19.764494832303583</v>
      </c>
      <c r="J50" s="22">
        <f>I50/SUM($I$49:$I$53)</f>
        <v>9.0833733863212543E-2</v>
      </c>
    </row>
    <row r="51" spans="2:10">
      <c r="B51" s="23" t="s">
        <v>223</v>
      </c>
      <c r="C51" s="21">
        <f>SUM('FBPQ NL1'!D17:M20)</f>
        <v>82.568210482912733</v>
      </c>
      <c r="D51" s="22"/>
      <c r="E51" s="23" t="s">
        <v>223</v>
      </c>
      <c r="F51" s="22">
        <f>SUM('NL9 - Legal &amp; Safety'!D34:M34,'NL9 - Legal &amp; Safety'!D43:M43)*(1-C55)</f>
        <v>0</v>
      </c>
      <c r="H51" s="23" t="s">
        <v>223</v>
      </c>
      <c r="I51" s="21">
        <f>F51+C51</f>
        <v>82.568210482912733</v>
      </c>
      <c r="J51" s="22">
        <f>I51/SUM($I$49:$I$53)</f>
        <v>0.37946726795710756</v>
      </c>
    </row>
    <row r="52" spans="2:10">
      <c r="B52" s="23" t="s">
        <v>403</v>
      </c>
      <c r="C52" s="21">
        <f>SUM('FBPQ NL1'!D23:M28)</f>
        <v>38.099577218071225</v>
      </c>
      <c r="D52" s="22"/>
      <c r="E52" s="23" t="s">
        <v>403</v>
      </c>
      <c r="F52" s="22">
        <f>SUM('NL9 - Legal &amp; Safety'!D35:M35,'NL9 - Legal &amp; Safety'!D44:M44)</f>
        <v>0</v>
      </c>
      <c r="H52" s="23" t="s">
        <v>403</v>
      </c>
      <c r="I52" s="21">
        <f>F52+C52</f>
        <v>38.099577218071225</v>
      </c>
      <c r="J52" s="22">
        <f>I52/SUM($I$49:$I$53)</f>
        <v>0.17509816904962827</v>
      </c>
    </row>
    <row r="53" spans="2:10">
      <c r="B53" s="24" t="s">
        <v>482</v>
      </c>
      <c r="C53" s="25">
        <f>SUM('FBPQ NL1'!D29:M34)</f>
        <v>32.857608691195438</v>
      </c>
      <c r="D53" s="26"/>
      <c r="E53" s="24" t="s">
        <v>482</v>
      </c>
      <c r="F53" s="26">
        <f>SUM('NL9 - Legal &amp; Safety'!D36:M36,'NL9 - Legal &amp; Safety'!D45:M45)</f>
        <v>0</v>
      </c>
      <c r="H53" s="24" t="s">
        <v>482</v>
      </c>
      <c r="I53" s="25">
        <f>F53+C53</f>
        <v>32.857608691195438</v>
      </c>
      <c r="J53" s="26">
        <f>I53/SUM($I$49:$I$53)</f>
        <v>0.15100711192271685</v>
      </c>
    </row>
    <row r="55" spans="2:10">
      <c r="B55" s="19" t="s">
        <v>822</v>
      </c>
      <c r="C55" s="20">
        <f>C50/C51</f>
        <v>0.23937172329045198</v>
      </c>
    </row>
    <row r="59" spans="2:10" s="1" customFormat="1">
      <c r="B59" s="1" t="s">
        <v>977</v>
      </c>
    </row>
    <row r="61" spans="2:10">
      <c r="B61" s="2" t="s">
        <v>823</v>
      </c>
    </row>
    <row r="62" spans="2:10">
      <c r="B62" s="2" t="s">
        <v>824</v>
      </c>
    </row>
    <row r="63" spans="2:10">
      <c r="B63" s="2" t="s">
        <v>808</v>
      </c>
    </row>
    <row r="64" spans="2:10">
      <c r="B64" s="3" t="s">
        <v>825</v>
      </c>
    </row>
    <row r="66" spans="2:3">
      <c r="B66" s="2" t="s">
        <v>222</v>
      </c>
      <c r="C66" s="3">
        <f>SUM('FBPQ LR1 - V5 opt3'!D227:M227,'FBPQ LR1 - V5 opt3'!I229:M229)-SUM('FBPQ LR1 - V5 opt3'!D250:M250,'FBPQ LR1 - V5 opt3'!I252:M252)</f>
        <v>0</v>
      </c>
    </row>
    <row r="67" spans="2:3">
      <c r="B67" s="2" t="s">
        <v>223</v>
      </c>
      <c r="C67" s="3">
        <f>(SUM('FBPQ LR1 - V5 opt3'!D231:H231,'FBPQ LR1 - V5 opt3'!I230:M230,'FBPQ LR1 - V5 opt3'!I233:M233)-SUM('FBPQ LR1 - V5 opt3'!D254:H254,'FBPQ LR1 - V5 opt3'!I253:M253,'FBPQ LR1 - V5 opt3'!I256:M256))</f>
        <v>0</v>
      </c>
    </row>
    <row r="68" spans="2:3">
      <c r="B68" s="2" t="s">
        <v>403</v>
      </c>
      <c r="C68" s="3">
        <f>SUM('FBPQ LR1 - V5 opt3'!D235:H235,'FBPQ LR1 - V5 opt3'!I234:M234,'FBPQ LR1 - V5 opt3'!I237:M237)-SUM('FBPQ LR1 - V5 opt3'!D258:H258,'FBPQ LR1 - V5 opt3'!I257:M257,'FBPQ LR1 - V5 opt3'!I260:M260)</f>
        <v>0</v>
      </c>
    </row>
    <row r="69" spans="2:3">
      <c r="B69" s="2" t="s">
        <v>482</v>
      </c>
      <c r="C69" s="3">
        <f>SUM('FBPQ LR1 - V5 opt3'!D239:H239,'FBPQ LR1 - V5 opt3'!I238:M238)-SUM('FBPQ LR1 - V5 opt3'!D262:H262,'FBPQ LR1 - V5 opt3'!I261:M261)</f>
        <v>0</v>
      </c>
    </row>
    <row r="71" spans="2:3">
      <c r="B71" s="2" t="s">
        <v>826</v>
      </c>
    </row>
    <row r="72" spans="2:3">
      <c r="B72" s="2" t="s">
        <v>808</v>
      </c>
    </row>
    <row r="73" spans="2:3">
      <c r="B73" s="3" t="s">
        <v>825</v>
      </c>
    </row>
    <row r="75" spans="2:3">
      <c r="B75" s="2" t="s">
        <v>222</v>
      </c>
      <c r="C75" s="3">
        <f>SUM('FBPQ LR1 - V5 opt3'!D227:M227,'FBPQ LR1 - V5 opt3'!I229:M229)-SUM('FBPQ LR1 - V5 opt3'!D250:M250,'FBPQ LR1 - V5 opt3'!I252:M252)</f>
        <v>0</v>
      </c>
    </row>
    <row r="76" spans="2:3">
      <c r="B76" s="2" t="s">
        <v>526</v>
      </c>
      <c r="C76" s="3">
        <f>(SUM('FBPQ LR1 - V5 opt3'!D231:H231,'FBPQ LR1 - V5 opt3'!I230:M230,'FBPQ LR1 - V5 opt3'!I233:M233)-SUM('FBPQ LR1 - V5 opt3'!D254:H254,'FBPQ LR1 - V5 opt3'!I253:M253,'FBPQ LR1 - V5 opt3'!I256:M256))*(C110)</f>
        <v>0</v>
      </c>
    </row>
    <row r="77" spans="2:3">
      <c r="B77" s="2" t="s">
        <v>223</v>
      </c>
      <c r="C77" s="3">
        <f>(SUM('FBPQ LR1 - V5 opt3'!D231:H231,'FBPQ LR1 - V5 opt3'!I230:M230,'FBPQ LR1 - V5 opt3'!I233:M233)-SUM('FBPQ LR1 - V5 opt3'!D254:H254,'FBPQ LR1 - V5 opt3'!I253:M253,'FBPQ LR1 - V5 opt3'!I256:M256))*(1-C110)</f>
        <v>0</v>
      </c>
    </row>
    <row r="78" spans="2:3">
      <c r="B78" s="2" t="s">
        <v>403</v>
      </c>
      <c r="C78" s="3">
        <f>SUM('FBPQ LR1 - V5 opt3'!D235:H235,'FBPQ LR1 - V5 opt3'!I234:M234,'FBPQ LR1 - V5 opt3'!I237:M237)-SUM('FBPQ LR1 - V5 opt3'!D258:H258,'FBPQ LR1 - V5 opt3'!I257:M257,'FBPQ LR1 - V5 opt3'!I260:M260)</f>
        <v>0</v>
      </c>
    </row>
    <row r="79" spans="2:3">
      <c r="B79" s="2" t="s">
        <v>482</v>
      </c>
      <c r="C79" s="3">
        <f>SUM('FBPQ LR1 - V5 opt3'!D239:H239,'FBPQ LR1 - V5 opt3'!I238:M238)-SUM('FBPQ LR1 - V5 opt3'!D262:H262,'FBPQ LR1 - V5 opt3'!I261:M261)</f>
        <v>0</v>
      </c>
    </row>
    <row r="82" spans="2:3">
      <c r="B82" s="2" t="s">
        <v>827</v>
      </c>
    </row>
    <row r="83" spans="2:3">
      <c r="B83" s="2" t="s">
        <v>824</v>
      </c>
    </row>
    <row r="84" spans="2:3">
      <c r="B84" s="2" t="s">
        <v>808</v>
      </c>
    </row>
    <row r="85" spans="2:3">
      <c r="B85" s="3" t="s">
        <v>825</v>
      </c>
    </row>
    <row r="87" spans="2:3">
      <c r="B87" s="2" t="s">
        <v>222</v>
      </c>
      <c r="C87" s="3">
        <f>SUM('FBPQ LR1'!D82:M82)-SUM('FBPQ LR1'!D110:M110)</f>
        <v>3.0999999999999943</v>
      </c>
    </row>
    <row r="88" spans="2:3">
      <c r="B88" s="2" t="s">
        <v>223</v>
      </c>
      <c r="C88" s="3">
        <f>(SUM('FBPQ LR1'!D86:M86)-SUM('FBPQ LR1'!D114:M114))</f>
        <v>1.1999999999999993</v>
      </c>
    </row>
    <row r="89" spans="2:3">
      <c r="B89" s="2" t="s">
        <v>403</v>
      </c>
      <c r="C89" s="3">
        <f>(SUM('FBPQ LR1'!D90:M90)-SUM('FBPQ LR1'!D118:M118))</f>
        <v>1.5500000000000016</v>
      </c>
    </row>
    <row r="90" spans="2:3">
      <c r="B90" s="2" t="s">
        <v>482</v>
      </c>
      <c r="C90" s="3">
        <f>(SUM('FBPQ LR1'!D94:M94)-SUM('FBPQ LR1'!D122:M122))</f>
        <v>0</v>
      </c>
    </row>
    <row r="92" spans="2:3">
      <c r="B92" s="2" t="s">
        <v>826</v>
      </c>
    </row>
    <row r="93" spans="2:3">
      <c r="B93" s="2" t="s">
        <v>808</v>
      </c>
    </row>
    <row r="94" spans="2:3">
      <c r="B94" s="3" t="s">
        <v>825</v>
      </c>
    </row>
    <row r="96" spans="2:3">
      <c r="B96" s="2" t="s">
        <v>222</v>
      </c>
      <c r="C96" s="3">
        <f>SUM('FBPQ LR1'!D82:M82)-SUM('FBPQ LR1'!D110:M110)</f>
        <v>3.0999999999999943</v>
      </c>
    </row>
    <row r="97" spans="2:3">
      <c r="B97" s="2" t="s">
        <v>526</v>
      </c>
      <c r="C97" s="3">
        <f>(SUM('FBPQ LR1'!D86:M86)-SUM('FBPQ LR1'!D114:M114))*C110</f>
        <v>0.28724606794854218</v>
      </c>
    </row>
    <row r="98" spans="2:3">
      <c r="B98" s="2" t="s">
        <v>223</v>
      </c>
      <c r="C98" s="3">
        <f>(SUM('FBPQ LR1'!D86:M86)-SUM('FBPQ LR1'!D114:M114))*(1-C110)</f>
        <v>0.91275393205145705</v>
      </c>
    </row>
    <row r="99" spans="2:3">
      <c r="B99" s="2" t="s">
        <v>403</v>
      </c>
      <c r="C99" s="3">
        <f>(SUM('FBPQ LR1'!D90:M90)-SUM('FBPQ LR1'!D118:M118))</f>
        <v>1.5500000000000016</v>
      </c>
    </row>
    <row r="100" spans="2:3">
      <c r="B100" s="2" t="s">
        <v>482</v>
      </c>
      <c r="C100" s="3">
        <f>(SUM('FBPQ LR1'!D94:M94)-SUM('FBPQ LR1'!D122:M122))</f>
        <v>0</v>
      </c>
    </row>
    <row r="110" spans="2:3">
      <c r="C110" s="2">
        <f>C50/C51</f>
        <v>0.23937172329045198</v>
      </c>
    </row>
  </sheetData>
  <sheetProtection sheet="1" objects="1" scenarios="1"/>
  <mergeCells count="27">
    <mergeCell ref="F3:H3"/>
    <mergeCell ref="J3:L3"/>
    <mergeCell ref="N3:P3"/>
    <mergeCell ref="J4:L4"/>
    <mergeCell ref="N4:P4"/>
    <mergeCell ref="B16:C16"/>
    <mergeCell ref="E16:F16"/>
    <mergeCell ref="H16:I16"/>
    <mergeCell ref="B17:C17"/>
    <mergeCell ref="E17:F17"/>
    <mergeCell ref="H17:I17"/>
    <mergeCell ref="B25:C25"/>
    <mergeCell ref="E25:F25"/>
    <mergeCell ref="B26:C26"/>
    <mergeCell ref="E26:F26"/>
    <mergeCell ref="B36:C36"/>
    <mergeCell ref="E36:F36"/>
    <mergeCell ref="H47:I47"/>
    <mergeCell ref="B47:C47"/>
    <mergeCell ref="E47:F47"/>
    <mergeCell ref="H36:I36"/>
    <mergeCell ref="B37:C37"/>
    <mergeCell ref="E37:F37"/>
    <mergeCell ref="H37:I37"/>
    <mergeCell ref="B46:C46"/>
    <mergeCell ref="E46:F46"/>
    <mergeCell ref="H46:I46"/>
  </mergeCells>
  <phoneticPr fontId="1" type="noConversion"/>
  <pageMargins left="0.75" right="0.75" top="1" bottom="1" header="0.5" footer="0.5"/>
  <pageSetup paperSize="9" scale="4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FFFFC4"/>
    <pageSetUpPr fitToPage="1"/>
  </sheetPr>
  <dimension ref="A1:BA50"/>
  <sheetViews>
    <sheetView showGridLines="0" workbookViewId="0">
      <selection sqref="A1:XFD1048576"/>
    </sheetView>
  </sheetViews>
  <sheetFormatPr defaultColWidth="14.140625" defaultRowHeight="15"/>
  <cols>
    <col min="1" max="2" width="14.140625" style="2"/>
    <col min="3" max="3" width="54.140625" style="2" bestFit="1" customWidth="1"/>
    <col min="4" max="16384" width="14.140625" style="2"/>
  </cols>
  <sheetData>
    <row r="1" spans="1:53" ht="19.5">
      <c r="A1" s="4" t="str">
        <f>"Calc-Opex for Method M ("&amp;'Calc-Net capex'!B5&amp;") for "&amp;Inputs!B6&amp;" in "&amp;Inputs!C6&amp;"  Status: "&amp;Inputs!D6&amp;""</f>
        <v>Calc-Opex for Method M (LR1) for South Wales in April 2017  Status: Finals</v>
      </c>
    </row>
    <row r="3" spans="1:53" ht="58.5" customHeight="1">
      <c r="D3" s="2" t="s">
        <v>828</v>
      </c>
      <c r="K3" s="2" t="s">
        <v>829</v>
      </c>
      <c r="S3" s="2" t="s">
        <v>830</v>
      </c>
      <c r="Z3" s="2" t="s">
        <v>831</v>
      </c>
      <c r="AG3" s="2" t="s">
        <v>832</v>
      </c>
      <c r="AL3" s="2" t="s">
        <v>833</v>
      </c>
    </row>
    <row r="4" spans="1:53" ht="28.5" customHeight="1">
      <c r="E4" s="2" t="s">
        <v>834</v>
      </c>
      <c r="K4" s="2" t="s">
        <v>835</v>
      </c>
      <c r="S4" s="2" t="s">
        <v>836</v>
      </c>
      <c r="Z4" s="2" t="s">
        <v>837</v>
      </c>
      <c r="AG4" s="2" t="s">
        <v>838</v>
      </c>
      <c r="AL4" s="2" t="s">
        <v>839</v>
      </c>
      <c r="AQ4" s="2" t="s">
        <v>840</v>
      </c>
      <c r="AX4" s="2" t="s">
        <v>841</v>
      </c>
    </row>
    <row r="5" spans="1:53" ht="67.5" customHeight="1">
      <c r="D5" s="2" t="s">
        <v>842</v>
      </c>
      <c r="E5" s="2" t="s">
        <v>843</v>
      </c>
      <c r="I5" s="2" t="s">
        <v>844</v>
      </c>
      <c r="K5" s="2" t="s">
        <v>845</v>
      </c>
      <c r="L5" s="2" t="s">
        <v>846</v>
      </c>
      <c r="AL5" s="2" t="s">
        <v>847</v>
      </c>
      <c r="AM5" s="2" t="s">
        <v>848</v>
      </c>
      <c r="AN5" s="2" t="s">
        <v>849</v>
      </c>
      <c r="AQ5" s="2" t="s">
        <v>403</v>
      </c>
      <c r="AR5" s="2" t="s">
        <v>223</v>
      </c>
      <c r="AS5" s="2" t="s">
        <v>38</v>
      </c>
      <c r="AT5" s="2" t="s">
        <v>442</v>
      </c>
      <c r="AU5" s="2" t="s">
        <v>850</v>
      </c>
      <c r="AX5" s="2" t="s">
        <v>403</v>
      </c>
      <c r="AY5" s="2" t="s">
        <v>223</v>
      </c>
      <c r="AZ5" s="2" t="s">
        <v>38</v>
      </c>
      <c r="BA5" s="2" t="s">
        <v>222</v>
      </c>
    </row>
    <row r="6" spans="1:53">
      <c r="E6" s="2" t="s">
        <v>403</v>
      </c>
      <c r="F6" s="2" t="s">
        <v>223</v>
      </c>
      <c r="G6" s="2" t="s">
        <v>38</v>
      </c>
      <c r="H6" s="2" t="s">
        <v>222</v>
      </c>
      <c r="L6" s="2" t="s">
        <v>403</v>
      </c>
      <c r="M6" s="2" t="s">
        <v>223</v>
      </c>
      <c r="N6" s="2" t="s">
        <v>38</v>
      </c>
      <c r="O6" s="2" t="s">
        <v>442</v>
      </c>
      <c r="P6" s="2" t="s">
        <v>850</v>
      </c>
      <c r="S6" s="2" t="s">
        <v>403</v>
      </c>
      <c r="T6" s="2" t="s">
        <v>223</v>
      </c>
      <c r="U6" s="2" t="s">
        <v>38</v>
      </c>
      <c r="V6" s="2" t="s">
        <v>442</v>
      </c>
      <c r="W6" s="2" t="s">
        <v>850</v>
      </c>
      <c r="Z6" s="2" t="s">
        <v>403</v>
      </c>
      <c r="AA6" s="2" t="s">
        <v>223</v>
      </c>
      <c r="AB6" s="2" t="s">
        <v>38</v>
      </c>
      <c r="AC6" s="2" t="s">
        <v>442</v>
      </c>
      <c r="AD6" s="2" t="s">
        <v>850</v>
      </c>
      <c r="AG6" s="2" t="s">
        <v>403</v>
      </c>
      <c r="AH6" s="2" t="s">
        <v>223</v>
      </c>
      <c r="AI6" s="2" t="s">
        <v>38</v>
      </c>
      <c r="AJ6" s="2" t="s">
        <v>442</v>
      </c>
    </row>
    <row r="7" spans="1:53" ht="12.75" customHeight="1">
      <c r="A7" s="2" t="s">
        <v>529</v>
      </c>
      <c r="B7" s="2" t="s">
        <v>851</v>
      </c>
      <c r="C7" s="2" t="s">
        <v>546</v>
      </c>
      <c r="D7" s="2">
        <f>'RRP 1.3'!D$12</f>
        <v>-0.50000000000000178</v>
      </c>
      <c r="E7" s="2">
        <f>MAX(0,'Calc-Net capex'!C21+'Calc-Net capex'!C22)/10+'RRP 2.4'!L18+'RRP 2.4'!L19</f>
        <v>2.6550000000000002</v>
      </c>
      <c r="F7" s="2">
        <f>MAX(0,'Calc-Net capex'!C20)/10+'RRP 2.4'!L17</f>
        <v>1.02</v>
      </c>
      <c r="H7" s="2">
        <f>MAX(0,'Calc-Net capex'!C19)/10+'RRP 2.4'!L16</f>
        <v>0.60999999999999943</v>
      </c>
      <c r="I7" s="2">
        <v>0</v>
      </c>
      <c r="K7" s="2" t="s">
        <v>852</v>
      </c>
      <c r="L7" s="2">
        <f>IF(ISERROR(VLOOKUP($K7,'Calc-Drivers'!$B$17:$G$27,L$43,FALSE))," ",VLOOKUP($K7,'Calc-Drivers'!$B$17:$G$27,L$43,FALSE))</f>
        <v>0.22063382481052818</v>
      </c>
      <c r="M7" s="2">
        <f>IF(ISERROR(VLOOKUP($K7,'Calc-Drivers'!$B$17:$G$27,M$43,FALSE))," ",VLOOKUP($K7,'Calc-Drivers'!$B$17:$G$27,M$43,FALSE))</f>
        <v>0.27826178252589195</v>
      </c>
      <c r="N7" s="2">
        <f>IF(ISERROR(VLOOKUP($K7,'Calc-Drivers'!$B$17:$G$27,N$43,FALSE))," ",VLOOKUP($K7,'Calc-Drivers'!$B$17:$G$27,N$43,FALSE))</f>
        <v>6.8102560342398366E-2</v>
      </c>
      <c r="O7" s="2">
        <f>IF(ISERROR(VLOOKUP($K7,'Calc-Drivers'!$B$17:$G$27,O$43,FALSE))," ",VLOOKUP($K7,'Calc-Drivers'!$B$17:$G$27,O$43,FALSE))</f>
        <v>0.27232459819696431</v>
      </c>
      <c r="P7" s="2">
        <f>IF(ISERROR(VLOOKUP($K7,'Calc-Drivers'!$B$17:$G$27,P$43,FALSE))," ",VLOOKUP($K7,'Calc-Drivers'!$B$17:$G$27,P$43,FALSE))</f>
        <v>0.16067723412421731</v>
      </c>
      <c r="S7" s="2">
        <f t="shared" ref="S7:W39" si="0">IF(ISERROR($I7*L7)," ",$I7*L7)</f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Z7" s="2">
        <f t="shared" ref="Z7:AB39" si="1">IF($K7="Do not allocate"," ",S7+E7)</f>
        <v>2.6550000000000002</v>
      </c>
      <c r="AA7" s="2">
        <f t="shared" si="1"/>
        <v>1.02</v>
      </c>
      <c r="AB7" s="2">
        <f t="shared" si="1"/>
        <v>0</v>
      </c>
      <c r="AC7" s="2">
        <f t="shared" ref="AC7:AD39" si="2">IF($K7="Do not allocate"," ",($H7*O7/($O7+$P7)+V7))</f>
        <v>0.38364272966154356</v>
      </c>
      <c r="AD7" s="2">
        <f t="shared" si="2"/>
        <v>0.2263572703384559</v>
      </c>
      <c r="AG7" s="2">
        <f>IF(ISERROR(Z7*100000000/'Calc-Units'!$E$23)," ",Z7*100000000/'Calc-Units'!$E$23)</f>
        <v>2.138255686089922E-2</v>
      </c>
      <c r="AH7" s="2">
        <f>IF(ISERROR(AA7*100000000/'Calc-Units'!$D$23)," ",AA7*100000000/'Calc-Units'!$D$23)</f>
        <v>1.061016943167342E-2</v>
      </c>
      <c r="AI7" s="2">
        <f>IF(ISERROR(AB7*100000000/'Calc-Units'!$C$23)," ",AB7*100000000/'Calc-Units'!$C$23)</f>
        <v>0</v>
      </c>
      <c r="AJ7" s="2">
        <f>IF(ISERROR(AC7*100000000/'Calc-Units'!$C$23)," ",AC7*100000000/'Calc-Units'!$C$23)</f>
        <v>5.3164062340966736E-3</v>
      </c>
      <c r="AL7" s="2">
        <v>1</v>
      </c>
      <c r="AM7" s="2">
        <f t="shared" ref="AM7:AM39" si="3">AL7*D7</f>
        <v>-0.50000000000000178</v>
      </c>
      <c r="AN7" s="2">
        <f t="shared" ref="AN7:AN39" si="4">D7*(1-AL7)</f>
        <v>0</v>
      </c>
      <c r="AQ7" s="2">
        <f>IF(ISERROR(Z7*(1-$AL7))," ",Z7*(1-$AL7))</f>
        <v>0</v>
      </c>
      <c r="AR7" s="2">
        <f>IF(ISERROR(AA7*(1-$AL7))," ",AA7*(1-$AL7))</f>
        <v>0</v>
      </c>
      <c r="AS7" s="2">
        <f>IF(ISERROR(AB7*(1-$AL7))," ",AB7*(1-$AL7))</f>
        <v>0</v>
      </c>
      <c r="AT7" s="2">
        <f>IF(ISERROR(AC7*(1-$AL7))," ",AC7*(1-$AL7))</f>
        <v>0</v>
      </c>
      <c r="AU7" s="2">
        <f>IF(ISERROR(AD7*(1-$AL7))," ",AD7*(1-$AL7))</f>
        <v>0</v>
      </c>
      <c r="AX7" s="2">
        <f>IF(ISERROR(AQ7*100000000/'Calc-Units'!$E$23)," ",AQ7*100000000/'Calc-Units'!$E$23)</f>
        <v>0</v>
      </c>
      <c r="AY7" s="2">
        <f>IF(ISERROR(AR7*100000000/'Calc-Units'!$D$23)," ",AR7*100000000/'Calc-Units'!$D$23)</f>
        <v>0</v>
      </c>
      <c r="AZ7" s="2">
        <f>IF(ISERROR(AS7*100000000/'Calc-Units'!$C$23)," ",AS7*100000000/'Calc-Units'!$C$23)</f>
        <v>0</v>
      </c>
      <c r="BA7" s="2">
        <f>IF(ISERROR(AT7*100000000/'Calc-Units'!$C$23)," ",AT7*100000000/'Calc-Units'!$C$23)</f>
        <v>0</v>
      </c>
    </row>
    <row r="8" spans="1:53" ht="12.75" customHeight="1">
      <c r="C8" s="2" t="s">
        <v>547</v>
      </c>
      <c r="D8" s="2">
        <f>'RRP 1.3'!E$12</f>
        <v>32.299999999999997</v>
      </c>
      <c r="E8" s="2">
        <f>SUM('RRP 2.4'!G44:G55)+'RRP 2.4'!G71+'RRP 2.4'!H71</f>
        <v>8.5</v>
      </c>
      <c r="F8" s="2">
        <f>SUM('RRP 2.4'!G38:G40)+'RRP 2.4'!F71</f>
        <v>14.299999999999999</v>
      </c>
      <c r="G8" s="2">
        <f>'RRP 2.4'!G41+'RRP 2.4'!G42+'RRP 2.4'!G43</f>
        <v>4.2</v>
      </c>
      <c r="H8" s="2">
        <f>SUM('RRP 2.4'!G31:G37)+'RRP 2.4'!E71</f>
        <v>5.1999999999999993</v>
      </c>
      <c r="I8" s="2">
        <f t="shared" ref="I8:I40" si="5">D8-E8-F8-G8-H8</f>
        <v>9.9999999999998757E-2</v>
      </c>
      <c r="K8" s="2" t="s">
        <v>852</v>
      </c>
      <c r="L8" s="2">
        <f>IF(ISERROR(VLOOKUP($K8,'Calc-Drivers'!$B$17:$G$27,L$43,FALSE))," ",VLOOKUP($K8,'Calc-Drivers'!$B$17:$G$27,L$43,FALSE))</f>
        <v>0.22063382481052818</v>
      </c>
      <c r="M8" s="2">
        <f>IF(ISERROR(VLOOKUP($K8,'Calc-Drivers'!$B$17:$G$27,M$43,FALSE))," ",VLOOKUP($K8,'Calc-Drivers'!$B$17:$G$27,M$43,FALSE))</f>
        <v>0.27826178252589195</v>
      </c>
      <c r="N8" s="2">
        <f>IF(ISERROR(VLOOKUP($K8,'Calc-Drivers'!$B$17:$G$27,N$43,FALSE))," ",VLOOKUP($K8,'Calc-Drivers'!$B$17:$G$27,N$43,FALSE))</f>
        <v>6.8102560342398366E-2</v>
      </c>
      <c r="O8" s="2">
        <f>IF(ISERROR(VLOOKUP($K8,'Calc-Drivers'!$B$17:$G$27,O$43,FALSE))," ",VLOOKUP($K8,'Calc-Drivers'!$B$17:$G$27,O$43,FALSE))</f>
        <v>0.27232459819696431</v>
      </c>
      <c r="P8" s="2">
        <f>IF(ISERROR(VLOOKUP($K8,'Calc-Drivers'!$B$17:$G$27,P$43,FALSE))," ",VLOOKUP($K8,'Calc-Drivers'!$B$17:$G$27,P$43,FALSE))</f>
        <v>0.16067723412421731</v>
      </c>
      <c r="S8" s="2">
        <f t="shared" si="0"/>
        <v>2.2063382481052544E-2</v>
      </c>
      <c r="T8" s="2">
        <f t="shared" si="0"/>
        <v>2.7826178252588849E-2</v>
      </c>
      <c r="U8" s="2">
        <f t="shared" si="0"/>
        <v>6.8102560342397523E-3</v>
      </c>
      <c r="V8" s="2">
        <f t="shared" si="0"/>
        <v>2.7232459819696093E-2</v>
      </c>
      <c r="W8" s="2">
        <f t="shared" si="0"/>
        <v>1.606772341242153E-2</v>
      </c>
      <c r="Z8" s="2">
        <f t="shared" si="1"/>
        <v>8.5220633824810523</v>
      </c>
      <c r="AA8" s="2">
        <f t="shared" si="1"/>
        <v>14.327826178252588</v>
      </c>
      <c r="AB8" s="2">
        <f t="shared" si="1"/>
        <v>4.20681025603424</v>
      </c>
      <c r="AC8" s="2">
        <f t="shared" si="2"/>
        <v>3.2976294995574467</v>
      </c>
      <c r="AD8" s="2">
        <f t="shared" si="2"/>
        <v>1.9456706836746702</v>
      </c>
      <c r="AG8" s="2">
        <f>IF(ISERROR(Z8*100000000/'Calc-Units'!$E$23)," ",Z8*100000000/'Calc-Units'!$E$23)</f>
        <v>6.863408845502382E-2</v>
      </c>
      <c r="AH8" s="2">
        <f>IF(ISERROR(AA8*100000000/'Calc-Units'!$D$23)," ",AA8*100000000/'Calc-Units'!$D$23)</f>
        <v>0.14903986601845667</v>
      </c>
      <c r="AI8" s="2">
        <f>IF(ISERROR(AB8*100000000/'Calc-Units'!$C$23)," ",AB8*100000000/'Calc-Units'!$C$23)</f>
        <v>5.8296718643862107E-2</v>
      </c>
      <c r="AJ8" s="2">
        <f>IF(ISERROR(AC8*100000000/'Calc-Units'!$C$23)," ",AC8*100000000/'Calc-Units'!$C$23)</f>
        <v>4.5697563576025377E-2</v>
      </c>
      <c r="AL8" s="2">
        <v>1</v>
      </c>
      <c r="AM8" s="2">
        <f t="shared" si="3"/>
        <v>32.299999999999997</v>
      </c>
      <c r="AN8" s="2">
        <f t="shared" si="4"/>
        <v>0</v>
      </c>
      <c r="AQ8" s="2">
        <f t="shared" ref="AQ8:AU39" si="6">IF(ISERROR(Z8*(1-$AL8))," ",Z8*(1-$AL8))</f>
        <v>0</v>
      </c>
      <c r="AR8" s="2">
        <f t="shared" si="6"/>
        <v>0</v>
      </c>
      <c r="AS8" s="2">
        <f t="shared" si="6"/>
        <v>0</v>
      </c>
      <c r="AT8" s="2">
        <f t="shared" si="6"/>
        <v>0</v>
      </c>
      <c r="AU8" s="2">
        <f t="shared" si="6"/>
        <v>0</v>
      </c>
      <c r="AX8" s="2">
        <f>IF(ISERROR(AQ8*100000000/'Calc-Units'!$E$23)," ",AQ8*100000000/'Calc-Units'!$E$23)</f>
        <v>0</v>
      </c>
      <c r="AY8" s="2">
        <f>IF(ISERROR(AR8*100000000/'Calc-Units'!$D$23)," ",AR8*100000000/'Calc-Units'!$D$23)</f>
        <v>0</v>
      </c>
      <c r="AZ8" s="2">
        <f>IF(ISERROR(AS8*100000000/'Calc-Units'!$C$23)," ",AS8*100000000/'Calc-Units'!$C$23)</f>
        <v>0</v>
      </c>
      <c r="BA8" s="2">
        <f>IF(ISERROR(AT8*100000000/'Calc-Units'!$C$23)," ",AT8*100000000/'Calc-Units'!$C$23)</f>
        <v>0</v>
      </c>
    </row>
    <row r="9" spans="1:53">
      <c r="C9" s="2" t="s">
        <v>548</v>
      </c>
      <c r="D9" s="2">
        <f>'RRP 1.3'!F$12</f>
        <v>3</v>
      </c>
      <c r="E9" s="2">
        <v>0</v>
      </c>
      <c r="F9" s="2">
        <v>0</v>
      </c>
      <c r="G9" s="2">
        <v>0</v>
      </c>
      <c r="H9" s="2">
        <v>0</v>
      </c>
      <c r="I9" s="2">
        <f t="shared" si="5"/>
        <v>3</v>
      </c>
      <c r="K9" s="2" t="s">
        <v>852</v>
      </c>
      <c r="L9" s="2">
        <f>IF(ISERROR(VLOOKUP($K9,'Calc-Drivers'!$B$17:$G$27,L$43,FALSE))," ",VLOOKUP($K9,'Calc-Drivers'!$B$17:$G$27,L$43,FALSE))</f>
        <v>0.22063382481052818</v>
      </c>
      <c r="M9" s="2">
        <f>IF(ISERROR(VLOOKUP($K9,'Calc-Drivers'!$B$17:$G$27,M$43,FALSE))," ",VLOOKUP($K9,'Calc-Drivers'!$B$17:$G$27,M$43,FALSE))</f>
        <v>0.27826178252589195</v>
      </c>
      <c r="N9" s="2">
        <f>IF(ISERROR(VLOOKUP($K9,'Calc-Drivers'!$B$17:$G$27,N$43,FALSE))," ",VLOOKUP($K9,'Calc-Drivers'!$B$17:$G$27,N$43,FALSE))</f>
        <v>6.8102560342398366E-2</v>
      </c>
      <c r="O9" s="2">
        <f>IF(ISERROR(VLOOKUP($K9,'Calc-Drivers'!$B$17:$G$27,O$43,FALSE))," ",VLOOKUP($K9,'Calc-Drivers'!$B$17:$G$27,O$43,FALSE))</f>
        <v>0.27232459819696431</v>
      </c>
      <c r="P9" s="2">
        <f>IF(ISERROR(VLOOKUP($K9,'Calc-Drivers'!$B$17:$G$27,P$43,FALSE))," ",VLOOKUP($K9,'Calc-Drivers'!$B$17:$G$27,P$43,FALSE))</f>
        <v>0.16067723412421731</v>
      </c>
      <c r="S9" s="2">
        <f t="shared" si="0"/>
        <v>0.66190147443158454</v>
      </c>
      <c r="T9" s="2">
        <f t="shared" si="0"/>
        <v>0.83478534757767586</v>
      </c>
      <c r="U9" s="2">
        <f t="shared" si="0"/>
        <v>0.2043076810271951</v>
      </c>
      <c r="V9" s="2">
        <f t="shared" si="0"/>
        <v>0.81697379459089292</v>
      </c>
      <c r="W9" s="2">
        <f t="shared" si="0"/>
        <v>0.48203170237265192</v>
      </c>
      <c r="Z9" s="2">
        <f t="shared" si="1"/>
        <v>0.66190147443158454</v>
      </c>
      <c r="AA9" s="2">
        <f t="shared" si="1"/>
        <v>0.83478534757767586</v>
      </c>
      <c r="AB9" s="2">
        <f t="shared" si="1"/>
        <v>0.2043076810271951</v>
      </c>
      <c r="AC9" s="2">
        <f t="shared" si="2"/>
        <v>0.81697379459089292</v>
      </c>
      <c r="AD9" s="2">
        <f t="shared" si="2"/>
        <v>0.48203170237265192</v>
      </c>
      <c r="AG9" s="2">
        <f>IF(ISERROR(Z9*100000000/'Calc-Units'!$E$23)," ",Z9*100000000/'Calc-Units'!$E$23)</f>
        <v>5.3307517564393173E-3</v>
      </c>
      <c r="AH9" s="2">
        <f>IF(ISERROR(AA9*100000000/'Calc-Units'!$D$23)," ",AA9*100000000/'Calc-Units'!$D$23)</f>
        <v>8.6835431145858115E-3</v>
      </c>
      <c r="AI9" s="2">
        <f>IF(ISERROR(AB9*100000000/'Calc-Units'!$C$23)," ",AB9*100000000/'Calc-Units'!$C$23)</f>
        <v>2.8312347533473764E-3</v>
      </c>
      <c r="AJ9" s="2">
        <f>IF(ISERROR(AC9*100000000/'Calc-Units'!$C$23)," ",AC9*100000000/'Calc-Units'!$C$23)</f>
        <v>1.132137856095548E-2</v>
      </c>
      <c r="AL9" s="2">
        <v>0.23499999999999999</v>
      </c>
      <c r="AM9" s="2">
        <f t="shared" si="3"/>
        <v>0.70499999999999996</v>
      </c>
      <c r="AN9" s="2">
        <f t="shared" si="4"/>
        <v>2.2949999999999999</v>
      </c>
      <c r="AQ9" s="2">
        <f t="shared" si="6"/>
        <v>0.50635462794016217</v>
      </c>
      <c r="AR9" s="2">
        <f t="shared" si="6"/>
        <v>0.63861079089692208</v>
      </c>
      <c r="AS9" s="2">
        <f t="shared" si="6"/>
        <v>0.15629537598580426</v>
      </c>
      <c r="AT9" s="2">
        <f t="shared" si="6"/>
        <v>0.62498495286203315</v>
      </c>
      <c r="AU9" s="2">
        <f t="shared" si="6"/>
        <v>0.36875425231507875</v>
      </c>
      <c r="AX9" s="2">
        <f>IF(ISERROR(AQ9*100000000/'Calc-Units'!$E$23)," ",AQ9*100000000/'Calc-Units'!$E$23)</f>
        <v>4.0780250936760781E-3</v>
      </c>
      <c r="AY9" s="2">
        <f>IF(ISERROR(AR9*100000000/'Calc-Units'!$D$23)," ",AR9*100000000/'Calc-Units'!$D$23)</f>
        <v>6.6429104826581454E-3</v>
      </c>
      <c r="AZ9" s="2">
        <f>IF(ISERROR(AS9*100000000/'Calc-Units'!$C$23)," ",AS9*100000000/'Calc-Units'!$C$23)</f>
        <v>2.1658945863107433E-3</v>
      </c>
      <c r="BA9" s="2">
        <f>IF(ISERROR(AT9*100000000/'Calc-Units'!$C$23)," ",AT9*100000000/'Calc-Units'!$C$23)</f>
        <v>8.6608545991309436E-3</v>
      </c>
    </row>
    <row r="10" spans="1:53">
      <c r="C10" s="2" t="s">
        <v>549</v>
      </c>
      <c r="D10" s="2">
        <f>'RRP 1.3'!G$12</f>
        <v>8.3000000000000007</v>
      </c>
      <c r="E10" s="2">
        <f>SUM('RRP 2.3'!I20:I27)</f>
        <v>0.60000000000000009</v>
      </c>
      <c r="F10" s="2">
        <f>SUM('RRP 2.3'!I17:I18)</f>
        <v>2.2999999999999998</v>
      </c>
      <c r="G10" s="2">
        <f>SUM('RRP 2.3'!I19)</f>
        <v>0.2</v>
      </c>
      <c r="H10" s="2">
        <f>SUM('RRP 2.3'!I11:I16)</f>
        <v>4.8999999999999995</v>
      </c>
      <c r="I10" s="2">
        <f t="shared" si="5"/>
        <v>0.3000000000000016</v>
      </c>
      <c r="K10" s="2" t="s">
        <v>852</v>
      </c>
      <c r="L10" s="2">
        <f>IF(ISERROR(VLOOKUP($K10,'Calc-Drivers'!$B$17:$G$27,L$43,FALSE))," ",VLOOKUP($K10,'Calc-Drivers'!$B$17:$G$27,L$43,FALSE))</f>
        <v>0.22063382481052818</v>
      </c>
      <c r="M10" s="2">
        <f>IF(ISERROR(VLOOKUP($K10,'Calc-Drivers'!$B$17:$G$27,M$43,FALSE))," ",VLOOKUP($K10,'Calc-Drivers'!$B$17:$G$27,M$43,FALSE))</f>
        <v>0.27826178252589195</v>
      </c>
      <c r="N10" s="2">
        <f>IF(ISERROR(VLOOKUP($K10,'Calc-Drivers'!$B$17:$G$27,N$43,FALSE))," ",VLOOKUP($K10,'Calc-Drivers'!$B$17:$G$27,N$43,FALSE))</f>
        <v>6.8102560342398366E-2</v>
      </c>
      <c r="O10" s="2">
        <f>IF(ISERROR(VLOOKUP($K10,'Calc-Drivers'!$B$17:$G$27,O$43,FALSE))," ",VLOOKUP($K10,'Calc-Drivers'!$B$17:$G$27,O$43,FALSE))</f>
        <v>0.27232459819696431</v>
      </c>
      <c r="P10" s="2">
        <f>IF(ISERROR(VLOOKUP($K10,'Calc-Drivers'!$B$17:$G$27,P$43,FALSE))," ",VLOOKUP($K10,'Calc-Drivers'!$B$17:$G$27,P$43,FALSE))</f>
        <v>0.16067723412421731</v>
      </c>
      <c r="S10" s="2">
        <f t="shared" si="0"/>
        <v>6.6190147443158806E-2</v>
      </c>
      <c r="T10" s="2">
        <f t="shared" si="0"/>
        <v>8.3478534757768036E-2</v>
      </c>
      <c r="U10" s="2">
        <f t="shared" si="0"/>
        <v>2.0430768102719619E-2</v>
      </c>
      <c r="V10" s="2">
        <f t="shared" si="0"/>
        <v>8.1697379459089725E-2</v>
      </c>
      <c r="W10" s="2">
        <f t="shared" si="0"/>
        <v>4.8203170237265447E-2</v>
      </c>
      <c r="Z10" s="2">
        <f t="shared" si="1"/>
        <v>0.66619014744315885</v>
      </c>
      <c r="AA10" s="2">
        <f t="shared" si="1"/>
        <v>2.3834785347577681</v>
      </c>
      <c r="AB10" s="2">
        <f t="shared" si="1"/>
        <v>0.22043076810271964</v>
      </c>
      <c r="AC10" s="2">
        <f t="shared" si="2"/>
        <v>3.1634176669042779</v>
      </c>
      <c r="AD10" s="2">
        <f t="shared" si="2"/>
        <v>1.8664828827920767</v>
      </c>
      <c r="AG10" s="2">
        <f>IF(ISERROR(Z10*100000000/'Calc-Units'!$E$23)," ",Z10*100000000/'Calc-Units'!$E$23)</f>
        <v>5.3652914153951708E-3</v>
      </c>
      <c r="AH10" s="2">
        <f>IF(ISERROR(AA10*100000000/'Calc-Units'!$D$23)," ",AA10*100000000/'Calc-Units'!$D$23)</f>
        <v>2.4793246167192765E-2</v>
      </c>
      <c r="AI10" s="2">
        <f>IF(ISERROR(AB10*100000000/'Calc-Units'!$C$23)," ",AB10*100000000/'Calc-Units'!$C$23)</f>
        <v>3.0546636730530183E-3</v>
      </c>
      <c r="AJ10" s="2">
        <f>IF(ISERROR(AC10*100000000/'Calc-Units'!$C$23)," ",AC10*100000000/'Calc-Units'!$C$23)</f>
        <v>4.3837696129986892E-2</v>
      </c>
      <c r="AL10" s="2">
        <v>0.23499999999999999</v>
      </c>
      <c r="AM10" s="2">
        <f t="shared" si="3"/>
        <v>1.9505000000000001</v>
      </c>
      <c r="AN10" s="2">
        <f t="shared" si="4"/>
        <v>6.3495000000000008</v>
      </c>
      <c r="AQ10" s="2">
        <f t="shared" si="6"/>
        <v>0.5096354627940165</v>
      </c>
      <c r="AR10" s="2">
        <f t="shared" si="6"/>
        <v>1.8233610790896926</v>
      </c>
      <c r="AS10" s="2">
        <f t="shared" si="6"/>
        <v>0.16862953759858051</v>
      </c>
      <c r="AT10" s="2">
        <f t="shared" si="6"/>
        <v>2.4200145151817725</v>
      </c>
      <c r="AU10" s="2">
        <f t="shared" si="6"/>
        <v>1.4278594053359388</v>
      </c>
      <c r="AX10" s="2">
        <f>IF(ISERROR(AQ10*100000000/'Calc-Units'!$E$23)," ",AQ10*100000000/'Calc-Units'!$E$23)</f>
        <v>4.1044479327773057E-3</v>
      </c>
      <c r="AY10" s="2">
        <f>IF(ISERROR(AR10*100000000/'Calc-Units'!$D$23)," ",AR10*100000000/'Calc-Units'!$D$23)</f>
        <v>1.8966833317902467E-2</v>
      </c>
      <c r="AZ10" s="2">
        <f>IF(ISERROR(AS10*100000000/'Calc-Units'!$C$23)," ",AS10*100000000/'Calc-Units'!$C$23)</f>
        <v>2.3368177098855589E-3</v>
      </c>
      <c r="BA10" s="2">
        <f>IF(ISERROR(AT10*100000000/'Calc-Units'!$C$23)," ",AT10*100000000/'Calc-Units'!$C$23)</f>
        <v>3.3535837539439971E-2</v>
      </c>
    </row>
    <row r="11" spans="1:53">
      <c r="C11" s="2" t="s">
        <v>550</v>
      </c>
      <c r="D11" s="2">
        <f>'RRP 1.3'!H$12</f>
        <v>5.5</v>
      </c>
      <c r="E11" s="2">
        <f>SUM('RRP 2.3'!G20:G27)</f>
        <v>2.3000000000000003</v>
      </c>
      <c r="F11" s="2">
        <f>SUM('RRP 2.3'!G17:G18)</f>
        <v>0.6</v>
      </c>
      <c r="G11" s="2">
        <f>SUM('RRP 2.3'!G19)</f>
        <v>1.6</v>
      </c>
      <c r="H11" s="2">
        <f>SUM('RRP 2.3'!G11:G16)</f>
        <v>0.70000000000000007</v>
      </c>
      <c r="I11" s="2">
        <f t="shared" si="5"/>
        <v>0.29999999999999949</v>
      </c>
      <c r="K11" s="2" t="s">
        <v>852</v>
      </c>
      <c r="L11" s="2">
        <f>IF(ISERROR(VLOOKUP($K11,'Calc-Drivers'!$B$17:$G$27,L$43,FALSE))," ",VLOOKUP($K11,'Calc-Drivers'!$B$17:$G$27,L$43,FALSE))</f>
        <v>0.22063382481052818</v>
      </c>
      <c r="M11" s="2">
        <f>IF(ISERROR(VLOOKUP($K11,'Calc-Drivers'!$B$17:$G$27,M$43,FALSE))," ",VLOOKUP($K11,'Calc-Drivers'!$B$17:$G$27,M$43,FALSE))</f>
        <v>0.27826178252589195</v>
      </c>
      <c r="N11" s="2">
        <f>IF(ISERROR(VLOOKUP($K11,'Calc-Drivers'!$B$17:$G$27,N$43,FALSE))," ",VLOOKUP($K11,'Calc-Drivers'!$B$17:$G$27,N$43,FALSE))</f>
        <v>6.8102560342398366E-2</v>
      </c>
      <c r="O11" s="2">
        <f>IF(ISERROR(VLOOKUP($K11,'Calc-Drivers'!$B$17:$G$27,O$43,FALSE))," ",VLOOKUP($K11,'Calc-Drivers'!$B$17:$G$27,O$43,FALSE))</f>
        <v>0.27232459819696431</v>
      </c>
      <c r="P11" s="2">
        <f>IF(ISERROR(VLOOKUP($K11,'Calc-Drivers'!$B$17:$G$27,P$43,FALSE))," ",VLOOKUP($K11,'Calc-Drivers'!$B$17:$G$27,P$43,FALSE))</f>
        <v>0.16067723412421731</v>
      </c>
      <c r="S11" s="2">
        <f t="shared" si="0"/>
        <v>6.6190147443158334E-2</v>
      </c>
      <c r="T11" s="2">
        <f t="shared" si="0"/>
        <v>8.3478534757767439E-2</v>
      </c>
      <c r="U11" s="2">
        <f t="shared" si="0"/>
        <v>2.0430768102719474E-2</v>
      </c>
      <c r="V11" s="2">
        <f t="shared" si="0"/>
        <v>8.1697379459089156E-2</v>
      </c>
      <c r="W11" s="2">
        <f t="shared" si="0"/>
        <v>4.8203170237265107E-2</v>
      </c>
      <c r="Z11" s="2">
        <f t="shared" si="1"/>
        <v>2.3661901474431586</v>
      </c>
      <c r="AA11" s="2">
        <f t="shared" si="1"/>
        <v>0.68347853475776743</v>
      </c>
      <c r="AB11" s="2">
        <f t="shared" si="1"/>
        <v>1.6204307681027195</v>
      </c>
      <c r="AC11" s="2">
        <f t="shared" si="2"/>
        <v>0.52194313480840182</v>
      </c>
      <c r="AD11" s="2">
        <f t="shared" si="2"/>
        <v>0.30795741488795247</v>
      </c>
      <c r="AG11" s="2">
        <f>IF(ISERROR(Z11*100000000/'Calc-Units'!$E$23)," ",Z11*100000000/'Calc-Units'!$E$23)</f>
        <v>1.9056570761357004E-2</v>
      </c>
      <c r="AH11" s="2">
        <f>IF(ISERROR(AA11*100000000/'Calc-Units'!$D$23)," ",AA11*100000000/'Calc-Units'!$D$23)</f>
        <v>7.1096304477370614E-3</v>
      </c>
      <c r="AI11" s="2">
        <f>IF(ISERROR(AB11*100000000/'Calc-Units'!$C$23)," ",AB11*100000000/'Calc-Units'!$C$23)</f>
        <v>2.2455445057080966E-2</v>
      </c>
      <c r="AJ11" s="2">
        <f>IF(ISERROR(AC11*100000000/'Calc-Units'!$C$23)," ",AC11*100000000/'Calc-Units'!$C$23)</f>
        <v>7.2329318952228817E-3</v>
      </c>
      <c r="AL11" s="2">
        <v>0.23499999999999999</v>
      </c>
      <c r="AM11" s="2">
        <f t="shared" si="3"/>
        <v>1.2925</v>
      </c>
      <c r="AN11" s="2">
        <f t="shared" si="4"/>
        <v>4.2075000000000005</v>
      </c>
      <c r="AQ11" s="2">
        <f t="shared" si="6"/>
        <v>1.8101354627940163</v>
      </c>
      <c r="AR11" s="2">
        <f t="shared" si="6"/>
        <v>0.52286107908969215</v>
      </c>
      <c r="AS11" s="2">
        <f t="shared" si="6"/>
        <v>1.2396295375985804</v>
      </c>
      <c r="AT11" s="2">
        <f t="shared" si="6"/>
        <v>0.39928649812842743</v>
      </c>
      <c r="AU11" s="2">
        <f t="shared" si="6"/>
        <v>0.23558742238928365</v>
      </c>
      <c r="AX11" s="2">
        <f>IF(ISERROR(AQ11*100000000/'Calc-Units'!$E$23)," ",AQ11*100000000/'Calc-Units'!$E$23)</f>
        <v>1.4578276632438106E-2</v>
      </c>
      <c r="AY11" s="2">
        <f>IF(ISERROR(AR11*100000000/'Calc-Units'!$D$23)," ",AR11*100000000/'Calc-Units'!$D$23)</f>
        <v>5.4388672925188529E-3</v>
      </c>
      <c r="AZ11" s="2">
        <f>IF(ISERROR(AS11*100000000/'Calc-Units'!$C$23)," ",AS11*100000000/'Calc-Units'!$C$23)</f>
        <v>1.7178415468666941E-2</v>
      </c>
      <c r="BA11" s="2">
        <f>IF(ISERROR(AT11*100000000/'Calc-Units'!$C$23)," ",AT11*100000000/'Calc-Units'!$C$23)</f>
        <v>5.5331928998455047E-3</v>
      </c>
    </row>
    <row r="12" spans="1:53" ht="16.5" customHeight="1">
      <c r="C12" s="2" t="s">
        <v>551</v>
      </c>
      <c r="D12" s="2">
        <f>'RRP 1.3'!I$12</f>
        <v>4.0999999999999996</v>
      </c>
      <c r="E12" s="2">
        <f>'RRP 2.3'!G46+'RRP 2.3'!G47</f>
        <v>0.6297770891609763</v>
      </c>
      <c r="F12" s="2">
        <f>'RRP 2.3'!G45</f>
        <v>2.3630693363750601</v>
      </c>
      <c r="G12" s="2">
        <v>0</v>
      </c>
      <c r="H12" s="2">
        <f>'RRP 2.3'!G44</f>
        <v>1.1655181170566711</v>
      </c>
      <c r="I12" s="2">
        <f t="shared" si="5"/>
        <v>-5.8364542592707735E-2</v>
      </c>
      <c r="K12" s="2" t="s">
        <v>852</v>
      </c>
      <c r="L12" s="2">
        <f>IF(ISERROR(VLOOKUP($K12,'Calc-Drivers'!$B$17:$G$27,L$43,FALSE))," ",VLOOKUP($K12,'Calc-Drivers'!$B$17:$G$27,L$43,FALSE))</f>
        <v>0.22063382481052818</v>
      </c>
      <c r="M12" s="2">
        <f>IF(ISERROR(VLOOKUP($K12,'Calc-Drivers'!$B$17:$G$27,M$43,FALSE))," ",VLOOKUP($K12,'Calc-Drivers'!$B$17:$G$27,M$43,FALSE))</f>
        <v>0.27826178252589195</v>
      </c>
      <c r="N12" s="2">
        <f>IF(ISERROR(VLOOKUP($K12,'Calc-Drivers'!$B$17:$G$27,N$43,FALSE))," ",VLOOKUP($K12,'Calc-Drivers'!$B$17:$G$27,N$43,FALSE))</f>
        <v>6.8102560342398366E-2</v>
      </c>
      <c r="O12" s="2">
        <f>IF(ISERROR(VLOOKUP($K12,'Calc-Drivers'!$B$17:$G$27,O$43,FALSE))," ",VLOOKUP($K12,'Calc-Drivers'!$B$17:$G$27,O$43,FALSE))</f>
        <v>0.27232459819696431</v>
      </c>
      <c r="P12" s="2">
        <f>IF(ISERROR(VLOOKUP($K12,'Calc-Drivers'!$B$17:$G$27,P$43,FALSE))," ",VLOOKUP($K12,'Calc-Drivers'!$B$17:$G$27,P$43,FALSE))</f>
        <v>0.16067723412421731</v>
      </c>
      <c r="S12" s="2">
        <f t="shared" si="0"/>
        <v>-1.2877192265546089E-2</v>
      </c>
      <c r="T12" s="2">
        <f t="shared" si="0"/>
        <v>-1.6240621658155197E-2</v>
      </c>
      <c r="U12" s="2">
        <f t="shared" si="0"/>
        <v>-3.9747747837763584E-3</v>
      </c>
      <c r="V12" s="2">
        <f t="shared" si="0"/>
        <v>-1.5894100610508742E-2</v>
      </c>
      <c r="W12" s="2">
        <f t="shared" si="0"/>
        <v>-9.3778532747213535E-3</v>
      </c>
      <c r="Z12" s="2">
        <f t="shared" si="1"/>
        <v>0.61689989689543023</v>
      </c>
      <c r="AA12" s="2">
        <f t="shared" si="1"/>
        <v>2.3468287147169051</v>
      </c>
      <c r="AB12" s="2">
        <f t="shared" si="1"/>
        <v>-3.9747747837763584E-3</v>
      </c>
      <c r="AC12" s="2">
        <f t="shared" si="2"/>
        <v>0.7171264762708095</v>
      </c>
      <c r="AD12" s="2">
        <f t="shared" si="2"/>
        <v>0.42311968690063151</v>
      </c>
      <c r="AG12" s="2">
        <f>IF(ISERROR(Z12*100000000/'Calc-Units'!$E$23)," ",Z12*100000000/'Calc-Units'!$E$23)</f>
        <v>4.9683228334649349E-3</v>
      </c>
      <c r="AH12" s="2">
        <f>IF(ISERROR(AA12*100000000/'Calc-Units'!$D$23)," ",AA12*100000000/'Calc-Units'!$D$23)</f>
        <v>2.4412010088492867E-2</v>
      </c>
      <c r="AI12" s="2">
        <f>IF(ISERROR(AB12*100000000/'Calc-Units'!$C$23)," ",AB12*100000000/'Calc-Units'!$C$23)</f>
        <v>-5.5081240450565786E-5</v>
      </c>
      <c r="AJ12" s="2">
        <f>IF(ISERROR(AC12*100000000/'Calc-Units'!$C$23)," ",AC12*100000000/'Calc-Units'!$C$23)</f>
        <v>9.9377242791630592E-3</v>
      </c>
      <c r="AL12" s="2">
        <v>0.23499999999999999</v>
      </c>
      <c r="AM12" s="2">
        <f t="shared" si="3"/>
        <v>0.96349999999999991</v>
      </c>
      <c r="AN12" s="2">
        <f t="shared" si="4"/>
        <v>3.1364999999999998</v>
      </c>
      <c r="AQ12" s="2">
        <f t="shared" si="6"/>
        <v>0.47192842112500416</v>
      </c>
      <c r="AR12" s="2">
        <f t="shared" si="6"/>
        <v>1.7953239667584324</v>
      </c>
      <c r="AS12" s="2">
        <f t="shared" si="6"/>
        <v>-3.0407027095889143E-3</v>
      </c>
      <c r="AT12" s="2">
        <f t="shared" si="6"/>
        <v>0.54860175434716929</v>
      </c>
      <c r="AU12" s="2">
        <f t="shared" si="6"/>
        <v>0.32368656047898309</v>
      </c>
      <c r="AX12" s="2">
        <f>IF(ISERROR(AQ12*100000000/'Calc-Units'!$E$23)," ",AQ12*100000000/'Calc-Units'!$E$23)</f>
        <v>3.8007669676006755E-3</v>
      </c>
      <c r="AY12" s="2">
        <f>IF(ISERROR(AR12*100000000/'Calc-Units'!$D$23)," ",AR12*100000000/'Calc-Units'!$D$23)</f>
        <v>1.8675187717697043E-2</v>
      </c>
      <c r="AZ12" s="2">
        <f>IF(ISERROR(AS12*100000000/'Calc-Units'!$C$23)," ",AS12*100000000/'Calc-Units'!$C$23)</f>
        <v>-4.2137148944682827E-5</v>
      </c>
      <c r="BA12" s="2">
        <f>IF(ISERROR(AT12*100000000/'Calc-Units'!$C$23)," ",AT12*100000000/'Calc-Units'!$C$23)</f>
        <v>7.6023590735597411E-3</v>
      </c>
    </row>
    <row r="13" spans="1:53" ht="12.75" customHeight="1">
      <c r="B13" s="2" t="s">
        <v>853</v>
      </c>
      <c r="C13" s="2" t="s">
        <v>552</v>
      </c>
      <c r="D13" s="2">
        <f>'RRP 1.3'!J$12</f>
        <v>0.6</v>
      </c>
      <c r="E13" s="2">
        <v>0</v>
      </c>
      <c r="F13" s="2">
        <v>0</v>
      </c>
      <c r="G13" s="2">
        <v>0</v>
      </c>
      <c r="H13" s="2">
        <v>0</v>
      </c>
      <c r="I13" s="2">
        <f t="shared" si="5"/>
        <v>0.6</v>
      </c>
      <c r="K13" s="2" t="s">
        <v>852</v>
      </c>
      <c r="L13" s="2">
        <f>IF(ISERROR(VLOOKUP($K13,'Calc-Drivers'!$B$17:$G$27,L$43,FALSE))," ",VLOOKUP($K13,'Calc-Drivers'!$B$17:$G$27,L$43,FALSE))</f>
        <v>0.22063382481052818</v>
      </c>
      <c r="M13" s="2">
        <f>IF(ISERROR(VLOOKUP($K13,'Calc-Drivers'!$B$17:$G$27,M$43,FALSE))," ",VLOOKUP($K13,'Calc-Drivers'!$B$17:$G$27,M$43,FALSE))</f>
        <v>0.27826178252589195</v>
      </c>
      <c r="N13" s="2">
        <f>IF(ISERROR(VLOOKUP($K13,'Calc-Drivers'!$B$17:$G$27,N$43,FALSE))," ",VLOOKUP($K13,'Calc-Drivers'!$B$17:$G$27,N$43,FALSE))</f>
        <v>6.8102560342398366E-2</v>
      </c>
      <c r="O13" s="2">
        <f>IF(ISERROR(VLOOKUP($K13,'Calc-Drivers'!$B$17:$G$27,O$43,FALSE))," ",VLOOKUP($K13,'Calc-Drivers'!$B$17:$G$27,O$43,FALSE))</f>
        <v>0.27232459819696431</v>
      </c>
      <c r="P13" s="2">
        <f>IF(ISERROR(VLOOKUP($K13,'Calc-Drivers'!$B$17:$G$27,P$43,FALSE))," ",VLOOKUP($K13,'Calc-Drivers'!$B$17:$G$27,P$43,FALSE))</f>
        <v>0.16067723412421731</v>
      </c>
      <c r="S13" s="2">
        <f t="shared" si="0"/>
        <v>0.13238029488631689</v>
      </c>
      <c r="T13" s="2">
        <f t="shared" si="0"/>
        <v>0.16695706951553516</v>
      </c>
      <c r="U13" s="2">
        <f t="shared" si="0"/>
        <v>4.0861536205439017E-2</v>
      </c>
      <c r="V13" s="2">
        <f t="shared" si="0"/>
        <v>0.16339475891817859</v>
      </c>
      <c r="W13" s="2">
        <f t="shared" si="0"/>
        <v>9.640634047453038E-2</v>
      </c>
      <c r="Z13" s="2">
        <f t="shared" si="1"/>
        <v>0.13238029488631689</v>
      </c>
      <c r="AA13" s="2">
        <f t="shared" si="1"/>
        <v>0.16695706951553516</v>
      </c>
      <c r="AB13" s="2">
        <f t="shared" si="1"/>
        <v>4.0861536205439017E-2</v>
      </c>
      <c r="AC13" s="2">
        <f t="shared" si="2"/>
        <v>0.16339475891817859</v>
      </c>
      <c r="AD13" s="2">
        <f t="shared" si="2"/>
        <v>9.640634047453038E-2</v>
      </c>
      <c r="AG13" s="2">
        <f>IF(ISERROR(Z13*100000000/'Calc-Units'!$E$23)," ",Z13*100000000/'Calc-Units'!$E$23)</f>
        <v>1.0661503512878632E-3</v>
      </c>
      <c r="AH13" s="2">
        <f>IF(ISERROR(AA13*100000000/'Calc-Units'!$D$23)," ",AA13*100000000/'Calc-Units'!$D$23)</f>
        <v>1.7367086229171621E-3</v>
      </c>
      <c r="AI13" s="2">
        <f>IF(ISERROR(AB13*100000000/'Calc-Units'!$C$23)," ",AB13*100000000/'Calc-Units'!$C$23)</f>
        <v>5.6624695066947528E-4</v>
      </c>
      <c r="AJ13" s="2">
        <f>IF(ISERROR(AC13*100000000/'Calc-Units'!$C$23)," ",AC13*100000000/'Calc-Units'!$C$23)</f>
        <v>2.2642757121910956E-3</v>
      </c>
      <c r="AL13" s="2">
        <v>0.52569999999999995</v>
      </c>
      <c r="AM13" s="2">
        <f t="shared" si="3"/>
        <v>0.31541999999999998</v>
      </c>
      <c r="AN13" s="2">
        <f t="shared" si="4"/>
        <v>0.28458</v>
      </c>
      <c r="AQ13" s="2">
        <f t="shared" si="6"/>
        <v>6.2787973864580113E-2</v>
      </c>
      <c r="AR13" s="2">
        <f t="shared" si="6"/>
        <v>7.918773807121833E-2</v>
      </c>
      <c r="AS13" s="2">
        <f t="shared" si="6"/>
        <v>1.9380626622239727E-2</v>
      </c>
      <c r="AT13" s="2">
        <f t="shared" si="6"/>
        <v>7.7498134154892109E-2</v>
      </c>
      <c r="AU13" s="2">
        <f t="shared" si="6"/>
        <v>4.5725527287069766E-2</v>
      </c>
      <c r="AX13" s="2">
        <f>IF(ISERROR(AQ13*100000000/'Calc-Units'!$E$23)," ",AQ13*100000000/'Calc-Units'!$E$23)</f>
        <v>5.0567511161583368E-4</v>
      </c>
      <c r="AY13" s="2">
        <f>IF(ISERROR(AR13*100000000/'Calc-Units'!$D$23)," ",AR13*100000000/'Calc-Units'!$D$23)</f>
        <v>8.2372089984960998E-4</v>
      </c>
      <c r="AZ13" s="2">
        <f>IF(ISERROR(AS13*100000000/'Calc-Units'!$C$23)," ",AS13*100000000/'Calc-Units'!$C$23)</f>
        <v>2.6857092870253213E-4</v>
      </c>
      <c r="BA13" s="2">
        <f>IF(ISERROR(AT13*100000000/'Calc-Units'!$C$23)," ",AT13*100000000/'Calc-Units'!$C$23)</f>
        <v>1.0739459702922367E-3</v>
      </c>
    </row>
    <row r="14" spans="1:53">
      <c r="C14" s="2" t="s">
        <v>553</v>
      </c>
      <c r="D14" s="2">
        <f>'RRP 1.3'!K$12</f>
        <v>3.5</v>
      </c>
      <c r="E14" s="2">
        <v>0</v>
      </c>
      <c r="F14" s="2">
        <v>0</v>
      </c>
      <c r="G14" s="2">
        <v>0</v>
      </c>
      <c r="H14" s="2">
        <v>0</v>
      </c>
      <c r="I14" s="2">
        <f t="shared" si="5"/>
        <v>3.5</v>
      </c>
      <c r="K14" s="2" t="s">
        <v>852</v>
      </c>
      <c r="L14" s="2">
        <f>IF(ISERROR(VLOOKUP($K14,'Calc-Drivers'!$B$17:$G$27,L$43,FALSE))," ",VLOOKUP($K14,'Calc-Drivers'!$B$17:$G$27,L$43,FALSE))</f>
        <v>0.22063382481052818</v>
      </c>
      <c r="M14" s="2">
        <f>IF(ISERROR(VLOOKUP($K14,'Calc-Drivers'!$B$17:$G$27,M$43,FALSE))," ",VLOOKUP($K14,'Calc-Drivers'!$B$17:$G$27,M$43,FALSE))</f>
        <v>0.27826178252589195</v>
      </c>
      <c r="N14" s="2">
        <f>IF(ISERROR(VLOOKUP($K14,'Calc-Drivers'!$B$17:$G$27,N$43,FALSE))," ",VLOOKUP($K14,'Calc-Drivers'!$B$17:$G$27,N$43,FALSE))</f>
        <v>6.8102560342398366E-2</v>
      </c>
      <c r="O14" s="2">
        <f>IF(ISERROR(VLOOKUP($K14,'Calc-Drivers'!$B$17:$G$27,O$43,FALSE))," ",VLOOKUP($K14,'Calc-Drivers'!$B$17:$G$27,O$43,FALSE))</f>
        <v>0.27232459819696431</v>
      </c>
      <c r="P14" s="2">
        <f>IF(ISERROR(VLOOKUP($K14,'Calc-Drivers'!$B$17:$G$27,P$43,FALSE))," ",VLOOKUP($K14,'Calc-Drivers'!$B$17:$G$27,P$43,FALSE))</f>
        <v>0.16067723412421731</v>
      </c>
      <c r="S14" s="2">
        <f t="shared" si="0"/>
        <v>0.77221838683684862</v>
      </c>
      <c r="T14" s="2">
        <f t="shared" si="0"/>
        <v>0.97391623884062184</v>
      </c>
      <c r="U14" s="2">
        <f t="shared" si="0"/>
        <v>0.23835896119839428</v>
      </c>
      <c r="V14" s="2">
        <f t="shared" si="0"/>
        <v>0.95313609368937513</v>
      </c>
      <c r="W14" s="2">
        <f t="shared" si="0"/>
        <v>0.56237031943476057</v>
      </c>
      <c r="Z14" s="2">
        <f t="shared" si="1"/>
        <v>0.77221838683684862</v>
      </c>
      <c r="AA14" s="2">
        <f t="shared" si="1"/>
        <v>0.97391623884062184</v>
      </c>
      <c r="AB14" s="2">
        <f t="shared" si="1"/>
        <v>0.23835896119839428</v>
      </c>
      <c r="AC14" s="2">
        <f t="shared" si="2"/>
        <v>0.95313609368937513</v>
      </c>
      <c r="AD14" s="2">
        <f t="shared" si="2"/>
        <v>0.56237031943476057</v>
      </c>
      <c r="AG14" s="2">
        <f>IF(ISERROR(Z14*100000000/'Calc-Units'!$E$23)," ",Z14*100000000/'Calc-Units'!$E$23)</f>
        <v>6.2192103825125357E-3</v>
      </c>
      <c r="AH14" s="2">
        <f>IF(ISERROR(AA14*100000000/'Calc-Units'!$D$23)," ",AA14*100000000/'Calc-Units'!$D$23)</f>
        <v>1.0130800300350113E-2</v>
      </c>
      <c r="AI14" s="2">
        <f>IF(ISERROR(AB14*100000000/'Calc-Units'!$C$23)," ",AB14*100000000/'Calc-Units'!$C$23)</f>
        <v>3.3031072122386065E-3</v>
      </c>
      <c r="AJ14" s="2">
        <f>IF(ISERROR(AC14*100000000/'Calc-Units'!$C$23)," ",AC14*100000000/'Calc-Units'!$C$23)</f>
        <v>1.3208274987781392E-2</v>
      </c>
      <c r="AL14" s="2">
        <v>0.52569999999999995</v>
      </c>
      <c r="AM14" s="2">
        <f t="shared" si="3"/>
        <v>1.8399499999999998</v>
      </c>
      <c r="AN14" s="2">
        <f t="shared" si="4"/>
        <v>1.6600500000000002</v>
      </c>
      <c r="AQ14" s="2">
        <f t="shared" si="6"/>
        <v>0.36626318087671733</v>
      </c>
      <c r="AR14" s="2">
        <f t="shared" si="6"/>
        <v>0.46192847208210697</v>
      </c>
      <c r="AS14" s="2">
        <f t="shared" si="6"/>
        <v>0.11305365529639842</v>
      </c>
      <c r="AT14" s="2">
        <f t="shared" si="6"/>
        <v>0.45207244923687068</v>
      </c>
      <c r="AU14" s="2">
        <f t="shared" si="6"/>
        <v>0.26673224250790695</v>
      </c>
      <c r="AX14" s="2">
        <f>IF(ISERROR(AQ14*100000000/'Calc-Units'!$E$23)," ",AQ14*100000000/'Calc-Units'!$E$23)</f>
        <v>2.9497714844256965E-3</v>
      </c>
      <c r="AY14" s="2">
        <f>IF(ISERROR(AR14*100000000/'Calc-Units'!$D$23)," ",AR14*100000000/'Calc-Units'!$D$23)</f>
        <v>4.8050385824560593E-3</v>
      </c>
      <c r="AZ14" s="2">
        <f>IF(ISERROR(AS14*100000000/'Calc-Units'!$C$23)," ",AS14*100000000/'Calc-Units'!$C$23)</f>
        <v>1.5666637507647711E-3</v>
      </c>
      <c r="BA14" s="2">
        <f>IF(ISERROR(AT14*100000000/'Calc-Units'!$C$23)," ",AT14*100000000/'Calc-Units'!$C$23)</f>
        <v>6.2646848267047155E-3</v>
      </c>
    </row>
    <row r="15" spans="1:53">
      <c r="C15" s="2" t="s">
        <v>554</v>
      </c>
      <c r="D15" s="2">
        <f>'RRP 1.3'!L$12</f>
        <v>2.9</v>
      </c>
      <c r="E15" s="2">
        <v>0</v>
      </c>
      <c r="F15" s="2">
        <v>0</v>
      </c>
      <c r="G15" s="2">
        <v>0</v>
      </c>
      <c r="H15" s="2">
        <v>0</v>
      </c>
      <c r="I15" s="2">
        <f t="shared" si="5"/>
        <v>2.9</v>
      </c>
      <c r="K15" s="2" t="s">
        <v>852</v>
      </c>
      <c r="L15" s="2">
        <f>IF(ISERROR(VLOOKUP($K15,'Calc-Drivers'!$B$17:$G$27,L$43,FALSE))," ",VLOOKUP($K15,'Calc-Drivers'!$B$17:$G$27,L$43,FALSE))</f>
        <v>0.22063382481052818</v>
      </c>
      <c r="M15" s="2">
        <f>IF(ISERROR(VLOOKUP($K15,'Calc-Drivers'!$B$17:$G$27,M$43,FALSE))," ",VLOOKUP($K15,'Calc-Drivers'!$B$17:$G$27,M$43,FALSE))</f>
        <v>0.27826178252589195</v>
      </c>
      <c r="N15" s="2">
        <f>IF(ISERROR(VLOOKUP($K15,'Calc-Drivers'!$B$17:$G$27,N$43,FALSE))," ",VLOOKUP($K15,'Calc-Drivers'!$B$17:$G$27,N$43,FALSE))</f>
        <v>6.8102560342398366E-2</v>
      </c>
      <c r="O15" s="2">
        <f>IF(ISERROR(VLOOKUP($K15,'Calc-Drivers'!$B$17:$G$27,O$43,FALSE))," ",VLOOKUP($K15,'Calc-Drivers'!$B$17:$G$27,O$43,FALSE))</f>
        <v>0.27232459819696431</v>
      </c>
      <c r="P15" s="2">
        <f>IF(ISERROR(VLOOKUP($K15,'Calc-Drivers'!$B$17:$G$27,P$43,FALSE))," ",VLOOKUP($K15,'Calc-Drivers'!$B$17:$G$27,P$43,FALSE))</f>
        <v>0.16067723412421731</v>
      </c>
      <c r="S15" s="2">
        <f t="shared" si="0"/>
        <v>0.63983809195053165</v>
      </c>
      <c r="T15" s="2">
        <f t="shared" si="0"/>
        <v>0.8069591693250866</v>
      </c>
      <c r="U15" s="2">
        <f t="shared" si="0"/>
        <v>0.19749742499295525</v>
      </c>
      <c r="V15" s="2">
        <f t="shared" si="0"/>
        <v>0.78974133477119646</v>
      </c>
      <c r="W15" s="2">
        <f t="shared" si="0"/>
        <v>0.46596397896023017</v>
      </c>
      <c r="Z15" s="2">
        <f t="shared" si="1"/>
        <v>0.63983809195053165</v>
      </c>
      <c r="AA15" s="2">
        <f t="shared" si="1"/>
        <v>0.8069591693250866</v>
      </c>
      <c r="AB15" s="2">
        <f t="shared" si="1"/>
        <v>0.19749742499295525</v>
      </c>
      <c r="AC15" s="2">
        <f t="shared" si="2"/>
        <v>0.78974133477119646</v>
      </c>
      <c r="AD15" s="2">
        <f t="shared" si="2"/>
        <v>0.46596397896023017</v>
      </c>
      <c r="AG15" s="2">
        <f>IF(ISERROR(Z15*100000000/'Calc-Units'!$E$23)," ",Z15*100000000/'Calc-Units'!$E$23)</f>
        <v>5.1530600312246723E-3</v>
      </c>
      <c r="AH15" s="2">
        <f>IF(ISERROR(AA15*100000000/'Calc-Units'!$D$23)," ",AA15*100000000/'Calc-Units'!$D$23)</f>
        <v>8.3940916774329494E-3</v>
      </c>
      <c r="AI15" s="2">
        <f>IF(ISERROR(AB15*100000000/'Calc-Units'!$C$23)," ",AB15*100000000/'Calc-Units'!$C$23)</f>
        <v>2.7368602615691308E-3</v>
      </c>
      <c r="AJ15" s="2">
        <f>IF(ISERROR(AC15*100000000/'Calc-Units'!$C$23)," ",AC15*100000000/'Calc-Units'!$C$23)</f>
        <v>1.0943999275590295E-2</v>
      </c>
      <c r="AL15" s="2">
        <v>0.52569999999999995</v>
      </c>
      <c r="AM15" s="2">
        <f t="shared" si="3"/>
        <v>1.5245299999999997</v>
      </c>
      <c r="AN15" s="2">
        <f t="shared" si="4"/>
        <v>1.3754700000000002</v>
      </c>
      <c r="AQ15" s="2">
        <f t="shared" si="6"/>
        <v>0.3034752070121372</v>
      </c>
      <c r="AR15" s="2">
        <f t="shared" si="6"/>
        <v>0.38274073401088859</v>
      </c>
      <c r="AS15" s="2">
        <f t="shared" si="6"/>
        <v>9.3673028674158693E-2</v>
      </c>
      <c r="AT15" s="2">
        <f t="shared" si="6"/>
        <v>0.37457431508197853</v>
      </c>
      <c r="AU15" s="2">
        <f t="shared" si="6"/>
        <v>0.2210067152208372</v>
      </c>
      <c r="AX15" s="2">
        <f>IF(ISERROR(AQ15*100000000/'Calc-Units'!$E$23)," ",AQ15*100000000/'Calc-Units'!$E$23)</f>
        <v>2.4440963728098626E-3</v>
      </c>
      <c r="AY15" s="2">
        <f>IF(ISERROR(AR15*100000000/'Calc-Units'!$D$23)," ",AR15*100000000/'Calc-Units'!$D$23)</f>
        <v>3.9813176826064478E-3</v>
      </c>
      <c r="AZ15" s="2">
        <f>IF(ISERROR(AS15*100000000/'Calc-Units'!$C$23)," ",AS15*100000000/'Calc-Units'!$C$23)</f>
        <v>1.2980928220622388E-3</v>
      </c>
      <c r="BA15" s="2">
        <f>IF(ISERROR(AT15*100000000/'Calc-Units'!$C$23)," ",AT15*100000000/'Calc-Units'!$C$23)</f>
        <v>5.1907388564124777E-3</v>
      </c>
    </row>
    <row r="16" spans="1:53">
      <c r="C16" s="2" t="s">
        <v>555</v>
      </c>
      <c r="D16" s="2">
        <f>'RRP 1.3'!M$12</f>
        <v>7.2</v>
      </c>
      <c r="E16" s="2">
        <v>0</v>
      </c>
      <c r="F16" s="2">
        <v>0</v>
      </c>
      <c r="G16" s="2">
        <v>0</v>
      </c>
      <c r="H16" s="2">
        <v>0</v>
      </c>
      <c r="I16" s="2">
        <f t="shared" si="5"/>
        <v>7.2</v>
      </c>
      <c r="K16" s="2" t="s">
        <v>852</v>
      </c>
      <c r="L16" s="2">
        <f>IF(ISERROR(VLOOKUP($K16,'Calc-Drivers'!$B$17:$G$27,L$43,FALSE))," ",VLOOKUP($K16,'Calc-Drivers'!$B$17:$G$27,L$43,FALSE))</f>
        <v>0.22063382481052818</v>
      </c>
      <c r="M16" s="2">
        <f>IF(ISERROR(VLOOKUP($K16,'Calc-Drivers'!$B$17:$G$27,M$43,FALSE))," ",VLOOKUP($K16,'Calc-Drivers'!$B$17:$G$27,M$43,FALSE))</f>
        <v>0.27826178252589195</v>
      </c>
      <c r="N16" s="2">
        <f>IF(ISERROR(VLOOKUP($K16,'Calc-Drivers'!$B$17:$G$27,N$43,FALSE))," ",VLOOKUP($K16,'Calc-Drivers'!$B$17:$G$27,N$43,FALSE))</f>
        <v>6.8102560342398366E-2</v>
      </c>
      <c r="O16" s="2">
        <f>IF(ISERROR(VLOOKUP($K16,'Calc-Drivers'!$B$17:$G$27,O$43,FALSE))," ",VLOOKUP($K16,'Calc-Drivers'!$B$17:$G$27,O$43,FALSE))</f>
        <v>0.27232459819696431</v>
      </c>
      <c r="P16" s="2">
        <f>IF(ISERROR(VLOOKUP($K16,'Calc-Drivers'!$B$17:$G$27,P$43,FALSE))," ",VLOOKUP($K16,'Calc-Drivers'!$B$17:$G$27,P$43,FALSE))</f>
        <v>0.16067723412421731</v>
      </c>
      <c r="S16" s="2">
        <f t="shared" si="0"/>
        <v>1.588563538635803</v>
      </c>
      <c r="T16" s="2">
        <f t="shared" si="0"/>
        <v>2.003484834186422</v>
      </c>
      <c r="U16" s="2">
        <f t="shared" si="0"/>
        <v>0.49033843446526826</v>
      </c>
      <c r="V16" s="2">
        <f t="shared" si="0"/>
        <v>1.960737107018143</v>
      </c>
      <c r="W16" s="2">
        <f t="shared" si="0"/>
        <v>1.1568760856943647</v>
      </c>
      <c r="Z16" s="2">
        <f t="shared" si="1"/>
        <v>1.588563538635803</v>
      </c>
      <c r="AA16" s="2">
        <f t="shared" si="1"/>
        <v>2.003484834186422</v>
      </c>
      <c r="AB16" s="2">
        <f t="shared" si="1"/>
        <v>0.49033843446526826</v>
      </c>
      <c r="AC16" s="2">
        <f t="shared" si="2"/>
        <v>1.960737107018143</v>
      </c>
      <c r="AD16" s="2">
        <f t="shared" si="2"/>
        <v>1.1568760856943647</v>
      </c>
      <c r="AG16" s="2">
        <f>IF(ISERROR(Z16*100000000/'Calc-Units'!$E$23)," ",Z16*100000000/'Calc-Units'!$E$23)</f>
        <v>1.2793804215454363E-2</v>
      </c>
      <c r="AH16" s="2">
        <f>IF(ISERROR(AA16*100000000/'Calc-Units'!$D$23)," ",AA16*100000000/'Calc-Units'!$D$23)</f>
        <v>2.0840503475005944E-2</v>
      </c>
      <c r="AI16" s="2">
        <f>IF(ISERROR(AB16*100000000/'Calc-Units'!$C$23)," ",AB16*100000000/'Calc-Units'!$C$23)</f>
        <v>6.7949634080337043E-3</v>
      </c>
      <c r="AJ16" s="2">
        <f>IF(ISERROR(AC16*100000000/'Calc-Units'!$C$23)," ",AC16*100000000/'Calc-Units'!$C$23)</f>
        <v>2.7171308546293148E-2</v>
      </c>
      <c r="AL16" s="2">
        <v>0.52569999999999995</v>
      </c>
      <c r="AM16" s="2">
        <f t="shared" si="3"/>
        <v>3.7850399999999995</v>
      </c>
      <c r="AN16" s="2">
        <f t="shared" si="4"/>
        <v>3.4149600000000007</v>
      </c>
      <c r="AQ16" s="2">
        <f t="shared" si="6"/>
        <v>0.75345568637496141</v>
      </c>
      <c r="AR16" s="2">
        <f t="shared" si="6"/>
        <v>0.95025285685462002</v>
      </c>
      <c r="AS16" s="2">
        <f t="shared" si="6"/>
        <v>0.23256751946687676</v>
      </c>
      <c r="AT16" s="2">
        <f t="shared" si="6"/>
        <v>0.92997760985870537</v>
      </c>
      <c r="AU16" s="2">
        <f t="shared" si="6"/>
        <v>0.54870632744483727</v>
      </c>
      <c r="AX16" s="2">
        <f>IF(ISERROR(AQ16*100000000/'Calc-Units'!$E$23)," ",AQ16*100000000/'Calc-Units'!$E$23)</f>
        <v>6.0681013393900042E-3</v>
      </c>
      <c r="AY16" s="2">
        <f>IF(ISERROR(AR16*100000000/'Calc-Units'!$D$23)," ",AR16*100000000/'Calc-Units'!$D$23)</f>
        <v>9.8846507981953206E-3</v>
      </c>
      <c r="AZ16" s="2">
        <f>IF(ISERROR(AS16*100000000/'Calc-Units'!$C$23)," ",AS16*100000000/'Calc-Units'!$C$23)</f>
        <v>3.2228511444303862E-3</v>
      </c>
      <c r="BA16" s="2">
        <f>IF(ISERROR(AT16*100000000/'Calc-Units'!$C$23)," ",AT16*100000000/'Calc-Units'!$C$23)</f>
        <v>1.2887351643506843E-2</v>
      </c>
    </row>
    <row r="17" spans="1:53">
      <c r="C17" s="2" t="s">
        <v>556</v>
      </c>
      <c r="D17" s="2">
        <f>'RRP 1.3'!N$12</f>
        <v>1.9</v>
      </c>
      <c r="E17" s="2">
        <v>0</v>
      </c>
      <c r="F17" s="2">
        <v>0</v>
      </c>
      <c r="G17" s="2">
        <v>0</v>
      </c>
      <c r="H17" s="2">
        <v>0</v>
      </c>
      <c r="I17" s="2">
        <f t="shared" si="5"/>
        <v>1.9</v>
      </c>
      <c r="K17" s="2" t="s">
        <v>852</v>
      </c>
      <c r="L17" s="2">
        <f>IF(ISERROR(VLOOKUP($K17,'Calc-Drivers'!$B$17:$G$27,L$43,FALSE))," ",VLOOKUP($K17,'Calc-Drivers'!$B$17:$G$27,L$43,FALSE))</f>
        <v>0.22063382481052818</v>
      </c>
      <c r="M17" s="2">
        <f>IF(ISERROR(VLOOKUP($K17,'Calc-Drivers'!$B$17:$G$27,M$43,FALSE))," ",VLOOKUP($K17,'Calc-Drivers'!$B$17:$G$27,M$43,FALSE))</f>
        <v>0.27826178252589195</v>
      </c>
      <c r="N17" s="2">
        <f>IF(ISERROR(VLOOKUP($K17,'Calc-Drivers'!$B$17:$G$27,N$43,FALSE))," ",VLOOKUP($K17,'Calc-Drivers'!$B$17:$G$27,N$43,FALSE))</f>
        <v>6.8102560342398366E-2</v>
      </c>
      <c r="O17" s="2">
        <f>IF(ISERROR(VLOOKUP($K17,'Calc-Drivers'!$B$17:$G$27,O$43,FALSE))," ",VLOOKUP($K17,'Calc-Drivers'!$B$17:$G$27,O$43,FALSE))</f>
        <v>0.27232459819696431</v>
      </c>
      <c r="P17" s="2">
        <f>IF(ISERROR(VLOOKUP($K17,'Calc-Drivers'!$B$17:$G$27,P$43,FALSE))," ",VLOOKUP($K17,'Calc-Drivers'!$B$17:$G$27,P$43,FALSE))</f>
        <v>0.16067723412421731</v>
      </c>
      <c r="S17" s="2">
        <f t="shared" si="0"/>
        <v>0.41920426714000353</v>
      </c>
      <c r="T17" s="2">
        <f t="shared" si="0"/>
        <v>0.52869738679919465</v>
      </c>
      <c r="U17" s="2">
        <f t="shared" si="0"/>
        <v>0.12939486465055688</v>
      </c>
      <c r="V17" s="2">
        <f t="shared" si="0"/>
        <v>0.51741673657423215</v>
      </c>
      <c r="W17" s="2">
        <f t="shared" si="0"/>
        <v>0.30528674483601287</v>
      </c>
      <c r="Z17" s="2">
        <f t="shared" si="1"/>
        <v>0.41920426714000353</v>
      </c>
      <c r="AA17" s="2">
        <f t="shared" si="1"/>
        <v>0.52869738679919465</v>
      </c>
      <c r="AB17" s="2">
        <f t="shared" si="1"/>
        <v>0.12939486465055688</v>
      </c>
      <c r="AC17" s="2">
        <f t="shared" si="2"/>
        <v>0.51741673657423215</v>
      </c>
      <c r="AD17" s="2">
        <f t="shared" si="2"/>
        <v>0.30528674483601287</v>
      </c>
      <c r="AG17" s="2">
        <f>IF(ISERROR(Z17*100000000/'Calc-Units'!$E$23)," ",Z17*100000000/'Calc-Units'!$E$23)</f>
        <v>3.3761427790782337E-3</v>
      </c>
      <c r="AH17" s="2">
        <f>IF(ISERROR(AA17*100000000/'Calc-Units'!$D$23)," ",AA17*100000000/'Calc-Units'!$D$23)</f>
        <v>5.4995773059043464E-3</v>
      </c>
      <c r="AI17" s="2">
        <f>IF(ISERROR(AB17*100000000/'Calc-Units'!$C$23)," ",AB17*100000000/'Calc-Units'!$C$23)</f>
        <v>1.7931153437866719E-3</v>
      </c>
      <c r="AJ17" s="2">
        <f>IF(ISERROR(AC17*100000000/'Calc-Units'!$C$23)," ",AC17*100000000/'Calc-Units'!$C$23)</f>
        <v>7.1702064219384696E-3</v>
      </c>
      <c r="AL17" s="2">
        <v>0.52569999999999995</v>
      </c>
      <c r="AM17" s="2">
        <f t="shared" si="3"/>
        <v>0.99882999999999988</v>
      </c>
      <c r="AN17" s="2">
        <f t="shared" si="4"/>
        <v>0.90117000000000003</v>
      </c>
      <c r="AQ17" s="2">
        <f t="shared" si="6"/>
        <v>0.1988285839045037</v>
      </c>
      <c r="AR17" s="2">
        <f t="shared" si="6"/>
        <v>0.25076117055885805</v>
      </c>
      <c r="AS17" s="2">
        <f t="shared" si="6"/>
        <v>6.137198430375914E-2</v>
      </c>
      <c r="AT17" s="2">
        <f t="shared" si="6"/>
        <v>0.24541075815715835</v>
      </c>
      <c r="AU17" s="2">
        <f t="shared" si="6"/>
        <v>0.14479750307572092</v>
      </c>
      <c r="AX17" s="2">
        <f>IF(ISERROR(AQ17*100000000/'Calc-Units'!$E$23)," ",AQ17*100000000/'Calc-Units'!$E$23)</f>
        <v>1.6013045201168066E-3</v>
      </c>
      <c r="AY17" s="2">
        <f>IF(ISERROR(AR17*100000000/'Calc-Units'!$D$23)," ",AR17*100000000/'Calc-Units'!$D$23)</f>
        <v>2.6084495161904316E-3</v>
      </c>
      <c r="AZ17" s="2">
        <f>IF(ISERROR(AS17*100000000/'Calc-Units'!$C$23)," ",AS17*100000000/'Calc-Units'!$C$23)</f>
        <v>8.5047460755801859E-4</v>
      </c>
      <c r="BA17" s="2">
        <f>IF(ISERROR(AT17*100000000/'Calc-Units'!$C$23)," ",AT17*100000000/'Calc-Units'!$C$23)</f>
        <v>3.4008289059254166E-3</v>
      </c>
    </row>
    <row r="18" spans="1:53">
      <c r="C18" s="2" t="s">
        <v>557</v>
      </c>
      <c r="D18" s="2">
        <f>'RRP 1.3'!O$12</f>
        <v>1</v>
      </c>
      <c r="E18" s="2">
        <v>0</v>
      </c>
      <c r="F18" s="2">
        <v>0</v>
      </c>
      <c r="G18" s="2">
        <v>0</v>
      </c>
      <c r="H18" s="2">
        <v>0</v>
      </c>
      <c r="I18" s="2">
        <f t="shared" si="5"/>
        <v>1</v>
      </c>
      <c r="K18" s="2" t="s">
        <v>852</v>
      </c>
      <c r="L18" s="2">
        <f>IF(ISERROR(VLOOKUP($K18,'Calc-Drivers'!$B$17:$G$27,L$43,FALSE))," ",VLOOKUP($K18,'Calc-Drivers'!$B$17:$G$27,L$43,FALSE))</f>
        <v>0.22063382481052818</v>
      </c>
      <c r="M18" s="2">
        <f>IF(ISERROR(VLOOKUP($K18,'Calc-Drivers'!$B$17:$G$27,M$43,FALSE))," ",VLOOKUP($K18,'Calc-Drivers'!$B$17:$G$27,M$43,FALSE))</f>
        <v>0.27826178252589195</v>
      </c>
      <c r="N18" s="2">
        <f>IF(ISERROR(VLOOKUP($K18,'Calc-Drivers'!$B$17:$G$27,N$43,FALSE))," ",VLOOKUP($K18,'Calc-Drivers'!$B$17:$G$27,N$43,FALSE))</f>
        <v>6.8102560342398366E-2</v>
      </c>
      <c r="O18" s="2">
        <f>IF(ISERROR(VLOOKUP($K18,'Calc-Drivers'!$B$17:$G$27,O$43,FALSE))," ",VLOOKUP($K18,'Calc-Drivers'!$B$17:$G$27,O$43,FALSE))</f>
        <v>0.27232459819696431</v>
      </c>
      <c r="P18" s="2">
        <f>IF(ISERROR(VLOOKUP($K18,'Calc-Drivers'!$B$17:$G$27,P$43,FALSE))," ",VLOOKUP($K18,'Calc-Drivers'!$B$17:$G$27,P$43,FALSE))</f>
        <v>0.16067723412421731</v>
      </c>
      <c r="S18" s="2">
        <f t="shared" si="0"/>
        <v>0.22063382481052818</v>
      </c>
      <c r="T18" s="2">
        <f t="shared" si="0"/>
        <v>0.27826178252589195</v>
      </c>
      <c r="U18" s="2">
        <f t="shared" si="0"/>
        <v>6.8102560342398366E-2</v>
      </c>
      <c r="V18" s="2">
        <f t="shared" si="0"/>
        <v>0.27232459819696431</v>
      </c>
      <c r="W18" s="2">
        <f t="shared" si="0"/>
        <v>0.16067723412421731</v>
      </c>
      <c r="Z18" s="2">
        <f t="shared" si="1"/>
        <v>0.22063382481052818</v>
      </c>
      <c r="AA18" s="2">
        <f t="shared" si="1"/>
        <v>0.27826178252589195</v>
      </c>
      <c r="AB18" s="2">
        <f t="shared" si="1"/>
        <v>6.8102560342398366E-2</v>
      </c>
      <c r="AC18" s="2">
        <f t="shared" si="2"/>
        <v>0.27232459819696431</v>
      </c>
      <c r="AD18" s="2">
        <f t="shared" si="2"/>
        <v>0.16067723412421731</v>
      </c>
      <c r="AG18" s="2">
        <f>IF(ISERROR(Z18*100000000/'Calc-Units'!$E$23)," ",Z18*100000000/'Calc-Units'!$E$23)</f>
        <v>1.7769172521464392E-3</v>
      </c>
      <c r="AH18" s="2">
        <f>IF(ISERROR(AA18*100000000/'Calc-Units'!$D$23)," ",AA18*100000000/'Calc-Units'!$D$23)</f>
        <v>2.8945143715286038E-3</v>
      </c>
      <c r="AI18" s="2">
        <f>IF(ISERROR(AB18*100000000/'Calc-Units'!$C$23)," ",AB18*100000000/'Calc-Units'!$C$23)</f>
        <v>9.4374491778245891E-4</v>
      </c>
      <c r="AJ18" s="2">
        <f>IF(ISERROR(AC18*100000000/'Calc-Units'!$C$23)," ",AC18*100000000/'Calc-Units'!$C$23)</f>
        <v>3.7737928536518265E-3</v>
      </c>
      <c r="AL18" s="2">
        <v>0.52569999999999995</v>
      </c>
      <c r="AM18" s="2">
        <f t="shared" si="3"/>
        <v>0.52569999999999995</v>
      </c>
      <c r="AN18" s="2">
        <f t="shared" si="4"/>
        <v>0.47430000000000005</v>
      </c>
      <c r="AQ18" s="2">
        <f t="shared" si="6"/>
        <v>0.10464662310763352</v>
      </c>
      <c r="AR18" s="2">
        <f t="shared" si="6"/>
        <v>0.13197956345203057</v>
      </c>
      <c r="AS18" s="2">
        <f t="shared" si="6"/>
        <v>3.2301044370399545E-2</v>
      </c>
      <c r="AT18" s="2">
        <f t="shared" si="6"/>
        <v>0.12916355692482018</v>
      </c>
      <c r="AU18" s="2">
        <f t="shared" si="6"/>
        <v>7.6209212145116279E-2</v>
      </c>
      <c r="AX18" s="2">
        <f>IF(ISERROR(AQ18*100000000/'Calc-Units'!$E$23)," ",AQ18*100000000/'Calc-Units'!$E$23)</f>
        <v>8.4279185269305599E-4</v>
      </c>
      <c r="AY18" s="2">
        <f>IF(ISERROR(AR18*100000000/'Calc-Units'!$D$23)," ",AR18*100000000/'Calc-Units'!$D$23)</f>
        <v>1.3728681664160168E-3</v>
      </c>
      <c r="AZ18" s="2">
        <f>IF(ISERROR(AS18*100000000/'Calc-Units'!$C$23)," ",AS18*100000000/'Calc-Units'!$C$23)</f>
        <v>4.4761821450422026E-4</v>
      </c>
      <c r="BA18" s="2">
        <f>IF(ISERROR(AT18*100000000/'Calc-Units'!$C$23)," ",AT18*100000000/'Calc-Units'!$C$23)</f>
        <v>1.7899099504870614E-3</v>
      </c>
    </row>
    <row r="19" spans="1:53">
      <c r="C19" s="2" t="s">
        <v>558</v>
      </c>
      <c r="D19" s="2">
        <f>'RRP 1.3'!P$12</f>
        <v>0.7</v>
      </c>
      <c r="E19" s="2">
        <v>0</v>
      </c>
      <c r="F19" s="2">
        <v>0</v>
      </c>
      <c r="G19" s="2">
        <v>0</v>
      </c>
      <c r="H19" s="2">
        <v>0</v>
      </c>
      <c r="I19" s="2">
        <f t="shared" si="5"/>
        <v>0.7</v>
      </c>
      <c r="K19" s="2" t="s">
        <v>852</v>
      </c>
      <c r="L19" s="2">
        <f>IF(ISERROR(VLOOKUP($K19,'Calc-Drivers'!$B$17:$G$27,L$43,FALSE))," ",VLOOKUP($K19,'Calc-Drivers'!$B$17:$G$27,L$43,FALSE))</f>
        <v>0.22063382481052818</v>
      </c>
      <c r="M19" s="2">
        <f>IF(ISERROR(VLOOKUP($K19,'Calc-Drivers'!$B$17:$G$27,M$43,FALSE))," ",VLOOKUP($K19,'Calc-Drivers'!$B$17:$G$27,M$43,FALSE))</f>
        <v>0.27826178252589195</v>
      </c>
      <c r="N19" s="2">
        <f>IF(ISERROR(VLOOKUP($K19,'Calc-Drivers'!$B$17:$G$27,N$43,FALSE))," ",VLOOKUP($K19,'Calc-Drivers'!$B$17:$G$27,N$43,FALSE))</f>
        <v>6.8102560342398366E-2</v>
      </c>
      <c r="O19" s="2">
        <f>IF(ISERROR(VLOOKUP($K19,'Calc-Drivers'!$B$17:$G$27,O$43,FALSE))," ",VLOOKUP($K19,'Calc-Drivers'!$B$17:$G$27,O$43,FALSE))</f>
        <v>0.27232459819696431</v>
      </c>
      <c r="P19" s="2">
        <f>IF(ISERROR(VLOOKUP($K19,'Calc-Drivers'!$B$17:$G$27,P$43,FALSE))," ",VLOOKUP($K19,'Calc-Drivers'!$B$17:$G$27,P$43,FALSE))</f>
        <v>0.16067723412421731</v>
      </c>
      <c r="S19" s="2">
        <f t="shared" si="0"/>
        <v>0.15444367736736972</v>
      </c>
      <c r="T19" s="2">
        <f t="shared" si="0"/>
        <v>0.19478324776812436</v>
      </c>
      <c r="U19" s="2">
        <f t="shared" si="0"/>
        <v>4.7671792239678851E-2</v>
      </c>
      <c r="V19" s="2">
        <f t="shared" si="0"/>
        <v>0.190627218737875</v>
      </c>
      <c r="W19" s="2">
        <f t="shared" si="0"/>
        <v>0.11247406388695211</v>
      </c>
      <c r="Z19" s="2">
        <f t="shared" si="1"/>
        <v>0.15444367736736972</v>
      </c>
      <c r="AA19" s="2">
        <f t="shared" si="1"/>
        <v>0.19478324776812436</v>
      </c>
      <c r="AB19" s="2">
        <f t="shared" si="1"/>
        <v>4.7671792239678851E-2</v>
      </c>
      <c r="AC19" s="2">
        <f t="shared" si="2"/>
        <v>0.190627218737875</v>
      </c>
      <c r="AD19" s="2">
        <f t="shared" si="2"/>
        <v>0.11247406388695211</v>
      </c>
      <c r="AG19" s="2">
        <f>IF(ISERROR(Z19*100000000/'Calc-Units'!$E$23)," ",Z19*100000000/'Calc-Units'!$E$23)</f>
        <v>1.2438420765025072E-3</v>
      </c>
      <c r="AH19" s="2">
        <f>IF(ISERROR(AA19*100000000/'Calc-Units'!$D$23)," ",AA19*100000000/'Calc-Units'!$D$23)</f>
        <v>2.0261600600700227E-3</v>
      </c>
      <c r="AI19" s="2">
        <f>IF(ISERROR(AB19*100000000/'Calc-Units'!$C$23)," ",AB19*100000000/'Calc-Units'!$C$23)</f>
        <v>6.6062144244772106E-4</v>
      </c>
      <c r="AJ19" s="2">
        <f>IF(ISERROR(AC19*100000000/'Calc-Units'!$C$23)," ",AC19*100000000/'Calc-Units'!$C$23)</f>
        <v>2.6416549975562783E-3</v>
      </c>
      <c r="AL19" s="2">
        <v>0.52569999999999995</v>
      </c>
      <c r="AM19" s="2">
        <f t="shared" si="3"/>
        <v>0.36798999999999993</v>
      </c>
      <c r="AN19" s="2">
        <f t="shared" si="4"/>
        <v>0.33201000000000003</v>
      </c>
      <c r="AQ19" s="2">
        <f t="shared" si="6"/>
        <v>7.3252636175343472E-2</v>
      </c>
      <c r="AR19" s="2">
        <f t="shared" si="6"/>
        <v>9.2385694416421402E-2</v>
      </c>
      <c r="AS19" s="2">
        <f t="shared" si="6"/>
        <v>2.261073105927968E-2</v>
      </c>
      <c r="AT19" s="2">
        <f t="shared" si="6"/>
        <v>9.0414489847374116E-2</v>
      </c>
      <c r="AU19" s="2">
        <f t="shared" si="6"/>
        <v>5.3346448501581392E-2</v>
      </c>
      <c r="AX19" s="2">
        <f>IF(ISERROR(AQ19*100000000/'Calc-Units'!$E$23)," ",AQ19*100000000/'Calc-Units'!$E$23)</f>
        <v>5.8995429688513926E-4</v>
      </c>
      <c r="AY19" s="2">
        <f>IF(ISERROR(AR19*100000000/'Calc-Units'!$D$23)," ",AR19*100000000/'Calc-Units'!$D$23)</f>
        <v>9.610077164912119E-4</v>
      </c>
      <c r="AZ19" s="2">
        <f>IF(ISERROR(AS19*100000000/'Calc-Units'!$C$23)," ",AS19*100000000/'Calc-Units'!$C$23)</f>
        <v>3.1333275015295417E-4</v>
      </c>
      <c r="BA19" s="2">
        <f>IF(ISERROR(AT19*100000000/'Calc-Units'!$C$23)," ",AT19*100000000/'Calc-Units'!$C$23)</f>
        <v>1.2529369653409427E-3</v>
      </c>
    </row>
    <row r="20" spans="1:53">
      <c r="C20" s="2" t="s">
        <v>559</v>
      </c>
      <c r="D20" s="2">
        <f>'RRP 1.3'!Q$12</f>
        <v>0.9</v>
      </c>
      <c r="E20" s="2">
        <v>0</v>
      </c>
      <c r="F20" s="2">
        <v>0</v>
      </c>
      <c r="G20" s="2">
        <v>0</v>
      </c>
      <c r="H20" s="2">
        <v>0</v>
      </c>
      <c r="I20" s="2">
        <f t="shared" si="5"/>
        <v>0.9</v>
      </c>
      <c r="K20" s="2" t="s">
        <v>852</v>
      </c>
      <c r="L20" s="2">
        <f>IF(ISERROR(VLOOKUP($K20,'Calc-Drivers'!$B$17:$G$27,L$43,FALSE))," ",VLOOKUP($K20,'Calc-Drivers'!$B$17:$G$27,L$43,FALSE))</f>
        <v>0.22063382481052818</v>
      </c>
      <c r="M20" s="2">
        <f>IF(ISERROR(VLOOKUP($K20,'Calc-Drivers'!$B$17:$G$27,M$43,FALSE))," ",VLOOKUP($K20,'Calc-Drivers'!$B$17:$G$27,M$43,FALSE))</f>
        <v>0.27826178252589195</v>
      </c>
      <c r="N20" s="2">
        <f>IF(ISERROR(VLOOKUP($K20,'Calc-Drivers'!$B$17:$G$27,N$43,FALSE))," ",VLOOKUP($K20,'Calc-Drivers'!$B$17:$G$27,N$43,FALSE))</f>
        <v>6.8102560342398366E-2</v>
      </c>
      <c r="O20" s="2">
        <f>IF(ISERROR(VLOOKUP($K20,'Calc-Drivers'!$B$17:$G$27,O$43,FALSE))," ",VLOOKUP($K20,'Calc-Drivers'!$B$17:$G$27,O$43,FALSE))</f>
        <v>0.27232459819696431</v>
      </c>
      <c r="P20" s="2">
        <f>IF(ISERROR(VLOOKUP($K20,'Calc-Drivers'!$B$17:$G$27,P$43,FALSE))," ",VLOOKUP($K20,'Calc-Drivers'!$B$17:$G$27,P$43,FALSE))</f>
        <v>0.16067723412421731</v>
      </c>
      <c r="S20" s="2">
        <f t="shared" si="0"/>
        <v>0.19857044232947538</v>
      </c>
      <c r="T20" s="2">
        <f t="shared" si="0"/>
        <v>0.25043560427330275</v>
      </c>
      <c r="U20" s="2">
        <f t="shared" si="0"/>
        <v>6.1292304308158532E-2</v>
      </c>
      <c r="V20" s="2">
        <f t="shared" si="0"/>
        <v>0.24509213837726787</v>
      </c>
      <c r="W20" s="2">
        <f t="shared" si="0"/>
        <v>0.14460951071179559</v>
      </c>
      <c r="Z20" s="2">
        <f t="shared" si="1"/>
        <v>0.19857044232947538</v>
      </c>
      <c r="AA20" s="2">
        <f t="shared" si="1"/>
        <v>0.25043560427330275</v>
      </c>
      <c r="AB20" s="2">
        <f t="shared" si="1"/>
        <v>6.1292304308158532E-2</v>
      </c>
      <c r="AC20" s="2">
        <f t="shared" si="2"/>
        <v>0.24509213837726787</v>
      </c>
      <c r="AD20" s="2">
        <f t="shared" si="2"/>
        <v>0.14460951071179559</v>
      </c>
      <c r="AG20" s="2">
        <f>IF(ISERROR(Z20*100000000/'Calc-Units'!$E$23)," ",Z20*100000000/'Calc-Units'!$E$23)</f>
        <v>1.5992255269317954E-3</v>
      </c>
      <c r="AH20" s="2">
        <f>IF(ISERROR(AA20*100000000/'Calc-Units'!$D$23)," ",AA20*100000000/'Calc-Units'!$D$23)</f>
        <v>2.605062934375743E-3</v>
      </c>
      <c r="AI20" s="2">
        <f>IF(ISERROR(AB20*100000000/'Calc-Units'!$C$23)," ",AB20*100000000/'Calc-Units'!$C$23)</f>
        <v>8.4937042600421303E-4</v>
      </c>
      <c r="AJ20" s="2">
        <f>IF(ISERROR(AC20*100000000/'Calc-Units'!$C$23)," ",AC20*100000000/'Calc-Units'!$C$23)</f>
        <v>3.3964135682866435E-3</v>
      </c>
      <c r="AL20" s="2">
        <v>0.52569999999999995</v>
      </c>
      <c r="AM20" s="2">
        <f t="shared" si="3"/>
        <v>0.47312999999999994</v>
      </c>
      <c r="AN20" s="2">
        <f t="shared" si="4"/>
        <v>0.42687000000000008</v>
      </c>
      <c r="AQ20" s="2">
        <f t="shared" si="6"/>
        <v>9.4181960796870176E-2</v>
      </c>
      <c r="AR20" s="2">
        <f t="shared" si="6"/>
        <v>0.1187816071068275</v>
      </c>
      <c r="AS20" s="2">
        <f t="shared" si="6"/>
        <v>2.9070939933359595E-2</v>
      </c>
      <c r="AT20" s="2">
        <f t="shared" si="6"/>
        <v>0.11624720123233817</v>
      </c>
      <c r="AU20" s="2">
        <f t="shared" si="6"/>
        <v>6.8588290930604659E-2</v>
      </c>
      <c r="AX20" s="2">
        <f>IF(ISERROR(AQ20*100000000/'Calc-Units'!$E$23)," ",AQ20*100000000/'Calc-Units'!$E$23)</f>
        <v>7.5851266742375052E-4</v>
      </c>
      <c r="AY20" s="2">
        <f>IF(ISERROR(AR20*100000000/'Calc-Units'!$D$23)," ",AR20*100000000/'Calc-Units'!$D$23)</f>
        <v>1.2355813497744151E-3</v>
      </c>
      <c r="AZ20" s="2">
        <f>IF(ISERROR(AS20*100000000/'Calc-Units'!$C$23)," ",AS20*100000000/'Calc-Units'!$C$23)</f>
        <v>4.0285639305379827E-4</v>
      </c>
      <c r="BA20" s="2">
        <f>IF(ISERROR(AT20*100000000/'Calc-Units'!$C$23)," ",AT20*100000000/'Calc-Units'!$C$23)</f>
        <v>1.6109189554383554E-3</v>
      </c>
    </row>
    <row r="21" spans="1:53">
      <c r="C21" s="2" t="s">
        <v>560</v>
      </c>
      <c r="D21" s="2">
        <f>'RRP 1.3'!R$12</f>
        <v>2.7</v>
      </c>
      <c r="E21" s="2">
        <v>0</v>
      </c>
      <c r="F21" s="2">
        <v>0</v>
      </c>
      <c r="G21" s="2">
        <v>0</v>
      </c>
      <c r="H21" s="2">
        <v>0</v>
      </c>
      <c r="I21" s="2">
        <f t="shared" si="5"/>
        <v>2.7</v>
      </c>
      <c r="K21" s="2" t="s">
        <v>852</v>
      </c>
      <c r="L21" s="2">
        <f>IF(ISERROR(VLOOKUP($K21,'Calc-Drivers'!$B$17:$G$27,L$43,FALSE))," ",VLOOKUP($K21,'Calc-Drivers'!$B$17:$G$27,L$43,FALSE))</f>
        <v>0.22063382481052818</v>
      </c>
      <c r="M21" s="2">
        <f>IF(ISERROR(VLOOKUP($K21,'Calc-Drivers'!$B$17:$G$27,M$43,FALSE))," ",VLOOKUP($K21,'Calc-Drivers'!$B$17:$G$27,M$43,FALSE))</f>
        <v>0.27826178252589195</v>
      </c>
      <c r="N21" s="2">
        <f>IF(ISERROR(VLOOKUP($K21,'Calc-Drivers'!$B$17:$G$27,N$43,FALSE))," ",VLOOKUP($K21,'Calc-Drivers'!$B$17:$G$27,N$43,FALSE))</f>
        <v>6.8102560342398366E-2</v>
      </c>
      <c r="O21" s="2">
        <f>IF(ISERROR(VLOOKUP($K21,'Calc-Drivers'!$B$17:$G$27,O$43,FALSE))," ",VLOOKUP($K21,'Calc-Drivers'!$B$17:$G$27,O$43,FALSE))</f>
        <v>0.27232459819696431</v>
      </c>
      <c r="P21" s="2">
        <f>IF(ISERROR(VLOOKUP($K21,'Calc-Drivers'!$B$17:$G$27,P$43,FALSE))," ",VLOOKUP($K21,'Calc-Drivers'!$B$17:$G$27,P$43,FALSE))</f>
        <v>0.16067723412421731</v>
      </c>
      <c r="S21" s="2">
        <f t="shared" si="0"/>
        <v>0.5957113269884261</v>
      </c>
      <c r="T21" s="2">
        <f t="shared" si="0"/>
        <v>0.7513068128199083</v>
      </c>
      <c r="U21" s="2">
        <f t="shared" si="0"/>
        <v>0.18387691292447561</v>
      </c>
      <c r="V21" s="2">
        <f t="shared" si="0"/>
        <v>0.73527641513180364</v>
      </c>
      <c r="W21" s="2">
        <f t="shared" si="0"/>
        <v>0.43382853213538675</v>
      </c>
      <c r="Z21" s="2">
        <f t="shared" si="1"/>
        <v>0.5957113269884261</v>
      </c>
      <c r="AA21" s="2">
        <f t="shared" si="1"/>
        <v>0.7513068128199083</v>
      </c>
      <c r="AB21" s="2">
        <f t="shared" si="1"/>
        <v>0.18387691292447561</v>
      </c>
      <c r="AC21" s="2">
        <f t="shared" si="2"/>
        <v>0.73527641513180364</v>
      </c>
      <c r="AD21" s="2">
        <f t="shared" si="2"/>
        <v>0.43382853213538675</v>
      </c>
      <c r="AG21" s="2">
        <f>IF(ISERROR(Z21*100000000/'Calc-Units'!$E$23)," ",Z21*100000000/'Calc-Units'!$E$23)</f>
        <v>4.7976765807953847E-3</v>
      </c>
      <c r="AH21" s="2">
        <f>IF(ISERROR(AA21*100000000/'Calc-Units'!$D$23)," ",AA21*100000000/'Calc-Units'!$D$23)</f>
        <v>7.8151888031272286E-3</v>
      </c>
      <c r="AI21" s="2">
        <f>IF(ISERROR(AB21*100000000/'Calc-Units'!$C$23)," ",AB21*100000000/'Calc-Units'!$C$23)</f>
        <v>2.548111278012639E-3</v>
      </c>
      <c r="AJ21" s="2">
        <f>IF(ISERROR(AC21*100000000/'Calc-Units'!$C$23)," ",AC21*100000000/'Calc-Units'!$C$23)</f>
        <v>1.0189240704859931E-2</v>
      </c>
      <c r="AL21" s="2">
        <v>0.52569999999999995</v>
      </c>
      <c r="AM21" s="2">
        <f t="shared" si="3"/>
        <v>1.4193899999999999</v>
      </c>
      <c r="AN21" s="2">
        <f t="shared" si="4"/>
        <v>1.2806100000000002</v>
      </c>
      <c r="AQ21" s="2">
        <f t="shared" si="6"/>
        <v>0.28254588239061051</v>
      </c>
      <c r="AR21" s="2">
        <f t="shared" si="6"/>
        <v>0.35634482132048256</v>
      </c>
      <c r="AS21" s="2">
        <f t="shared" si="6"/>
        <v>8.7212819800078792E-2</v>
      </c>
      <c r="AT21" s="2">
        <f t="shared" si="6"/>
        <v>0.34874160369701451</v>
      </c>
      <c r="AU21" s="2">
        <f t="shared" si="6"/>
        <v>0.20576487279181396</v>
      </c>
      <c r="AX21" s="2">
        <f>IF(ISERROR(AQ21*100000000/'Calc-Units'!$E$23)," ",AQ21*100000000/'Calc-Units'!$E$23)</f>
        <v>2.2755380022712515E-3</v>
      </c>
      <c r="AY21" s="2">
        <f>IF(ISERROR(AR21*100000000/'Calc-Units'!$D$23)," ",AR21*100000000/'Calc-Units'!$D$23)</f>
        <v>3.7067440493232457E-3</v>
      </c>
      <c r="AZ21" s="2">
        <f>IF(ISERROR(AS21*100000000/'Calc-Units'!$C$23)," ",AS21*100000000/'Calc-Units'!$C$23)</f>
        <v>1.208569179161395E-3</v>
      </c>
      <c r="BA21" s="2">
        <f>IF(ISERROR(AT21*100000000/'Calc-Units'!$C$23)," ",AT21*100000000/'Calc-Units'!$C$23)</f>
        <v>4.8327568663150662E-3</v>
      </c>
    </row>
    <row r="22" spans="1:53">
      <c r="C22" s="2" t="s">
        <v>561</v>
      </c>
      <c r="D22" s="2">
        <f>'RRP 1.3'!S$12</f>
        <v>6.8</v>
      </c>
      <c r="E22" s="2">
        <v>0</v>
      </c>
      <c r="F22" s="2">
        <v>0</v>
      </c>
      <c r="G22" s="2">
        <v>0</v>
      </c>
      <c r="H22" s="2">
        <v>0</v>
      </c>
      <c r="I22" s="2">
        <f t="shared" si="5"/>
        <v>6.8</v>
      </c>
      <c r="K22" s="2" t="s">
        <v>854</v>
      </c>
      <c r="L22" s="2" t="str">
        <f>IF(ISERROR(VLOOKUP($K22,'Calc-Drivers'!$B$17:$G$27,L$43,FALSE))," ",VLOOKUP($K22,'Calc-Drivers'!$B$17:$G$27,L$43,FALSE))</f>
        <v xml:space="preserve"> </v>
      </c>
      <c r="M22" s="2" t="str">
        <f>IF(ISERROR(VLOOKUP($K22,'Calc-Drivers'!$B$17:$G$27,M$43,FALSE))," ",VLOOKUP($K22,'Calc-Drivers'!$B$17:$G$27,M$43,FALSE))</f>
        <v xml:space="preserve"> </v>
      </c>
      <c r="N22" s="2" t="str">
        <f>IF(ISERROR(VLOOKUP($K22,'Calc-Drivers'!$B$17:$G$27,N$43,FALSE))," ",VLOOKUP($K22,'Calc-Drivers'!$B$17:$G$27,N$43,FALSE))</f>
        <v xml:space="preserve"> </v>
      </c>
      <c r="O22" s="2" t="str">
        <f>IF(ISERROR(VLOOKUP($K22,'Calc-Drivers'!$B$17:$G$27,O$43,FALSE))," ",VLOOKUP($K22,'Calc-Drivers'!$B$17:$G$27,O$43,FALSE))</f>
        <v xml:space="preserve"> </v>
      </c>
      <c r="P22" s="2" t="str">
        <f>IF(ISERROR(VLOOKUP($K22,'Calc-Drivers'!$B$17:$G$27,P$43,FALSE))," ",VLOOKUP($K22,'Calc-Drivers'!$B$17:$G$27,P$43,FALSE))</f>
        <v xml:space="preserve"> </v>
      </c>
      <c r="S22" s="2" t="str">
        <f t="shared" si="0"/>
        <v xml:space="preserve"> </v>
      </c>
      <c r="T22" s="2" t="str">
        <f t="shared" si="0"/>
        <v xml:space="preserve"> </v>
      </c>
      <c r="U22" s="2" t="str">
        <f t="shared" si="0"/>
        <v xml:space="preserve"> </v>
      </c>
      <c r="V22" s="2" t="str">
        <f t="shared" si="0"/>
        <v xml:space="preserve"> </v>
      </c>
      <c r="W22" s="2" t="str">
        <f t="shared" si="0"/>
        <v xml:space="preserve"> </v>
      </c>
      <c r="Z22" s="2" t="str">
        <f t="shared" si="1"/>
        <v xml:space="preserve"> </v>
      </c>
      <c r="AA22" s="2" t="str">
        <f t="shared" si="1"/>
        <v xml:space="preserve"> </v>
      </c>
      <c r="AB22" s="2" t="str">
        <f t="shared" si="1"/>
        <v xml:space="preserve"> </v>
      </c>
      <c r="AC22" s="2" t="str">
        <f t="shared" si="2"/>
        <v xml:space="preserve"> </v>
      </c>
      <c r="AD22" s="2" t="str">
        <f t="shared" si="2"/>
        <v xml:space="preserve"> </v>
      </c>
      <c r="AG22" s="2" t="str">
        <f>IF(ISERROR(Z22*100000000/'Calc-Units'!$E$23)," ",Z22*100000000/'Calc-Units'!$E$23)</f>
        <v xml:space="preserve"> </v>
      </c>
      <c r="AH22" s="2" t="str">
        <f>IF(ISERROR(AA22*100000000/'Calc-Units'!$D$23)," ",AA22*100000000/'Calc-Units'!$D$23)</f>
        <v xml:space="preserve"> </v>
      </c>
      <c r="AI22" s="2" t="str">
        <f>IF(ISERROR(AB22*100000000/'Calc-Units'!$C$23)," ",AB22*100000000/'Calc-Units'!$C$23)</f>
        <v xml:space="preserve"> </v>
      </c>
      <c r="AJ22" s="2" t="str">
        <f>IF(ISERROR(AC22*100000000/'Calc-Units'!$C$23)," ",AC22*100000000/'Calc-Units'!$C$23)</f>
        <v xml:space="preserve"> </v>
      </c>
      <c r="AL22" s="2">
        <v>0.52569999999999995</v>
      </c>
      <c r="AM22" s="2">
        <f t="shared" si="3"/>
        <v>3.5747599999999995</v>
      </c>
      <c r="AN22" s="2">
        <f t="shared" si="4"/>
        <v>3.2252400000000003</v>
      </c>
      <c r="AQ22" s="2" t="str">
        <f t="shared" si="6"/>
        <v xml:space="preserve"> </v>
      </c>
      <c r="AR22" s="2" t="str">
        <f t="shared" si="6"/>
        <v xml:space="preserve"> </v>
      </c>
      <c r="AS22" s="2" t="str">
        <f t="shared" si="6"/>
        <v xml:space="preserve"> </v>
      </c>
      <c r="AT22" s="2" t="str">
        <f t="shared" si="6"/>
        <v xml:space="preserve"> </v>
      </c>
      <c r="AU22" s="2" t="str">
        <f t="shared" si="6"/>
        <v xml:space="preserve"> </v>
      </c>
      <c r="AX22" s="2" t="str">
        <f>IF(ISERROR(AQ22*100000000/'Calc-Units'!$E$23)," ",AQ22*100000000/'Calc-Units'!$E$23)</f>
        <v xml:space="preserve"> </v>
      </c>
      <c r="AY22" s="2" t="str">
        <f>IF(ISERROR(AR22*100000000/'Calc-Units'!$D$23)," ",AR22*100000000/'Calc-Units'!$D$23)</f>
        <v xml:space="preserve"> </v>
      </c>
      <c r="AZ22" s="2" t="str">
        <f>IF(ISERROR(AS22*100000000/'Calc-Units'!$C$23)," ",AS22*100000000/'Calc-Units'!$C$23)</f>
        <v xml:space="preserve"> </v>
      </c>
      <c r="BA22" s="2" t="str">
        <f>IF(ISERROR(AT22*100000000/'Calc-Units'!$C$23)," ",AT22*100000000/'Calc-Units'!$C$23)</f>
        <v xml:space="preserve"> </v>
      </c>
    </row>
    <row r="23" spans="1:53">
      <c r="C23" s="2" t="s">
        <v>562</v>
      </c>
      <c r="D23" s="2">
        <f>'RRP 1.3'!T$12</f>
        <v>2.1</v>
      </c>
      <c r="E23" s="2">
        <v>0</v>
      </c>
      <c r="F23" s="2">
        <v>0</v>
      </c>
      <c r="G23" s="2">
        <v>0</v>
      </c>
      <c r="H23" s="2">
        <v>0</v>
      </c>
      <c r="I23" s="2">
        <f t="shared" si="5"/>
        <v>2.1</v>
      </c>
      <c r="K23" s="2" t="s">
        <v>854</v>
      </c>
      <c r="L23" s="2" t="str">
        <f>IF(ISERROR(VLOOKUP($K23,'Calc-Drivers'!$B$17:$G$27,L$43,FALSE))," ",VLOOKUP($K23,'Calc-Drivers'!$B$17:$G$27,L$43,FALSE))</f>
        <v xml:space="preserve"> </v>
      </c>
      <c r="M23" s="2" t="str">
        <f>IF(ISERROR(VLOOKUP($K23,'Calc-Drivers'!$B$17:$G$27,M$43,FALSE))," ",VLOOKUP($K23,'Calc-Drivers'!$B$17:$G$27,M$43,FALSE))</f>
        <v xml:space="preserve"> </v>
      </c>
      <c r="N23" s="2" t="str">
        <f>IF(ISERROR(VLOOKUP($K23,'Calc-Drivers'!$B$17:$G$27,N$43,FALSE))," ",VLOOKUP($K23,'Calc-Drivers'!$B$17:$G$27,N$43,FALSE))</f>
        <v xml:space="preserve"> </v>
      </c>
      <c r="O23" s="2" t="str">
        <f>IF(ISERROR(VLOOKUP($K23,'Calc-Drivers'!$B$17:$G$27,O$43,FALSE))," ",VLOOKUP($K23,'Calc-Drivers'!$B$17:$G$27,O$43,FALSE))</f>
        <v xml:space="preserve"> </v>
      </c>
      <c r="P23" s="2" t="str">
        <f>IF(ISERROR(VLOOKUP($K23,'Calc-Drivers'!$B$17:$G$27,P$43,FALSE))," ",VLOOKUP($K23,'Calc-Drivers'!$B$17:$G$27,P$43,FALSE))</f>
        <v xml:space="preserve"> </v>
      </c>
      <c r="S23" s="2" t="str">
        <f t="shared" si="0"/>
        <v xml:space="preserve"> </v>
      </c>
      <c r="T23" s="2" t="str">
        <f t="shared" si="0"/>
        <v xml:space="preserve"> </v>
      </c>
      <c r="U23" s="2" t="str">
        <f t="shared" si="0"/>
        <v xml:space="preserve"> </v>
      </c>
      <c r="V23" s="2" t="str">
        <f t="shared" si="0"/>
        <v xml:space="preserve"> </v>
      </c>
      <c r="W23" s="2" t="str">
        <f t="shared" si="0"/>
        <v xml:space="preserve"> </v>
      </c>
      <c r="Z23" s="2" t="str">
        <f t="shared" si="1"/>
        <v xml:space="preserve"> </v>
      </c>
      <c r="AA23" s="2" t="str">
        <f t="shared" si="1"/>
        <v xml:space="preserve"> </v>
      </c>
      <c r="AB23" s="2" t="str">
        <f t="shared" si="1"/>
        <v xml:space="preserve"> </v>
      </c>
      <c r="AC23" s="2" t="str">
        <f t="shared" si="2"/>
        <v xml:space="preserve"> </v>
      </c>
      <c r="AD23" s="2" t="str">
        <f t="shared" si="2"/>
        <v xml:space="preserve"> </v>
      </c>
      <c r="AG23" s="2" t="str">
        <f>IF(ISERROR(Z23*100000000/'Calc-Units'!$E$23)," ",Z23*100000000/'Calc-Units'!$E$23)</f>
        <v xml:space="preserve"> </v>
      </c>
      <c r="AH23" s="2" t="str">
        <f>IF(ISERROR(AA23*100000000/'Calc-Units'!$D$23)," ",AA23*100000000/'Calc-Units'!$D$23)</f>
        <v xml:space="preserve"> </v>
      </c>
      <c r="AI23" s="2" t="str">
        <f>IF(ISERROR(AB23*100000000/'Calc-Units'!$C$23)," ",AB23*100000000/'Calc-Units'!$C$23)</f>
        <v xml:space="preserve"> </v>
      </c>
      <c r="AJ23" s="2" t="str">
        <f>IF(ISERROR(AC23*100000000/'Calc-Units'!$C$23)," ",AC23*100000000/'Calc-Units'!$C$23)</f>
        <v xml:space="preserve"> </v>
      </c>
      <c r="AL23" s="2">
        <v>0.52569999999999995</v>
      </c>
      <c r="AM23" s="2">
        <f t="shared" si="3"/>
        <v>1.1039699999999999</v>
      </c>
      <c r="AN23" s="2">
        <f t="shared" si="4"/>
        <v>0.99603000000000019</v>
      </c>
      <c r="AQ23" s="2" t="str">
        <f t="shared" si="6"/>
        <v xml:space="preserve"> </v>
      </c>
      <c r="AR23" s="2" t="str">
        <f t="shared" si="6"/>
        <v xml:space="preserve"> </v>
      </c>
      <c r="AS23" s="2" t="str">
        <f t="shared" si="6"/>
        <v xml:space="preserve"> </v>
      </c>
      <c r="AT23" s="2" t="str">
        <f t="shared" si="6"/>
        <v xml:space="preserve"> </v>
      </c>
      <c r="AU23" s="2" t="str">
        <f t="shared" si="6"/>
        <v xml:space="preserve"> </v>
      </c>
      <c r="AX23" s="2" t="str">
        <f>IF(ISERROR(AQ23*100000000/'Calc-Units'!$E$23)," ",AQ23*100000000/'Calc-Units'!$E$23)</f>
        <v xml:space="preserve"> </v>
      </c>
      <c r="AY23" s="2" t="str">
        <f>IF(ISERROR(AR23*100000000/'Calc-Units'!$D$23)," ",AR23*100000000/'Calc-Units'!$D$23)</f>
        <v xml:space="preserve"> </v>
      </c>
      <c r="AZ23" s="2" t="str">
        <f>IF(ISERROR(AS23*100000000/'Calc-Units'!$C$23)," ",AS23*100000000/'Calc-Units'!$C$23)</f>
        <v xml:space="preserve"> </v>
      </c>
      <c r="BA23" s="2" t="str">
        <f>IF(ISERROR(AT23*100000000/'Calc-Units'!$C$23)," ",AT23*100000000/'Calc-Units'!$C$23)</f>
        <v xml:space="preserve"> </v>
      </c>
    </row>
    <row r="24" spans="1:53">
      <c r="C24" s="2" t="s">
        <v>563</v>
      </c>
      <c r="D24" s="2">
        <f>'RRP 1.3'!U$12</f>
        <v>0.9</v>
      </c>
      <c r="E24" s="2">
        <v>0</v>
      </c>
      <c r="F24" s="2">
        <v>0</v>
      </c>
      <c r="G24" s="2">
        <v>0</v>
      </c>
      <c r="H24" s="2">
        <v>0</v>
      </c>
      <c r="I24" s="2">
        <f t="shared" si="5"/>
        <v>0.9</v>
      </c>
      <c r="K24" s="2" t="s">
        <v>852</v>
      </c>
      <c r="L24" s="2">
        <f>IF(ISERROR(VLOOKUP($K24,'Calc-Drivers'!$B$17:$G$27,L$43,FALSE))," ",VLOOKUP($K24,'Calc-Drivers'!$B$17:$G$27,L$43,FALSE))</f>
        <v>0.22063382481052818</v>
      </c>
      <c r="M24" s="2">
        <f>IF(ISERROR(VLOOKUP($K24,'Calc-Drivers'!$B$17:$G$27,M$43,FALSE))," ",VLOOKUP($K24,'Calc-Drivers'!$B$17:$G$27,M$43,FALSE))</f>
        <v>0.27826178252589195</v>
      </c>
      <c r="N24" s="2">
        <f>IF(ISERROR(VLOOKUP($K24,'Calc-Drivers'!$B$17:$G$27,N$43,FALSE))," ",VLOOKUP($K24,'Calc-Drivers'!$B$17:$G$27,N$43,FALSE))</f>
        <v>6.8102560342398366E-2</v>
      </c>
      <c r="O24" s="2">
        <f>IF(ISERROR(VLOOKUP($K24,'Calc-Drivers'!$B$17:$G$27,O$43,FALSE))," ",VLOOKUP($K24,'Calc-Drivers'!$B$17:$G$27,O$43,FALSE))</f>
        <v>0.27232459819696431</v>
      </c>
      <c r="P24" s="2">
        <f>IF(ISERROR(VLOOKUP($K24,'Calc-Drivers'!$B$17:$G$27,P$43,FALSE))," ",VLOOKUP($K24,'Calc-Drivers'!$B$17:$G$27,P$43,FALSE))</f>
        <v>0.16067723412421731</v>
      </c>
      <c r="S24" s="2">
        <f t="shared" si="0"/>
        <v>0.19857044232947538</v>
      </c>
      <c r="T24" s="2">
        <f t="shared" si="0"/>
        <v>0.25043560427330275</v>
      </c>
      <c r="U24" s="2">
        <f t="shared" si="0"/>
        <v>6.1292304308158532E-2</v>
      </c>
      <c r="V24" s="2">
        <f t="shared" si="0"/>
        <v>0.24509213837726787</v>
      </c>
      <c r="W24" s="2">
        <f t="shared" si="0"/>
        <v>0.14460951071179559</v>
      </c>
      <c r="Z24" s="2">
        <f t="shared" si="1"/>
        <v>0.19857044232947538</v>
      </c>
      <c r="AA24" s="2">
        <f t="shared" si="1"/>
        <v>0.25043560427330275</v>
      </c>
      <c r="AB24" s="2">
        <f t="shared" si="1"/>
        <v>6.1292304308158532E-2</v>
      </c>
      <c r="AC24" s="2">
        <f t="shared" si="2"/>
        <v>0.24509213837726787</v>
      </c>
      <c r="AD24" s="2">
        <f t="shared" si="2"/>
        <v>0.14460951071179559</v>
      </c>
      <c r="AG24" s="2">
        <f>IF(ISERROR(Z24*100000000/'Calc-Units'!$E$23)," ",Z24*100000000/'Calc-Units'!$E$23)</f>
        <v>1.5992255269317954E-3</v>
      </c>
      <c r="AH24" s="2">
        <f>IF(ISERROR(AA24*100000000/'Calc-Units'!$D$23)," ",AA24*100000000/'Calc-Units'!$D$23)</f>
        <v>2.605062934375743E-3</v>
      </c>
      <c r="AI24" s="2">
        <f>IF(ISERROR(AB24*100000000/'Calc-Units'!$C$23)," ",AB24*100000000/'Calc-Units'!$C$23)</f>
        <v>8.4937042600421303E-4</v>
      </c>
      <c r="AJ24" s="2">
        <f>IF(ISERROR(AC24*100000000/'Calc-Units'!$C$23)," ",AC24*100000000/'Calc-Units'!$C$23)</f>
        <v>3.3964135682866435E-3</v>
      </c>
      <c r="AL24" s="2">
        <v>0.52569999999999995</v>
      </c>
      <c r="AM24" s="2">
        <f t="shared" si="3"/>
        <v>0.47312999999999994</v>
      </c>
      <c r="AN24" s="2">
        <f t="shared" si="4"/>
        <v>0.42687000000000008</v>
      </c>
      <c r="AQ24" s="2">
        <f t="shared" si="6"/>
        <v>9.4181960796870176E-2</v>
      </c>
      <c r="AR24" s="2">
        <f t="shared" si="6"/>
        <v>0.1187816071068275</v>
      </c>
      <c r="AS24" s="2">
        <f t="shared" si="6"/>
        <v>2.9070939933359595E-2</v>
      </c>
      <c r="AT24" s="2">
        <f t="shared" si="6"/>
        <v>0.11624720123233817</v>
      </c>
      <c r="AU24" s="2">
        <f t="shared" si="6"/>
        <v>6.8588290930604659E-2</v>
      </c>
      <c r="AX24" s="2">
        <f>IF(ISERROR(AQ24*100000000/'Calc-Units'!$E$23)," ",AQ24*100000000/'Calc-Units'!$E$23)</f>
        <v>7.5851266742375052E-4</v>
      </c>
      <c r="AY24" s="2">
        <f>IF(ISERROR(AR24*100000000/'Calc-Units'!$D$23)," ",AR24*100000000/'Calc-Units'!$D$23)</f>
        <v>1.2355813497744151E-3</v>
      </c>
      <c r="AZ24" s="2">
        <f>IF(ISERROR(AS24*100000000/'Calc-Units'!$C$23)," ",AS24*100000000/'Calc-Units'!$C$23)</f>
        <v>4.0285639305379827E-4</v>
      </c>
      <c r="BA24" s="2">
        <f>IF(ISERROR(AT24*100000000/'Calc-Units'!$C$23)," ",AT24*100000000/'Calc-Units'!$C$23)</f>
        <v>1.6109189554383554E-3</v>
      </c>
    </row>
    <row r="25" spans="1:53">
      <c r="C25" s="2" t="s">
        <v>564</v>
      </c>
      <c r="D25" s="2">
        <f>'RRP 1.3'!V$12</f>
        <v>1.1000000000000001</v>
      </c>
      <c r="E25" s="2">
        <v>0</v>
      </c>
      <c r="F25" s="2">
        <v>0</v>
      </c>
      <c r="G25" s="2">
        <v>0</v>
      </c>
      <c r="H25" s="2">
        <v>0</v>
      </c>
      <c r="I25" s="2">
        <f t="shared" si="5"/>
        <v>1.1000000000000001</v>
      </c>
      <c r="K25" s="2" t="s">
        <v>852</v>
      </c>
      <c r="L25" s="2">
        <f>IF(ISERROR(VLOOKUP($K25,'Calc-Drivers'!$B$17:$G$27,L$43,FALSE))," ",VLOOKUP($K25,'Calc-Drivers'!$B$17:$G$27,L$43,FALSE))</f>
        <v>0.22063382481052818</v>
      </c>
      <c r="M25" s="2">
        <f>IF(ISERROR(VLOOKUP($K25,'Calc-Drivers'!$B$17:$G$27,M$43,FALSE))," ",VLOOKUP($K25,'Calc-Drivers'!$B$17:$G$27,M$43,FALSE))</f>
        <v>0.27826178252589195</v>
      </c>
      <c r="N25" s="2">
        <f>IF(ISERROR(VLOOKUP($K25,'Calc-Drivers'!$B$17:$G$27,N$43,FALSE))," ",VLOOKUP($K25,'Calc-Drivers'!$B$17:$G$27,N$43,FALSE))</f>
        <v>6.8102560342398366E-2</v>
      </c>
      <c r="O25" s="2">
        <f>IF(ISERROR(VLOOKUP($K25,'Calc-Drivers'!$B$17:$G$27,O$43,FALSE))," ",VLOOKUP($K25,'Calc-Drivers'!$B$17:$G$27,O$43,FALSE))</f>
        <v>0.27232459819696431</v>
      </c>
      <c r="P25" s="2">
        <f>IF(ISERROR(VLOOKUP($K25,'Calc-Drivers'!$B$17:$G$27,P$43,FALSE))," ",VLOOKUP($K25,'Calc-Drivers'!$B$17:$G$27,P$43,FALSE))</f>
        <v>0.16067723412421731</v>
      </c>
      <c r="S25" s="2">
        <f t="shared" si="0"/>
        <v>0.24269720729158101</v>
      </c>
      <c r="T25" s="2">
        <f t="shared" si="0"/>
        <v>0.30608796077848116</v>
      </c>
      <c r="U25" s="2">
        <f t="shared" si="0"/>
        <v>7.4912816376638214E-2</v>
      </c>
      <c r="V25" s="2">
        <f t="shared" si="0"/>
        <v>0.29955705801666077</v>
      </c>
      <c r="W25" s="2">
        <f t="shared" si="0"/>
        <v>0.17674495753663905</v>
      </c>
      <c r="Z25" s="2">
        <f t="shared" si="1"/>
        <v>0.24269720729158101</v>
      </c>
      <c r="AA25" s="2">
        <f t="shared" si="1"/>
        <v>0.30608796077848116</v>
      </c>
      <c r="AB25" s="2">
        <f t="shared" si="1"/>
        <v>7.4912816376638214E-2</v>
      </c>
      <c r="AC25" s="2">
        <f t="shared" si="2"/>
        <v>0.29955705801666077</v>
      </c>
      <c r="AD25" s="2">
        <f t="shared" si="2"/>
        <v>0.17674495753663905</v>
      </c>
      <c r="AG25" s="2">
        <f>IF(ISERROR(Z25*100000000/'Calc-Units'!$E$23)," ",Z25*100000000/'Calc-Units'!$E$23)</f>
        <v>1.9546089773610827E-3</v>
      </c>
      <c r="AH25" s="2">
        <f>IF(ISERROR(AA25*100000000/'Calc-Units'!$D$23)," ",AA25*100000000/'Calc-Units'!$D$23)</f>
        <v>3.1839658086814642E-3</v>
      </c>
      <c r="AI25" s="2">
        <f>IF(ISERROR(AB25*100000000/'Calc-Units'!$C$23)," ",AB25*100000000/'Calc-Units'!$C$23)</f>
        <v>1.0381194095607049E-3</v>
      </c>
      <c r="AJ25" s="2">
        <f>IF(ISERROR(AC25*100000000/'Calc-Units'!$C$23)," ",AC25*100000000/'Calc-Units'!$C$23)</f>
        <v>4.1511721390170096E-3</v>
      </c>
      <c r="AL25" s="2">
        <v>0.52569999999999995</v>
      </c>
      <c r="AM25" s="2">
        <f t="shared" si="3"/>
        <v>0.57826999999999995</v>
      </c>
      <c r="AN25" s="2">
        <f t="shared" si="4"/>
        <v>0.52173000000000014</v>
      </c>
      <c r="AQ25" s="2">
        <f t="shared" si="6"/>
        <v>0.11511128541839688</v>
      </c>
      <c r="AR25" s="2">
        <f t="shared" si="6"/>
        <v>0.14517751979723365</v>
      </c>
      <c r="AS25" s="2">
        <f t="shared" si="6"/>
        <v>3.553114880743951E-2</v>
      </c>
      <c r="AT25" s="2">
        <f t="shared" si="6"/>
        <v>0.14207991261730221</v>
      </c>
      <c r="AU25" s="2">
        <f t="shared" si="6"/>
        <v>8.3830133359627912E-2</v>
      </c>
      <c r="AX25" s="2">
        <f>IF(ISERROR(AQ25*100000000/'Calc-Units'!$E$23)," ",AQ25*100000000/'Calc-Units'!$E$23)</f>
        <v>9.2707103796236168E-4</v>
      </c>
      <c r="AY25" s="2">
        <f>IF(ISERROR(AR25*100000000/'Calc-Units'!$D$23)," ",AR25*100000000/'Calc-Units'!$D$23)</f>
        <v>1.5101549830576187E-3</v>
      </c>
      <c r="AZ25" s="2">
        <f>IF(ISERROR(AS25*100000000/'Calc-Units'!$C$23)," ",AS25*100000000/'Calc-Units'!$C$23)</f>
        <v>4.9238003595464242E-4</v>
      </c>
      <c r="BA25" s="2">
        <f>IF(ISERROR(AT25*100000000/'Calc-Units'!$C$23)," ",AT25*100000000/'Calc-Units'!$C$23)</f>
        <v>1.9689009455357677E-3</v>
      </c>
    </row>
    <row r="26" spans="1:53">
      <c r="C26" s="2" t="s">
        <v>565</v>
      </c>
      <c r="D26" s="2">
        <f>'RRP 1.3'!W$12</f>
        <v>5.8</v>
      </c>
      <c r="E26" s="2">
        <v>0</v>
      </c>
      <c r="F26" s="2">
        <v>0</v>
      </c>
      <c r="G26" s="2">
        <v>0</v>
      </c>
      <c r="H26" s="2">
        <v>0</v>
      </c>
      <c r="I26" s="2">
        <f t="shared" si="5"/>
        <v>5.8</v>
      </c>
      <c r="K26" s="2" t="s">
        <v>852</v>
      </c>
      <c r="L26" s="2">
        <f>IF(ISERROR(VLOOKUP($K26,'Calc-Drivers'!$B$17:$G$27,L$43,FALSE))," ",VLOOKUP($K26,'Calc-Drivers'!$B$17:$G$27,L$43,FALSE))</f>
        <v>0.22063382481052818</v>
      </c>
      <c r="M26" s="2">
        <f>IF(ISERROR(VLOOKUP($K26,'Calc-Drivers'!$B$17:$G$27,M$43,FALSE))," ",VLOOKUP($K26,'Calc-Drivers'!$B$17:$G$27,M$43,FALSE))</f>
        <v>0.27826178252589195</v>
      </c>
      <c r="N26" s="2">
        <f>IF(ISERROR(VLOOKUP($K26,'Calc-Drivers'!$B$17:$G$27,N$43,FALSE))," ",VLOOKUP($K26,'Calc-Drivers'!$B$17:$G$27,N$43,FALSE))</f>
        <v>6.8102560342398366E-2</v>
      </c>
      <c r="O26" s="2">
        <f>IF(ISERROR(VLOOKUP($K26,'Calc-Drivers'!$B$17:$G$27,O$43,FALSE))," ",VLOOKUP($K26,'Calc-Drivers'!$B$17:$G$27,O$43,FALSE))</f>
        <v>0.27232459819696431</v>
      </c>
      <c r="P26" s="2">
        <f>IF(ISERROR(VLOOKUP($K26,'Calc-Drivers'!$B$17:$G$27,P$43,FALSE))," ",VLOOKUP($K26,'Calc-Drivers'!$B$17:$G$27,P$43,FALSE))</f>
        <v>0.16067723412421731</v>
      </c>
      <c r="S26" s="2">
        <f t="shared" si="0"/>
        <v>1.2796761839010633</v>
      </c>
      <c r="T26" s="2">
        <f t="shared" si="0"/>
        <v>1.6139183386501732</v>
      </c>
      <c r="U26" s="2">
        <f t="shared" si="0"/>
        <v>0.3949948499859105</v>
      </c>
      <c r="V26" s="2">
        <f t="shared" si="0"/>
        <v>1.5794826695423929</v>
      </c>
      <c r="W26" s="2">
        <f t="shared" si="0"/>
        <v>0.93192795792046035</v>
      </c>
      <c r="Z26" s="2">
        <f t="shared" si="1"/>
        <v>1.2796761839010633</v>
      </c>
      <c r="AA26" s="2">
        <f t="shared" si="1"/>
        <v>1.6139183386501732</v>
      </c>
      <c r="AB26" s="2">
        <f t="shared" si="1"/>
        <v>0.3949948499859105</v>
      </c>
      <c r="AC26" s="2">
        <f t="shared" si="2"/>
        <v>1.5794826695423929</v>
      </c>
      <c r="AD26" s="2">
        <f t="shared" si="2"/>
        <v>0.93192795792046035</v>
      </c>
      <c r="AG26" s="2">
        <f>IF(ISERROR(Z26*100000000/'Calc-Units'!$E$23)," ",Z26*100000000/'Calc-Units'!$E$23)</f>
        <v>1.0306120062449345E-2</v>
      </c>
      <c r="AH26" s="2">
        <f>IF(ISERROR(AA26*100000000/'Calc-Units'!$D$23)," ",AA26*100000000/'Calc-Units'!$D$23)</f>
        <v>1.6788183354865899E-2</v>
      </c>
      <c r="AI26" s="2">
        <f>IF(ISERROR(AB26*100000000/'Calc-Units'!$C$23)," ",AB26*100000000/'Calc-Units'!$C$23)</f>
        <v>5.4737205231382615E-3</v>
      </c>
      <c r="AJ26" s="2">
        <f>IF(ISERROR(AC26*100000000/'Calc-Units'!$C$23)," ",AC26*100000000/'Calc-Units'!$C$23)</f>
        <v>2.188799855118059E-2</v>
      </c>
      <c r="AL26" s="2">
        <v>0.52569999999999995</v>
      </c>
      <c r="AM26" s="2">
        <f t="shared" si="3"/>
        <v>3.0490599999999994</v>
      </c>
      <c r="AN26" s="2">
        <f t="shared" si="4"/>
        <v>2.7509400000000004</v>
      </c>
      <c r="AQ26" s="2">
        <f t="shared" si="6"/>
        <v>0.60695041402427441</v>
      </c>
      <c r="AR26" s="2">
        <f t="shared" si="6"/>
        <v>0.76548146802177719</v>
      </c>
      <c r="AS26" s="2">
        <f t="shared" si="6"/>
        <v>0.18734605734831739</v>
      </c>
      <c r="AT26" s="2">
        <f t="shared" si="6"/>
        <v>0.74914863016395705</v>
      </c>
      <c r="AU26" s="2">
        <f t="shared" si="6"/>
        <v>0.4420134304416744</v>
      </c>
      <c r="AX26" s="2">
        <f>IF(ISERROR(AQ26*100000000/'Calc-Units'!$E$23)," ",AQ26*100000000/'Calc-Units'!$E$23)</f>
        <v>4.8881927456197252E-3</v>
      </c>
      <c r="AY26" s="2">
        <f>IF(ISERROR(AR26*100000000/'Calc-Units'!$D$23)," ",AR26*100000000/'Calc-Units'!$D$23)</f>
        <v>7.9626353652128955E-3</v>
      </c>
      <c r="AZ26" s="2">
        <f>IF(ISERROR(AS26*100000000/'Calc-Units'!$C$23)," ",AS26*100000000/'Calc-Units'!$C$23)</f>
        <v>2.5961856441244777E-3</v>
      </c>
      <c r="BA26" s="2">
        <f>IF(ISERROR(AT26*100000000/'Calc-Units'!$C$23)," ",AT26*100000000/'Calc-Units'!$C$23)</f>
        <v>1.0381477712824955E-2</v>
      </c>
    </row>
    <row r="27" spans="1:53">
      <c r="C27" s="2" t="s">
        <v>566</v>
      </c>
      <c r="D27" s="2">
        <f>'RRP 1.3'!X$12</f>
        <v>1.8</v>
      </c>
      <c r="E27" s="2">
        <v>0</v>
      </c>
      <c r="F27" s="2">
        <v>0</v>
      </c>
      <c r="G27" s="2">
        <v>0</v>
      </c>
      <c r="H27" s="2">
        <v>0</v>
      </c>
      <c r="I27" s="2">
        <f t="shared" si="5"/>
        <v>1.8</v>
      </c>
      <c r="K27" s="2" t="s">
        <v>852</v>
      </c>
      <c r="L27" s="2">
        <f>IF(ISERROR(VLOOKUP($K27,'Calc-Drivers'!$B$17:$G$27,L$43,FALSE))," ",VLOOKUP($K27,'Calc-Drivers'!$B$17:$G$27,L$43,FALSE))</f>
        <v>0.22063382481052818</v>
      </c>
      <c r="M27" s="2">
        <f>IF(ISERROR(VLOOKUP($K27,'Calc-Drivers'!$B$17:$G$27,M$43,FALSE))," ",VLOOKUP($K27,'Calc-Drivers'!$B$17:$G$27,M$43,FALSE))</f>
        <v>0.27826178252589195</v>
      </c>
      <c r="N27" s="2">
        <f>IF(ISERROR(VLOOKUP($K27,'Calc-Drivers'!$B$17:$G$27,N$43,FALSE))," ",VLOOKUP($K27,'Calc-Drivers'!$B$17:$G$27,N$43,FALSE))</f>
        <v>6.8102560342398366E-2</v>
      </c>
      <c r="O27" s="2">
        <f>IF(ISERROR(VLOOKUP($K27,'Calc-Drivers'!$B$17:$G$27,O$43,FALSE))," ",VLOOKUP($K27,'Calc-Drivers'!$B$17:$G$27,O$43,FALSE))</f>
        <v>0.27232459819696431</v>
      </c>
      <c r="P27" s="2">
        <f>IF(ISERROR(VLOOKUP($K27,'Calc-Drivers'!$B$17:$G$27,P$43,FALSE))," ",VLOOKUP($K27,'Calc-Drivers'!$B$17:$G$27,P$43,FALSE))</f>
        <v>0.16067723412421731</v>
      </c>
      <c r="S27" s="2">
        <f t="shared" si="0"/>
        <v>0.39714088465895075</v>
      </c>
      <c r="T27" s="2">
        <f t="shared" si="0"/>
        <v>0.5008712085466055</v>
      </c>
      <c r="U27" s="2">
        <f t="shared" si="0"/>
        <v>0.12258460861631706</v>
      </c>
      <c r="V27" s="2">
        <f t="shared" si="0"/>
        <v>0.49018427675453574</v>
      </c>
      <c r="W27" s="2">
        <f t="shared" si="0"/>
        <v>0.28921902142359118</v>
      </c>
      <c r="Z27" s="2">
        <f t="shared" si="1"/>
        <v>0.39714088465895075</v>
      </c>
      <c r="AA27" s="2">
        <f t="shared" si="1"/>
        <v>0.5008712085466055</v>
      </c>
      <c r="AB27" s="2">
        <f t="shared" si="1"/>
        <v>0.12258460861631706</v>
      </c>
      <c r="AC27" s="2">
        <f t="shared" si="2"/>
        <v>0.49018427675453574</v>
      </c>
      <c r="AD27" s="2">
        <f t="shared" si="2"/>
        <v>0.28921902142359118</v>
      </c>
      <c r="AG27" s="2">
        <f>IF(ISERROR(Z27*100000000/'Calc-Units'!$E$23)," ",Z27*100000000/'Calc-Units'!$E$23)</f>
        <v>3.1984510538635908E-3</v>
      </c>
      <c r="AH27" s="2">
        <f>IF(ISERROR(AA27*100000000/'Calc-Units'!$D$23)," ",AA27*100000000/'Calc-Units'!$D$23)</f>
        <v>5.210125868751486E-3</v>
      </c>
      <c r="AI27" s="2">
        <f>IF(ISERROR(AB27*100000000/'Calc-Units'!$C$23)," ",AB27*100000000/'Calc-Units'!$C$23)</f>
        <v>1.6987408520084261E-3</v>
      </c>
      <c r="AJ27" s="2">
        <f>IF(ISERROR(AC27*100000000/'Calc-Units'!$C$23)," ",AC27*100000000/'Calc-Units'!$C$23)</f>
        <v>6.7928271365732869E-3</v>
      </c>
      <c r="AL27" s="2">
        <v>0.52569999999999995</v>
      </c>
      <c r="AM27" s="2">
        <f t="shared" si="3"/>
        <v>0.94625999999999988</v>
      </c>
      <c r="AN27" s="2">
        <f t="shared" si="4"/>
        <v>0.85374000000000017</v>
      </c>
      <c r="AQ27" s="2">
        <f t="shared" si="6"/>
        <v>0.18836392159374035</v>
      </c>
      <c r="AR27" s="2">
        <f t="shared" si="6"/>
        <v>0.23756321421365501</v>
      </c>
      <c r="AS27" s="2">
        <f t="shared" si="6"/>
        <v>5.814187986671919E-2</v>
      </c>
      <c r="AT27" s="2">
        <f t="shared" si="6"/>
        <v>0.23249440246467634</v>
      </c>
      <c r="AU27" s="2">
        <f t="shared" si="6"/>
        <v>0.13717658186120932</v>
      </c>
      <c r="AX27" s="2">
        <f>IF(ISERROR(AQ27*100000000/'Calc-Units'!$E$23)," ",AQ27*100000000/'Calc-Units'!$E$23)</f>
        <v>1.517025334847501E-3</v>
      </c>
      <c r="AY27" s="2">
        <f>IF(ISERROR(AR27*100000000/'Calc-Units'!$D$23)," ",AR27*100000000/'Calc-Units'!$D$23)</f>
        <v>2.4711626995488302E-3</v>
      </c>
      <c r="AZ27" s="2">
        <f>IF(ISERROR(AS27*100000000/'Calc-Units'!$C$23)," ",AS27*100000000/'Calc-Units'!$C$23)</f>
        <v>8.0571278610759654E-4</v>
      </c>
      <c r="BA27" s="2">
        <f>IF(ISERROR(AT27*100000000/'Calc-Units'!$C$23)," ",AT27*100000000/'Calc-Units'!$C$23)</f>
        <v>3.2218379108767108E-3</v>
      </c>
    </row>
    <row r="28" spans="1:53" ht="12.75" customHeight="1">
      <c r="A28" s="2" t="s">
        <v>855</v>
      </c>
      <c r="C28" s="2" t="s">
        <v>530</v>
      </c>
      <c r="D28" s="2">
        <f>'RRP 1.3'!Y$12</f>
        <v>4.3</v>
      </c>
      <c r="E28" s="2">
        <v>0</v>
      </c>
      <c r="F28" s="2">
        <v>0</v>
      </c>
      <c r="G28" s="2">
        <v>0</v>
      </c>
      <c r="H28" s="2">
        <v>0</v>
      </c>
      <c r="I28" s="2">
        <f t="shared" si="5"/>
        <v>4.3</v>
      </c>
      <c r="K28" s="2" t="s">
        <v>854</v>
      </c>
      <c r="L28" s="2" t="str">
        <f>IF(ISERROR(VLOOKUP($K28,'Calc-Drivers'!$B$17:$G$27,L$43,FALSE))," ",VLOOKUP($K28,'Calc-Drivers'!$B$17:$G$27,L$43,FALSE))</f>
        <v xml:space="preserve"> </v>
      </c>
      <c r="M28" s="2" t="str">
        <f>IF(ISERROR(VLOOKUP($K28,'Calc-Drivers'!$B$17:$G$27,M$43,FALSE))," ",VLOOKUP($K28,'Calc-Drivers'!$B$17:$G$27,M$43,FALSE))</f>
        <v xml:space="preserve"> </v>
      </c>
      <c r="N28" s="2" t="str">
        <f>IF(ISERROR(VLOOKUP($K28,'Calc-Drivers'!$B$17:$G$27,N$43,FALSE))," ",VLOOKUP($K28,'Calc-Drivers'!$B$17:$G$27,N$43,FALSE))</f>
        <v xml:space="preserve"> </v>
      </c>
      <c r="O28" s="2" t="str">
        <f>IF(ISERROR(VLOOKUP($K28,'Calc-Drivers'!$B$17:$G$27,O$43,FALSE))," ",VLOOKUP($K28,'Calc-Drivers'!$B$17:$G$27,O$43,FALSE))</f>
        <v xml:space="preserve"> </v>
      </c>
      <c r="P28" s="2" t="str">
        <f>IF(ISERROR(VLOOKUP($K28,'Calc-Drivers'!$B$17:$G$27,P$43,FALSE))," ",VLOOKUP($K28,'Calc-Drivers'!$B$17:$G$27,P$43,FALSE))</f>
        <v xml:space="preserve"> </v>
      </c>
      <c r="S28" s="2" t="str">
        <f t="shared" si="0"/>
        <v xml:space="preserve"> </v>
      </c>
      <c r="T28" s="2" t="str">
        <f t="shared" si="0"/>
        <v xml:space="preserve"> </v>
      </c>
      <c r="U28" s="2" t="str">
        <f t="shared" si="0"/>
        <v xml:space="preserve"> </v>
      </c>
      <c r="V28" s="2" t="str">
        <f t="shared" si="0"/>
        <v xml:space="preserve"> </v>
      </c>
      <c r="W28" s="2" t="str">
        <f t="shared" si="0"/>
        <v xml:space="preserve"> </v>
      </c>
      <c r="Z28" s="2" t="str">
        <f t="shared" si="1"/>
        <v xml:space="preserve"> </v>
      </c>
      <c r="AA28" s="2" t="str">
        <f t="shared" si="1"/>
        <v xml:space="preserve"> </v>
      </c>
      <c r="AB28" s="2" t="str">
        <f t="shared" si="1"/>
        <v xml:space="preserve"> </v>
      </c>
      <c r="AC28" s="2" t="str">
        <f t="shared" si="2"/>
        <v xml:space="preserve"> </v>
      </c>
      <c r="AD28" s="2" t="str">
        <f t="shared" si="2"/>
        <v xml:space="preserve"> </v>
      </c>
      <c r="AG28" s="2" t="str">
        <f>IF(ISERROR(Z28*100000000/'Calc-Units'!$E$23)," ",Z28*100000000/'Calc-Units'!$E$23)</f>
        <v xml:space="preserve"> </v>
      </c>
      <c r="AH28" s="2" t="str">
        <f>IF(ISERROR(AA28*100000000/'Calc-Units'!$D$23)," ",AA28*100000000/'Calc-Units'!$D$23)</f>
        <v xml:space="preserve"> </v>
      </c>
      <c r="AI28" s="2" t="str">
        <f>IF(ISERROR(AB28*100000000/'Calc-Units'!$C$23)," ",AB28*100000000/'Calc-Units'!$C$23)</f>
        <v xml:space="preserve"> </v>
      </c>
      <c r="AJ28" s="2" t="str">
        <f>IF(ISERROR(AC28*100000000/'Calc-Units'!$C$23)," ",AC28*100000000/'Calc-Units'!$C$23)</f>
        <v xml:space="preserve"> </v>
      </c>
      <c r="AL28" s="2">
        <v>0</v>
      </c>
      <c r="AM28" s="2">
        <f t="shared" si="3"/>
        <v>0</v>
      </c>
      <c r="AN28" s="2">
        <f t="shared" si="4"/>
        <v>4.3</v>
      </c>
      <c r="AQ28" s="2" t="str">
        <f t="shared" si="6"/>
        <v xml:space="preserve"> </v>
      </c>
      <c r="AR28" s="2" t="str">
        <f t="shared" si="6"/>
        <v xml:space="preserve"> </v>
      </c>
      <c r="AS28" s="2" t="str">
        <f t="shared" si="6"/>
        <v xml:space="preserve"> </v>
      </c>
      <c r="AT28" s="2" t="str">
        <f t="shared" si="6"/>
        <v xml:space="preserve"> </v>
      </c>
      <c r="AU28" s="2" t="str">
        <f t="shared" si="6"/>
        <v xml:space="preserve"> </v>
      </c>
      <c r="AX28" s="2" t="str">
        <f>IF(ISERROR(AQ28*100000000/'Calc-Units'!$E$23)," ",AQ28*100000000/'Calc-Units'!$E$23)</f>
        <v xml:space="preserve"> </v>
      </c>
      <c r="AY28" s="2" t="str">
        <f>IF(ISERROR(AR28*100000000/'Calc-Units'!$D$23)," ",AR28*100000000/'Calc-Units'!$D$23)</f>
        <v xml:space="preserve"> </v>
      </c>
      <c r="AZ28" s="2" t="str">
        <f>IF(ISERROR(AS28*100000000/'Calc-Units'!$C$23)," ",AS28*100000000/'Calc-Units'!$C$23)</f>
        <v xml:space="preserve"> </v>
      </c>
      <c r="BA28" s="2" t="str">
        <f>IF(ISERROR(AT28*100000000/'Calc-Units'!$C$23)," ",AT28*100000000/'Calc-Units'!$C$23)</f>
        <v xml:space="preserve"> </v>
      </c>
    </row>
    <row r="29" spans="1:53">
      <c r="C29" s="2" t="s">
        <v>531</v>
      </c>
      <c r="D29" s="2">
        <f>'RRP 1.3'!Z$12</f>
        <v>13.4</v>
      </c>
      <c r="E29" s="2">
        <v>0</v>
      </c>
      <c r="F29" s="2">
        <v>0</v>
      </c>
      <c r="G29" s="2">
        <v>0</v>
      </c>
      <c r="H29" s="2">
        <v>0</v>
      </c>
      <c r="I29" s="2">
        <f t="shared" si="5"/>
        <v>13.4</v>
      </c>
      <c r="K29" s="2" t="s">
        <v>854</v>
      </c>
      <c r="L29" s="2" t="str">
        <f>IF(ISERROR(VLOOKUP($K29,'Calc-Drivers'!$B$17:$G$27,L$43,FALSE))," ",VLOOKUP($K29,'Calc-Drivers'!$B$17:$G$27,L$43,FALSE))</f>
        <v xml:space="preserve"> </v>
      </c>
      <c r="M29" s="2" t="str">
        <f>IF(ISERROR(VLOOKUP($K29,'Calc-Drivers'!$B$17:$G$27,M$43,FALSE))," ",VLOOKUP($K29,'Calc-Drivers'!$B$17:$G$27,M$43,FALSE))</f>
        <v xml:space="preserve"> </v>
      </c>
      <c r="N29" s="2" t="str">
        <f>IF(ISERROR(VLOOKUP($K29,'Calc-Drivers'!$B$17:$G$27,N$43,FALSE))," ",VLOOKUP($K29,'Calc-Drivers'!$B$17:$G$27,N$43,FALSE))</f>
        <v xml:space="preserve"> </v>
      </c>
      <c r="O29" s="2" t="str">
        <f>IF(ISERROR(VLOOKUP($K29,'Calc-Drivers'!$B$17:$G$27,O$43,FALSE))," ",VLOOKUP($K29,'Calc-Drivers'!$B$17:$G$27,O$43,FALSE))</f>
        <v xml:space="preserve"> </v>
      </c>
      <c r="P29" s="2" t="str">
        <f>IF(ISERROR(VLOOKUP($K29,'Calc-Drivers'!$B$17:$G$27,P$43,FALSE))," ",VLOOKUP($K29,'Calc-Drivers'!$B$17:$G$27,P$43,FALSE))</f>
        <v xml:space="preserve"> </v>
      </c>
      <c r="S29" s="2" t="str">
        <f t="shared" si="0"/>
        <v xml:space="preserve"> </v>
      </c>
      <c r="T29" s="2" t="str">
        <f t="shared" si="0"/>
        <v xml:space="preserve"> </v>
      </c>
      <c r="U29" s="2" t="str">
        <f t="shared" si="0"/>
        <v xml:space="preserve"> </v>
      </c>
      <c r="V29" s="2" t="str">
        <f t="shared" si="0"/>
        <v xml:space="preserve"> </v>
      </c>
      <c r="W29" s="2" t="str">
        <f t="shared" si="0"/>
        <v xml:space="preserve"> </v>
      </c>
      <c r="Z29" s="2" t="str">
        <f t="shared" si="1"/>
        <v xml:space="preserve"> </v>
      </c>
      <c r="AA29" s="2" t="str">
        <f t="shared" si="1"/>
        <v xml:space="preserve"> </v>
      </c>
      <c r="AB29" s="2" t="str">
        <f t="shared" si="1"/>
        <v xml:space="preserve"> </v>
      </c>
      <c r="AC29" s="2" t="str">
        <f t="shared" si="2"/>
        <v xml:space="preserve"> </v>
      </c>
      <c r="AD29" s="2" t="str">
        <f t="shared" si="2"/>
        <v xml:space="preserve"> </v>
      </c>
      <c r="AG29" s="2" t="str">
        <f>IF(ISERROR(Z29*100000000/'Calc-Units'!$E$23)," ",Z29*100000000/'Calc-Units'!$E$23)</f>
        <v xml:space="preserve"> </v>
      </c>
      <c r="AH29" s="2" t="str">
        <f>IF(ISERROR(AA29*100000000/'Calc-Units'!$D$23)," ",AA29*100000000/'Calc-Units'!$D$23)</f>
        <v xml:space="preserve"> </v>
      </c>
      <c r="AI29" s="2" t="str">
        <f>IF(ISERROR(AB29*100000000/'Calc-Units'!$C$23)," ",AB29*100000000/'Calc-Units'!$C$23)</f>
        <v xml:space="preserve"> </v>
      </c>
      <c r="AJ29" s="2" t="str">
        <f>IF(ISERROR(AC29*100000000/'Calc-Units'!$C$23)," ",AC29*100000000/'Calc-Units'!$C$23)</f>
        <v xml:space="preserve"> </v>
      </c>
      <c r="AL29" s="2">
        <v>0.57699999999999996</v>
      </c>
      <c r="AM29" s="2">
        <f t="shared" si="3"/>
        <v>7.7317999999999998</v>
      </c>
      <c r="AN29" s="2">
        <f t="shared" si="4"/>
        <v>5.6682000000000006</v>
      </c>
      <c r="AQ29" s="2" t="str">
        <f t="shared" si="6"/>
        <v xml:space="preserve"> </v>
      </c>
      <c r="AR29" s="2" t="str">
        <f t="shared" si="6"/>
        <v xml:space="preserve"> </v>
      </c>
      <c r="AS29" s="2" t="str">
        <f t="shared" si="6"/>
        <v xml:space="preserve"> </v>
      </c>
      <c r="AT29" s="2" t="str">
        <f t="shared" si="6"/>
        <v xml:space="preserve"> </v>
      </c>
      <c r="AU29" s="2" t="str">
        <f t="shared" si="6"/>
        <v xml:space="preserve"> </v>
      </c>
      <c r="AX29" s="2" t="str">
        <f>IF(ISERROR(AQ29*100000000/'Calc-Units'!$E$23)," ",AQ29*100000000/'Calc-Units'!$E$23)</f>
        <v xml:space="preserve"> </v>
      </c>
      <c r="AY29" s="2" t="str">
        <f>IF(ISERROR(AR29*100000000/'Calc-Units'!$D$23)," ",AR29*100000000/'Calc-Units'!$D$23)</f>
        <v xml:space="preserve"> </v>
      </c>
      <c r="AZ29" s="2" t="str">
        <f>IF(ISERROR(AS29*100000000/'Calc-Units'!$C$23)," ",AS29*100000000/'Calc-Units'!$C$23)</f>
        <v xml:space="preserve"> </v>
      </c>
      <c r="BA29" s="2" t="str">
        <f>IF(ISERROR(AT29*100000000/'Calc-Units'!$C$23)," ",AT29*100000000/'Calc-Units'!$C$23)</f>
        <v xml:space="preserve"> </v>
      </c>
    </row>
    <row r="30" spans="1:53">
      <c r="C30" s="2" t="s">
        <v>532</v>
      </c>
      <c r="D30" s="2">
        <f>'RRP 1.3'!AA$12</f>
        <v>1.8</v>
      </c>
      <c r="E30" s="2">
        <v>0</v>
      </c>
      <c r="F30" s="2">
        <v>0</v>
      </c>
      <c r="G30" s="2">
        <v>0</v>
      </c>
      <c r="H30" s="2">
        <v>0</v>
      </c>
      <c r="I30" s="2">
        <f t="shared" si="5"/>
        <v>1.8</v>
      </c>
      <c r="K30" s="2" t="s">
        <v>854</v>
      </c>
      <c r="L30" s="2" t="str">
        <f>IF(ISERROR(VLOOKUP($K30,'Calc-Drivers'!$B$17:$G$27,L$43,FALSE))," ",VLOOKUP($K30,'Calc-Drivers'!$B$17:$G$27,L$43,FALSE))</f>
        <v xml:space="preserve"> </v>
      </c>
      <c r="M30" s="2" t="str">
        <f>IF(ISERROR(VLOOKUP($K30,'Calc-Drivers'!$B$17:$G$27,M$43,FALSE))," ",VLOOKUP($K30,'Calc-Drivers'!$B$17:$G$27,M$43,FALSE))</f>
        <v xml:space="preserve"> </v>
      </c>
      <c r="N30" s="2" t="str">
        <f>IF(ISERROR(VLOOKUP($K30,'Calc-Drivers'!$B$17:$G$27,N$43,FALSE))," ",VLOOKUP($K30,'Calc-Drivers'!$B$17:$G$27,N$43,FALSE))</f>
        <v xml:space="preserve"> </v>
      </c>
      <c r="O30" s="2" t="str">
        <f>IF(ISERROR(VLOOKUP($K30,'Calc-Drivers'!$B$17:$G$27,O$43,FALSE))," ",VLOOKUP($K30,'Calc-Drivers'!$B$17:$G$27,O$43,FALSE))</f>
        <v xml:space="preserve"> </v>
      </c>
      <c r="P30" s="2" t="str">
        <f>IF(ISERROR(VLOOKUP($K30,'Calc-Drivers'!$B$17:$G$27,P$43,FALSE))," ",VLOOKUP($K30,'Calc-Drivers'!$B$17:$G$27,P$43,FALSE))</f>
        <v xml:space="preserve"> </v>
      </c>
      <c r="S30" s="2" t="str">
        <f t="shared" si="0"/>
        <v xml:space="preserve"> </v>
      </c>
      <c r="T30" s="2" t="str">
        <f t="shared" si="0"/>
        <v xml:space="preserve"> </v>
      </c>
      <c r="U30" s="2" t="str">
        <f t="shared" si="0"/>
        <v xml:space="preserve"> </v>
      </c>
      <c r="V30" s="2" t="str">
        <f t="shared" si="0"/>
        <v xml:space="preserve"> </v>
      </c>
      <c r="W30" s="2" t="str">
        <f t="shared" si="0"/>
        <v xml:space="preserve"> </v>
      </c>
      <c r="Z30" s="2" t="str">
        <f t="shared" si="1"/>
        <v xml:space="preserve"> </v>
      </c>
      <c r="AA30" s="2" t="str">
        <f t="shared" si="1"/>
        <v xml:space="preserve"> </v>
      </c>
      <c r="AB30" s="2" t="str">
        <f t="shared" si="1"/>
        <v xml:space="preserve"> </v>
      </c>
      <c r="AC30" s="2" t="str">
        <f t="shared" si="2"/>
        <v xml:space="preserve"> </v>
      </c>
      <c r="AD30" s="2" t="str">
        <f t="shared" si="2"/>
        <v xml:space="preserve"> </v>
      </c>
      <c r="AG30" s="2" t="str">
        <f>IF(ISERROR(Z30*100000000/'Calc-Units'!$E$23)," ",Z30*100000000/'Calc-Units'!$E$23)</f>
        <v xml:space="preserve"> </v>
      </c>
      <c r="AH30" s="2" t="str">
        <f>IF(ISERROR(AA30*100000000/'Calc-Units'!$D$23)," ",AA30*100000000/'Calc-Units'!$D$23)</f>
        <v xml:space="preserve"> </v>
      </c>
      <c r="AI30" s="2" t="str">
        <f>IF(ISERROR(AB30*100000000/'Calc-Units'!$C$23)," ",AB30*100000000/'Calc-Units'!$C$23)</f>
        <v xml:space="preserve"> </v>
      </c>
      <c r="AJ30" s="2" t="str">
        <f>IF(ISERROR(AC30*100000000/'Calc-Units'!$C$23)," ",AC30*100000000/'Calc-Units'!$C$23)</f>
        <v xml:space="preserve"> </v>
      </c>
      <c r="AL30" s="2">
        <v>0</v>
      </c>
      <c r="AM30" s="2">
        <f t="shared" si="3"/>
        <v>0</v>
      </c>
      <c r="AN30" s="2">
        <f t="shared" si="4"/>
        <v>1.8</v>
      </c>
      <c r="AQ30" s="2" t="str">
        <f t="shared" si="6"/>
        <v xml:space="preserve"> </v>
      </c>
      <c r="AR30" s="2" t="str">
        <f t="shared" si="6"/>
        <v xml:space="preserve"> </v>
      </c>
      <c r="AS30" s="2" t="str">
        <f t="shared" si="6"/>
        <v xml:space="preserve"> </v>
      </c>
      <c r="AT30" s="2" t="str">
        <f t="shared" si="6"/>
        <v xml:space="preserve"> </v>
      </c>
      <c r="AU30" s="2" t="str">
        <f t="shared" si="6"/>
        <v xml:space="preserve"> </v>
      </c>
      <c r="AX30" s="2" t="str">
        <f>IF(ISERROR(AQ30*100000000/'Calc-Units'!$E$23)," ",AQ30*100000000/'Calc-Units'!$E$23)</f>
        <v xml:space="preserve"> </v>
      </c>
      <c r="AY30" s="2" t="str">
        <f>IF(ISERROR(AR30*100000000/'Calc-Units'!$D$23)," ",AR30*100000000/'Calc-Units'!$D$23)</f>
        <v xml:space="preserve"> </v>
      </c>
      <c r="AZ30" s="2" t="str">
        <f>IF(ISERROR(AS30*100000000/'Calc-Units'!$C$23)," ",AS30*100000000/'Calc-Units'!$C$23)</f>
        <v xml:space="preserve"> </v>
      </c>
      <c r="BA30" s="2" t="str">
        <f>IF(ISERROR(AT30*100000000/'Calc-Units'!$C$23)," ",AT30*100000000/'Calc-Units'!$C$23)</f>
        <v xml:space="preserve"> </v>
      </c>
    </row>
    <row r="31" spans="1:53">
      <c r="C31" s="2" t="s">
        <v>533</v>
      </c>
      <c r="D31" s="2">
        <f>'RRP 1.3'!AB$12</f>
        <v>8.9</v>
      </c>
      <c r="E31" s="2">
        <v>0</v>
      </c>
      <c r="F31" s="2">
        <v>0</v>
      </c>
      <c r="G31" s="2">
        <v>0</v>
      </c>
      <c r="H31" s="2">
        <v>0</v>
      </c>
      <c r="I31" s="2">
        <f t="shared" si="5"/>
        <v>8.9</v>
      </c>
      <c r="K31" s="2" t="s">
        <v>854</v>
      </c>
      <c r="L31" s="2" t="str">
        <f>IF(ISERROR(VLOOKUP($K31,'Calc-Drivers'!$B$17:$G$27,L$43,FALSE))," ",VLOOKUP($K31,'Calc-Drivers'!$B$17:$G$27,L$43,FALSE))</f>
        <v xml:space="preserve"> </v>
      </c>
      <c r="M31" s="2" t="str">
        <f>IF(ISERROR(VLOOKUP($K31,'Calc-Drivers'!$B$17:$G$27,M$43,FALSE))," ",VLOOKUP($K31,'Calc-Drivers'!$B$17:$G$27,M$43,FALSE))</f>
        <v xml:space="preserve"> </v>
      </c>
      <c r="N31" s="2" t="str">
        <f>IF(ISERROR(VLOOKUP($K31,'Calc-Drivers'!$B$17:$G$27,N$43,FALSE))," ",VLOOKUP($K31,'Calc-Drivers'!$B$17:$G$27,N$43,FALSE))</f>
        <v xml:space="preserve"> </v>
      </c>
      <c r="O31" s="2" t="str">
        <f>IF(ISERROR(VLOOKUP($K31,'Calc-Drivers'!$B$17:$G$27,O$43,FALSE))," ",VLOOKUP($K31,'Calc-Drivers'!$B$17:$G$27,O$43,FALSE))</f>
        <v xml:space="preserve"> </v>
      </c>
      <c r="P31" s="2" t="str">
        <f>IF(ISERROR(VLOOKUP($K31,'Calc-Drivers'!$B$17:$G$27,P$43,FALSE))," ",VLOOKUP($K31,'Calc-Drivers'!$B$17:$G$27,P$43,FALSE))</f>
        <v xml:space="preserve"> </v>
      </c>
      <c r="S31" s="2" t="str">
        <f t="shared" si="0"/>
        <v xml:space="preserve"> </v>
      </c>
      <c r="T31" s="2" t="str">
        <f t="shared" si="0"/>
        <v xml:space="preserve"> </v>
      </c>
      <c r="U31" s="2" t="str">
        <f t="shared" si="0"/>
        <v xml:space="preserve"> </v>
      </c>
      <c r="V31" s="2" t="str">
        <f t="shared" si="0"/>
        <v xml:space="preserve"> </v>
      </c>
      <c r="W31" s="2" t="str">
        <f t="shared" si="0"/>
        <v xml:space="preserve"> </v>
      </c>
      <c r="Z31" s="2" t="str">
        <f t="shared" si="1"/>
        <v xml:space="preserve"> </v>
      </c>
      <c r="AA31" s="2" t="str">
        <f t="shared" si="1"/>
        <v xml:space="preserve"> </v>
      </c>
      <c r="AB31" s="2" t="str">
        <f t="shared" si="1"/>
        <v xml:space="preserve"> </v>
      </c>
      <c r="AC31" s="2" t="str">
        <f t="shared" si="2"/>
        <v xml:space="preserve"> </v>
      </c>
      <c r="AD31" s="2" t="str">
        <f t="shared" si="2"/>
        <v xml:space="preserve"> </v>
      </c>
      <c r="AG31" s="2" t="str">
        <f>IF(ISERROR(Z31*100000000/'Calc-Units'!$E$23)," ",Z31*100000000/'Calc-Units'!$E$23)</f>
        <v xml:space="preserve"> </v>
      </c>
      <c r="AH31" s="2" t="str">
        <f>IF(ISERROR(AA31*100000000/'Calc-Units'!$D$23)," ",AA31*100000000/'Calc-Units'!$D$23)</f>
        <v xml:space="preserve"> </v>
      </c>
      <c r="AI31" s="2" t="str">
        <f>IF(ISERROR(AB31*100000000/'Calc-Units'!$C$23)," ",AB31*100000000/'Calc-Units'!$C$23)</f>
        <v xml:space="preserve"> </v>
      </c>
      <c r="AJ31" s="2" t="str">
        <f>IF(ISERROR(AC31*100000000/'Calc-Units'!$C$23)," ",AC31*100000000/'Calc-Units'!$C$23)</f>
        <v xml:space="preserve"> </v>
      </c>
      <c r="AL31" s="2">
        <v>0</v>
      </c>
      <c r="AM31" s="2">
        <f t="shared" si="3"/>
        <v>0</v>
      </c>
      <c r="AN31" s="2">
        <f t="shared" si="4"/>
        <v>8.9</v>
      </c>
      <c r="AQ31" s="2" t="str">
        <f t="shared" si="6"/>
        <v xml:space="preserve"> </v>
      </c>
      <c r="AR31" s="2" t="str">
        <f t="shared" si="6"/>
        <v xml:space="preserve"> </v>
      </c>
      <c r="AS31" s="2" t="str">
        <f t="shared" si="6"/>
        <v xml:space="preserve"> </v>
      </c>
      <c r="AT31" s="2" t="str">
        <f t="shared" si="6"/>
        <v xml:space="preserve"> </v>
      </c>
      <c r="AU31" s="2" t="str">
        <f t="shared" si="6"/>
        <v xml:space="preserve"> </v>
      </c>
      <c r="AX31" s="2" t="str">
        <f>IF(ISERROR(AQ31*100000000/'Calc-Units'!$E$23)," ",AQ31*100000000/'Calc-Units'!$E$23)</f>
        <v xml:space="preserve"> </v>
      </c>
      <c r="AY31" s="2" t="str">
        <f>IF(ISERROR(AR31*100000000/'Calc-Units'!$D$23)," ",AR31*100000000/'Calc-Units'!$D$23)</f>
        <v xml:space="preserve"> </v>
      </c>
      <c r="AZ31" s="2" t="str">
        <f>IF(ISERROR(AS31*100000000/'Calc-Units'!$C$23)," ",AS31*100000000/'Calc-Units'!$C$23)</f>
        <v xml:space="preserve"> </v>
      </c>
      <c r="BA31" s="2" t="str">
        <f>IF(ISERROR(AT31*100000000/'Calc-Units'!$C$23)," ",AT31*100000000/'Calc-Units'!$C$23)</f>
        <v xml:space="preserve"> </v>
      </c>
    </row>
    <row r="32" spans="1:53">
      <c r="C32" s="2" t="s">
        <v>534</v>
      </c>
      <c r="D32" s="2">
        <f>'RRP 1.3'!AC$12</f>
        <v>-0.1</v>
      </c>
      <c r="E32" s="2">
        <v>0</v>
      </c>
      <c r="F32" s="2">
        <v>0</v>
      </c>
      <c r="G32" s="2">
        <v>0</v>
      </c>
      <c r="H32" s="2">
        <v>0</v>
      </c>
      <c r="I32" s="2">
        <f t="shared" si="5"/>
        <v>-0.1</v>
      </c>
      <c r="K32" s="2" t="s">
        <v>854</v>
      </c>
      <c r="L32" s="2" t="str">
        <f>IF(ISERROR(VLOOKUP($K32,'Calc-Drivers'!$B$17:$G$27,L$43,FALSE))," ",VLOOKUP($K32,'Calc-Drivers'!$B$17:$G$27,L$43,FALSE))</f>
        <v xml:space="preserve"> </v>
      </c>
      <c r="M32" s="2" t="str">
        <f>IF(ISERROR(VLOOKUP($K32,'Calc-Drivers'!$B$17:$G$27,M$43,FALSE))," ",VLOOKUP($K32,'Calc-Drivers'!$B$17:$G$27,M$43,FALSE))</f>
        <v xml:space="preserve"> </v>
      </c>
      <c r="N32" s="2" t="str">
        <f>IF(ISERROR(VLOOKUP($K32,'Calc-Drivers'!$B$17:$G$27,N$43,FALSE))," ",VLOOKUP($K32,'Calc-Drivers'!$B$17:$G$27,N$43,FALSE))</f>
        <v xml:space="preserve"> </v>
      </c>
      <c r="O32" s="2" t="str">
        <f>IF(ISERROR(VLOOKUP($K32,'Calc-Drivers'!$B$17:$G$27,O$43,FALSE))," ",VLOOKUP($K32,'Calc-Drivers'!$B$17:$G$27,O$43,FALSE))</f>
        <v xml:space="preserve"> </v>
      </c>
      <c r="P32" s="2" t="str">
        <f>IF(ISERROR(VLOOKUP($K32,'Calc-Drivers'!$B$17:$G$27,P$43,FALSE))," ",VLOOKUP($K32,'Calc-Drivers'!$B$17:$G$27,P$43,FALSE))</f>
        <v xml:space="preserve"> </v>
      </c>
      <c r="S32" s="2" t="str">
        <f t="shared" si="0"/>
        <v xml:space="preserve"> </v>
      </c>
      <c r="T32" s="2" t="str">
        <f t="shared" si="0"/>
        <v xml:space="preserve"> </v>
      </c>
      <c r="U32" s="2" t="str">
        <f t="shared" si="0"/>
        <v xml:space="preserve"> </v>
      </c>
      <c r="V32" s="2" t="str">
        <f t="shared" si="0"/>
        <v xml:space="preserve"> </v>
      </c>
      <c r="W32" s="2" t="str">
        <f t="shared" si="0"/>
        <v xml:space="preserve"> </v>
      </c>
      <c r="Z32" s="2" t="str">
        <f t="shared" si="1"/>
        <v xml:space="preserve"> </v>
      </c>
      <c r="AA32" s="2" t="str">
        <f t="shared" si="1"/>
        <v xml:space="preserve"> </v>
      </c>
      <c r="AB32" s="2" t="str">
        <f t="shared" si="1"/>
        <v xml:space="preserve"> </v>
      </c>
      <c r="AC32" s="2" t="str">
        <f t="shared" si="2"/>
        <v xml:space="preserve"> </v>
      </c>
      <c r="AD32" s="2" t="str">
        <f t="shared" si="2"/>
        <v xml:space="preserve"> </v>
      </c>
      <c r="AG32" s="2" t="str">
        <f>IF(ISERROR(Z32*100000000/'Calc-Units'!$E$23)," ",Z32*100000000/'Calc-Units'!$E$23)</f>
        <v xml:space="preserve"> </v>
      </c>
      <c r="AH32" s="2" t="str">
        <f>IF(ISERROR(AA32*100000000/'Calc-Units'!$D$23)," ",AA32*100000000/'Calc-Units'!$D$23)</f>
        <v xml:space="preserve"> </v>
      </c>
      <c r="AI32" s="2" t="str">
        <f>IF(ISERROR(AB32*100000000/'Calc-Units'!$C$23)," ",AB32*100000000/'Calc-Units'!$C$23)</f>
        <v xml:space="preserve"> </v>
      </c>
      <c r="AJ32" s="2" t="str">
        <f>IF(ISERROR(AC32*100000000/'Calc-Units'!$C$23)," ",AC32*100000000/'Calc-Units'!$C$23)</f>
        <v xml:space="preserve"> </v>
      </c>
      <c r="AL32" s="2">
        <v>0</v>
      </c>
      <c r="AM32" s="2">
        <f t="shared" si="3"/>
        <v>0</v>
      </c>
      <c r="AN32" s="2">
        <f t="shared" si="4"/>
        <v>-0.1</v>
      </c>
      <c r="AQ32" s="2" t="str">
        <f t="shared" si="6"/>
        <v xml:space="preserve"> </v>
      </c>
      <c r="AR32" s="2" t="str">
        <f t="shared" si="6"/>
        <v xml:space="preserve"> </v>
      </c>
      <c r="AS32" s="2" t="str">
        <f t="shared" si="6"/>
        <v xml:space="preserve"> </v>
      </c>
      <c r="AT32" s="2" t="str">
        <f t="shared" si="6"/>
        <v xml:space="preserve"> </v>
      </c>
      <c r="AU32" s="2" t="str">
        <f t="shared" si="6"/>
        <v xml:space="preserve"> </v>
      </c>
      <c r="AX32" s="2" t="str">
        <f>IF(ISERROR(AQ32*100000000/'Calc-Units'!$E$23)," ",AQ32*100000000/'Calc-Units'!$E$23)</f>
        <v xml:space="preserve"> </v>
      </c>
      <c r="AY32" s="2" t="str">
        <f>IF(ISERROR(AR32*100000000/'Calc-Units'!$D$23)," ",AR32*100000000/'Calc-Units'!$D$23)</f>
        <v xml:space="preserve"> </v>
      </c>
      <c r="AZ32" s="2" t="str">
        <f>IF(ISERROR(AS32*100000000/'Calc-Units'!$C$23)," ",AS32*100000000/'Calc-Units'!$C$23)</f>
        <v xml:space="preserve"> </v>
      </c>
      <c r="BA32" s="2" t="str">
        <f>IF(ISERROR(AT32*100000000/'Calc-Units'!$C$23)," ",AT32*100000000/'Calc-Units'!$C$23)</f>
        <v xml:space="preserve"> </v>
      </c>
    </row>
    <row r="33" spans="3:53">
      <c r="C33" s="2" t="s">
        <v>535</v>
      </c>
      <c r="D33" s="2">
        <f>'RRP 1.3'!AD$12</f>
        <v>0.1</v>
      </c>
      <c r="E33" s="2">
        <v>0</v>
      </c>
      <c r="F33" s="2">
        <v>0</v>
      </c>
      <c r="G33" s="2">
        <v>0</v>
      </c>
      <c r="H33" s="2">
        <v>0</v>
      </c>
      <c r="I33" s="2">
        <f t="shared" si="5"/>
        <v>0.1</v>
      </c>
      <c r="K33" s="2" t="s">
        <v>854</v>
      </c>
      <c r="L33" s="2" t="str">
        <f>IF(ISERROR(VLOOKUP($K33,'Calc-Drivers'!$B$17:$G$27,L$43,FALSE))," ",VLOOKUP($K33,'Calc-Drivers'!$B$17:$G$27,L$43,FALSE))</f>
        <v xml:space="preserve"> </v>
      </c>
      <c r="M33" s="2" t="str">
        <f>IF(ISERROR(VLOOKUP($K33,'Calc-Drivers'!$B$17:$G$27,M$43,FALSE))," ",VLOOKUP($K33,'Calc-Drivers'!$B$17:$G$27,M$43,FALSE))</f>
        <v xml:space="preserve"> </v>
      </c>
      <c r="N33" s="2" t="str">
        <f>IF(ISERROR(VLOOKUP($K33,'Calc-Drivers'!$B$17:$G$27,N$43,FALSE))," ",VLOOKUP($K33,'Calc-Drivers'!$B$17:$G$27,N$43,FALSE))</f>
        <v xml:space="preserve"> </v>
      </c>
      <c r="O33" s="2" t="str">
        <f>IF(ISERROR(VLOOKUP($K33,'Calc-Drivers'!$B$17:$G$27,O$43,FALSE))," ",VLOOKUP($K33,'Calc-Drivers'!$B$17:$G$27,O$43,FALSE))</f>
        <v xml:space="preserve"> </v>
      </c>
      <c r="P33" s="2" t="str">
        <f>IF(ISERROR(VLOOKUP($K33,'Calc-Drivers'!$B$17:$G$27,P$43,FALSE))," ",VLOOKUP($K33,'Calc-Drivers'!$B$17:$G$27,P$43,FALSE))</f>
        <v xml:space="preserve"> </v>
      </c>
      <c r="S33" s="2" t="str">
        <f t="shared" si="0"/>
        <v xml:space="preserve"> </v>
      </c>
      <c r="T33" s="2" t="str">
        <f t="shared" si="0"/>
        <v xml:space="preserve"> </v>
      </c>
      <c r="U33" s="2" t="str">
        <f t="shared" si="0"/>
        <v xml:space="preserve"> </v>
      </c>
      <c r="V33" s="2" t="str">
        <f t="shared" si="0"/>
        <v xml:space="preserve"> </v>
      </c>
      <c r="W33" s="2" t="str">
        <f t="shared" si="0"/>
        <v xml:space="preserve"> </v>
      </c>
      <c r="Z33" s="2" t="str">
        <f t="shared" si="1"/>
        <v xml:space="preserve"> </v>
      </c>
      <c r="AA33" s="2" t="str">
        <f t="shared" si="1"/>
        <v xml:space="preserve"> </v>
      </c>
      <c r="AB33" s="2" t="str">
        <f t="shared" si="1"/>
        <v xml:space="preserve"> </v>
      </c>
      <c r="AC33" s="2" t="str">
        <f t="shared" si="2"/>
        <v xml:space="preserve"> </v>
      </c>
      <c r="AD33" s="2" t="str">
        <f t="shared" si="2"/>
        <v xml:space="preserve"> </v>
      </c>
      <c r="AG33" s="2" t="str">
        <f>IF(ISERROR(Z33*100000000/'Calc-Units'!$E$23)," ",Z33*100000000/'Calc-Units'!$E$23)</f>
        <v xml:space="preserve"> </v>
      </c>
      <c r="AH33" s="2" t="str">
        <f>IF(ISERROR(AA33*100000000/'Calc-Units'!$D$23)," ",AA33*100000000/'Calc-Units'!$D$23)</f>
        <v xml:space="preserve"> </v>
      </c>
      <c r="AI33" s="2" t="str">
        <f>IF(ISERROR(AB33*100000000/'Calc-Units'!$C$23)," ",AB33*100000000/'Calc-Units'!$C$23)</f>
        <v xml:space="preserve"> </v>
      </c>
      <c r="AJ33" s="2" t="str">
        <f>IF(ISERROR(AC33*100000000/'Calc-Units'!$C$23)," ",AC33*100000000/'Calc-Units'!$C$23)</f>
        <v xml:space="preserve"> </v>
      </c>
      <c r="AL33" s="2">
        <v>0</v>
      </c>
      <c r="AM33" s="2">
        <f t="shared" si="3"/>
        <v>0</v>
      </c>
      <c r="AN33" s="2">
        <f t="shared" si="4"/>
        <v>0.1</v>
      </c>
      <c r="AQ33" s="2" t="str">
        <f t="shared" si="6"/>
        <v xml:space="preserve"> </v>
      </c>
      <c r="AR33" s="2" t="str">
        <f t="shared" si="6"/>
        <v xml:space="preserve"> </v>
      </c>
      <c r="AS33" s="2" t="str">
        <f t="shared" si="6"/>
        <v xml:space="preserve"> </v>
      </c>
      <c r="AT33" s="2" t="str">
        <f t="shared" si="6"/>
        <v xml:space="preserve"> </v>
      </c>
      <c r="AU33" s="2" t="str">
        <f t="shared" si="6"/>
        <v xml:space="preserve"> </v>
      </c>
      <c r="AX33" s="2" t="str">
        <f>IF(ISERROR(AQ33*100000000/'Calc-Units'!$E$23)," ",AQ33*100000000/'Calc-Units'!$E$23)</f>
        <v xml:space="preserve"> </v>
      </c>
      <c r="AY33" s="2" t="str">
        <f>IF(ISERROR(AR33*100000000/'Calc-Units'!$D$23)," ",AR33*100000000/'Calc-Units'!$D$23)</f>
        <v xml:space="preserve"> </v>
      </c>
      <c r="AZ33" s="2" t="str">
        <f>IF(ISERROR(AS33*100000000/'Calc-Units'!$C$23)," ",AS33*100000000/'Calc-Units'!$C$23)</f>
        <v xml:space="preserve"> </v>
      </c>
      <c r="BA33" s="2" t="str">
        <f>IF(ISERROR(AT33*100000000/'Calc-Units'!$C$23)," ",AT33*100000000/'Calc-Units'!$C$23)</f>
        <v xml:space="preserve"> </v>
      </c>
    </row>
    <row r="34" spans="3:53">
      <c r="C34" s="2" t="s">
        <v>536</v>
      </c>
      <c r="D34" s="2">
        <f>'RRP 1.3'!AE$12</f>
        <v>-2.7755575615628914E-17</v>
      </c>
      <c r="E34" s="2">
        <v>0</v>
      </c>
      <c r="F34" s="2">
        <v>0</v>
      </c>
      <c r="G34" s="2">
        <v>0</v>
      </c>
      <c r="H34" s="2">
        <v>0</v>
      </c>
      <c r="I34" s="2">
        <f t="shared" si="5"/>
        <v>-2.7755575615628914E-17</v>
      </c>
      <c r="K34" s="2" t="s">
        <v>854</v>
      </c>
      <c r="L34" s="2" t="str">
        <f>IF(ISERROR(VLOOKUP($K34,'Calc-Drivers'!$B$17:$G$27,L$43,FALSE))," ",VLOOKUP($K34,'Calc-Drivers'!$B$17:$G$27,L$43,FALSE))</f>
        <v xml:space="preserve"> </v>
      </c>
      <c r="M34" s="2" t="str">
        <f>IF(ISERROR(VLOOKUP($K34,'Calc-Drivers'!$B$17:$G$27,M$43,FALSE))," ",VLOOKUP($K34,'Calc-Drivers'!$B$17:$G$27,M$43,FALSE))</f>
        <v xml:space="preserve"> </v>
      </c>
      <c r="N34" s="2" t="str">
        <f>IF(ISERROR(VLOOKUP($K34,'Calc-Drivers'!$B$17:$G$27,N$43,FALSE))," ",VLOOKUP($K34,'Calc-Drivers'!$B$17:$G$27,N$43,FALSE))</f>
        <v xml:space="preserve"> </v>
      </c>
      <c r="O34" s="2" t="str">
        <f>IF(ISERROR(VLOOKUP($K34,'Calc-Drivers'!$B$17:$G$27,O$43,FALSE))," ",VLOOKUP($K34,'Calc-Drivers'!$B$17:$G$27,O$43,FALSE))</f>
        <v xml:space="preserve"> </v>
      </c>
      <c r="P34" s="2" t="str">
        <f>IF(ISERROR(VLOOKUP($K34,'Calc-Drivers'!$B$17:$G$27,P$43,FALSE))," ",VLOOKUP($K34,'Calc-Drivers'!$B$17:$G$27,P$43,FALSE))</f>
        <v xml:space="preserve"> </v>
      </c>
      <c r="S34" s="2" t="str">
        <f t="shared" si="0"/>
        <v xml:space="preserve"> </v>
      </c>
      <c r="T34" s="2" t="str">
        <f t="shared" si="0"/>
        <v xml:space="preserve"> </v>
      </c>
      <c r="U34" s="2" t="str">
        <f t="shared" si="0"/>
        <v xml:space="preserve"> </v>
      </c>
      <c r="V34" s="2" t="str">
        <f t="shared" si="0"/>
        <v xml:space="preserve"> </v>
      </c>
      <c r="W34" s="2" t="str">
        <f t="shared" si="0"/>
        <v xml:space="preserve"> </v>
      </c>
      <c r="Z34" s="2" t="str">
        <f t="shared" si="1"/>
        <v xml:space="preserve"> </v>
      </c>
      <c r="AA34" s="2" t="str">
        <f t="shared" si="1"/>
        <v xml:space="preserve"> </v>
      </c>
      <c r="AB34" s="2" t="str">
        <f t="shared" si="1"/>
        <v xml:space="preserve"> </v>
      </c>
      <c r="AC34" s="2" t="str">
        <f t="shared" si="2"/>
        <v xml:space="preserve"> </v>
      </c>
      <c r="AD34" s="2" t="str">
        <f t="shared" si="2"/>
        <v xml:space="preserve"> </v>
      </c>
      <c r="AG34" s="2" t="str">
        <f>IF(ISERROR(Z34*100000000/'Calc-Units'!$E$23)," ",Z34*100000000/'Calc-Units'!$E$23)</f>
        <v xml:space="preserve"> </v>
      </c>
      <c r="AH34" s="2" t="str">
        <f>IF(ISERROR(AA34*100000000/'Calc-Units'!$D$23)," ",AA34*100000000/'Calc-Units'!$D$23)</f>
        <v xml:space="preserve"> </v>
      </c>
      <c r="AI34" s="2" t="str">
        <f>IF(ISERROR(AB34*100000000/'Calc-Units'!$C$23)," ",AB34*100000000/'Calc-Units'!$C$23)</f>
        <v xml:space="preserve"> </v>
      </c>
      <c r="AJ34" s="2" t="str">
        <f>IF(ISERROR(AC34*100000000/'Calc-Units'!$C$23)," ",AC34*100000000/'Calc-Units'!$C$23)</f>
        <v xml:space="preserve"> </v>
      </c>
      <c r="AL34" s="2">
        <v>0</v>
      </c>
      <c r="AM34" s="2">
        <f t="shared" si="3"/>
        <v>0</v>
      </c>
      <c r="AN34" s="2">
        <f t="shared" si="4"/>
        <v>-2.7755575615628914E-17</v>
      </c>
      <c r="AQ34" s="2" t="str">
        <f t="shared" si="6"/>
        <v xml:space="preserve"> </v>
      </c>
      <c r="AR34" s="2" t="str">
        <f t="shared" si="6"/>
        <v xml:space="preserve"> </v>
      </c>
      <c r="AS34" s="2" t="str">
        <f t="shared" si="6"/>
        <v xml:space="preserve"> </v>
      </c>
      <c r="AT34" s="2" t="str">
        <f t="shared" si="6"/>
        <v xml:space="preserve"> </v>
      </c>
      <c r="AU34" s="2" t="str">
        <f t="shared" si="6"/>
        <v xml:space="preserve"> </v>
      </c>
      <c r="AX34" s="2" t="str">
        <f>IF(ISERROR(AQ34*100000000/'Calc-Units'!$E$23)," ",AQ34*100000000/'Calc-Units'!$E$23)</f>
        <v xml:space="preserve"> </v>
      </c>
      <c r="AY34" s="2" t="str">
        <f>IF(ISERROR(AR34*100000000/'Calc-Units'!$D$23)," ",AR34*100000000/'Calc-Units'!$D$23)</f>
        <v xml:space="preserve"> </v>
      </c>
      <c r="AZ34" s="2" t="str">
        <f>IF(ISERROR(AS34*100000000/'Calc-Units'!$C$23)," ",AS34*100000000/'Calc-Units'!$C$23)</f>
        <v xml:space="preserve"> </v>
      </c>
      <c r="BA34" s="2" t="str">
        <f>IF(ISERROR(AT34*100000000/'Calc-Units'!$C$23)," ",AT34*100000000/'Calc-Units'!$C$23)</f>
        <v xml:space="preserve"> </v>
      </c>
    </row>
    <row r="35" spans="3:53">
      <c r="C35" s="2" t="s">
        <v>537</v>
      </c>
      <c r="D35" s="2">
        <f>'RRP 1.3'!AF$12</f>
        <v>25.3</v>
      </c>
      <c r="E35" s="2">
        <v>0</v>
      </c>
      <c r="F35" s="2">
        <v>0</v>
      </c>
      <c r="G35" s="2">
        <v>0</v>
      </c>
      <c r="H35" s="2">
        <v>0</v>
      </c>
      <c r="I35" s="2">
        <f t="shared" si="5"/>
        <v>25.3</v>
      </c>
      <c r="K35" s="2" t="s">
        <v>854</v>
      </c>
      <c r="L35" s="2" t="str">
        <f>IF(ISERROR(VLOOKUP($K35,'Calc-Drivers'!$B$17:$G$27,L$43,FALSE))," ",VLOOKUP($K35,'Calc-Drivers'!$B$17:$G$27,L$43,FALSE))</f>
        <v xml:space="preserve"> </v>
      </c>
      <c r="M35" s="2" t="str">
        <f>IF(ISERROR(VLOOKUP($K35,'Calc-Drivers'!$B$17:$G$27,M$43,FALSE))," ",VLOOKUP($K35,'Calc-Drivers'!$B$17:$G$27,M$43,FALSE))</f>
        <v xml:space="preserve"> </v>
      </c>
      <c r="N35" s="2" t="str">
        <f>IF(ISERROR(VLOOKUP($K35,'Calc-Drivers'!$B$17:$G$27,N$43,FALSE))," ",VLOOKUP($K35,'Calc-Drivers'!$B$17:$G$27,N$43,FALSE))</f>
        <v xml:space="preserve"> </v>
      </c>
      <c r="O35" s="2" t="str">
        <f>IF(ISERROR(VLOOKUP($K35,'Calc-Drivers'!$B$17:$G$27,O$43,FALSE))," ",VLOOKUP($K35,'Calc-Drivers'!$B$17:$G$27,O$43,FALSE))</f>
        <v xml:space="preserve"> </v>
      </c>
      <c r="P35" s="2" t="str">
        <f>IF(ISERROR(VLOOKUP($K35,'Calc-Drivers'!$B$17:$G$27,P$43,FALSE))," ",VLOOKUP($K35,'Calc-Drivers'!$B$17:$G$27,P$43,FALSE))</f>
        <v xml:space="preserve"> </v>
      </c>
      <c r="S35" s="2" t="str">
        <f t="shared" si="0"/>
        <v xml:space="preserve"> </v>
      </c>
      <c r="T35" s="2" t="str">
        <f t="shared" si="0"/>
        <v xml:space="preserve"> </v>
      </c>
      <c r="U35" s="2" t="str">
        <f t="shared" si="0"/>
        <v xml:space="preserve"> </v>
      </c>
      <c r="V35" s="2" t="str">
        <f t="shared" si="0"/>
        <v xml:space="preserve"> </v>
      </c>
      <c r="W35" s="2" t="str">
        <f t="shared" si="0"/>
        <v xml:space="preserve"> </v>
      </c>
      <c r="Z35" s="2" t="str">
        <f t="shared" si="1"/>
        <v xml:space="preserve"> </v>
      </c>
      <c r="AA35" s="2" t="str">
        <f t="shared" si="1"/>
        <v xml:space="preserve"> </v>
      </c>
      <c r="AB35" s="2" t="str">
        <f t="shared" si="1"/>
        <v xml:space="preserve"> </v>
      </c>
      <c r="AC35" s="2" t="str">
        <f t="shared" si="2"/>
        <v xml:space="preserve"> </v>
      </c>
      <c r="AD35" s="2" t="str">
        <f t="shared" si="2"/>
        <v xml:space="preserve"> </v>
      </c>
      <c r="AG35" s="2" t="str">
        <f>IF(ISERROR(Z35*100000000/'Calc-Units'!$E$23)," ",Z35*100000000/'Calc-Units'!$E$23)</f>
        <v xml:space="preserve"> </v>
      </c>
      <c r="AH35" s="2" t="str">
        <f>IF(ISERROR(AA35*100000000/'Calc-Units'!$D$23)," ",AA35*100000000/'Calc-Units'!$D$23)</f>
        <v xml:space="preserve"> </v>
      </c>
      <c r="AI35" s="2" t="str">
        <f>IF(ISERROR(AB35*100000000/'Calc-Units'!$C$23)," ",AB35*100000000/'Calc-Units'!$C$23)</f>
        <v xml:space="preserve"> </v>
      </c>
      <c r="AJ35" s="2" t="str">
        <f>IF(ISERROR(AC35*100000000/'Calc-Units'!$C$23)," ",AC35*100000000/'Calc-Units'!$C$23)</f>
        <v xml:space="preserve"> </v>
      </c>
      <c r="AL35" s="2">
        <v>0</v>
      </c>
      <c r="AM35" s="2">
        <f t="shared" si="3"/>
        <v>0</v>
      </c>
      <c r="AN35" s="2">
        <f t="shared" si="4"/>
        <v>25.3</v>
      </c>
      <c r="AQ35" s="2" t="str">
        <f t="shared" si="6"/>
        <v xml:space="preserve"> </v>
      </c>
      <c r="AR35" s="2" t="str">
        <f t="shared" si="6"/>
        <v xml:space="preserve"> </v>
      </c>
      <c r="AS35" s="2" t="str">
        <f t="shared" si="6"/>
        <v xml:space="preserve"> </v>
      </c>
      <c r="AT35" s="2" t="str">
        <f t="shared" si="6"/>
        <v xml:space="preserve"> </v>
      </c>
      <c r="AU35" s="2" t="str">
        <f t="shared" si="6"/>
        <v xml:space="preserve"> </v>
      </c>
      <c r="AX35" s="2" t="str">
        <f>IF(ISERROR(AQ35*100000000/'Calc-Units'!$E$23)," ",AQ35*100000000/'Calc-Units'!$E$23)</f>
        <v xml:space="preserve"> </v>
      </c>
      <c r="AY35" s="2" t="str">
        <f>IF(ISERROR(AR35*100000000/'Calc-Units'!$D$23)," ",AR35*100000000/'Calc-Units'!$D$23)</f>
        <v xml:space="preserve"> </v>
      </c>
      <c r="AZ35" s="2" t="str">
        <f>IF(ISERROR(AS35*100000000/'Calc-Units'!$C$23)," ",AS35*100000000/'Calc-Units'!$C$23)</f>
        <v xml:space="preserve"> </v>
      </c>
      <c r="BA35" s="2" t="str">
        <f>IF(ISERROR(AT35*100000000/'Calc-Units'!$C$23)," ",AT35*100000000/'Calc-Units'!$C$23)</f>
        <v xml:space="preserve"> </v>
      </c>
    </row>
    <row r="36" spans="3:53">
      <c r="C36" s="2" t="s">
        <v>538</v>
      </c>
      <c r="D36" s="2">
        <f>'RRP 1.3'!AG$12</f>
        <v>15.1</v>
      </c>
      <c r="E36" s="2">
        <v>0</v>
      </c>
      <c r="F36" s="2">
        <v>0</v>
      </c>
      <c r="G36" s="2">
        <v>0</v>
      </c>
      <c r="H36" s="2">
        <v>0</v>
      </c>
      <c r="I36" s="2">
        <f t="shared" si="5"/>
        <v>15.1</v>
      </c>
      <c r="K36" s="2" t="s">
        <v>854</v>
      </c>
      <c r="L36" s="2" t="str">
        <f>IF(ISERROR(VLOOKUP($K36,'Calc-Drivers'!$B$17:$G$27,L$43,FALSE))," ",VLOOKUP($K36,'Calc-Drivers'!$B$17:$G$27,L$43,FALSE))</f>
        <v xml:space="preserve"> </v>
      </c>
      <c r="M36" s="2" t="str">
        <f>IF(ISERROR(VLOOKUP($K36,'Calc-Drivers'!$B$17:$G$27,M$43,FALSE))," ",VLOOKUP($K36,'Calc-Drivers'!$B$17:$G$27,M$43,FALSE))</f>
        <v xml:space="preserve"> </v>
      </c>
      <c r="N36" s="2" t="str">
        <f>IF(ISERROR(VLOOKUP($K36,'Calc-Drivers'!$B$17:$G$27,N$43,FALSE))," ",VLOOKUP($K36,'Calc-Drivers'!$B$17:$G$27,N$43,FALSE))</f>
        <v xml:space="preserve"> </v>
      </c>
      <c r="O36" s="2" t="str">
        <f>IF(ISERROR(VLOOKUP($K36,'Calc-Drivers'!$B$17:$G$27,O$43,FALSE))," ",VLOOKUP($K36,'Calc-Drivers'!$B$17:$G$27,O$43,FALSE))</f>
        <v xml:space="preserve"> </v>
      </c>
      <c r="P36" s="2" t="str">
        <f>IF(ISERROR(VLOOKUP($K36,'Calc-Drivers'!$B$17:$G$27,P$43,FALSE))," ",VLOOKUP($K36,'Calc-Drivers'!$B$17:$G$27,P$43,FALSE))</f>
        <v xml:space="preserve"> </v>
      </c>
      <c r="S36" s="2" t="str">
        <f t="shared" si="0"/>
        <v xml:space="preserve"> </v>
      </c>
      <c r="T36" s="2" t="str">
        <f t="shared" si="0"/>
        <v xml:space="preserve"> </v>
      </c>
      <c r="U36" s="2" t="str">
        <f t="shared" si="0"/>
        <v xml:space="preserve"> </v>
      </c>
      <c r="V36" s="2" t="str">
        <f t="shared" si="0"/>
        <v xml:space="preserve"> </v>
      </c>
      <c r="W36" s="2" t="str">
        <f t="shared" si="0"/>
        <v xml:space="preserve"> </v>
      </c>
      <c r="Z36" s="2" t="str">
        <f t="shared" si="1"/>
        <v xml:space="preserve"> </v>
      </c>
      <c r="AA36" s="2" t="str">
        <f t="shared" si="1"/>
        <v xml:space="preserve"> </v>
      </c>
      <c r="AB36" s="2" t="str">
        <f t="shared" si="1"/>
        <v xml:space="preserve"> </v>
      </c>
      <c r="AC36" s="2" t="str">
        <f t="shared" si="2"/>
        <v xml:space="preserve"> </v>
      </c>
      <c r="AD36" s="2" t="str">
        <f t="shared" si="2"/>
        <v xml:space="preserve"> </v>
      </c>
      <c r="AG36" s="2" t="str">
        <f>IF(ISERROR(Z36*100000000/'Calc-Units'!$E$23)," ",Z36*100000000/'Calc-Units'!$E$23)</f>
        <v xml:space="preserve"> </v>
      </c>
      <c r="AH36" s="2" t="str">
        <f>IF(ISERROR(AA36*100000000/'Calc-Units'!$D$23)," ",AA36*100000000/'Calc-Units'!$D$23)</f>
        <v xml:space="preserve"> </v>
      </c>
      <c r="AI36" s="2" t="str">
        <f>IF(ISERROR(AB36*100000000/'Calc-Units'!$C$23)," ",AB36*100000000/'Calc-Units'!$C$23)</f>
        <v xml:space="preserve"> </v>
      </c>
      <c r="AJ36" s="2" t="str">
        <f>IF(ISERROR(AC36*100000000/'Calc-Units'!$C$23)," ",AC36*100000000/'Calc-Units'!$C$23)</f>
        <v xml:space="preserve"> </v>
      </c>
      <c r="AL36" s="2">
        <v>0</v>
      </c>
      <c r="AM36" s="2">
        <f t="shared" si="3"/>
        <v>0</v>
      </c>
      <c r="AN36" s="2">
        <f t="shared" si="4"/>
        <v>15.1</v>
      </c>
      <c r="AQ36" s="2" t="str">
        <f t="shared" si="6"/>
        <v xml:space="preserve"> </v>
      </c>
      <c r="AR36" s="2" t="str">
        <f t="shared" si="6"/>
        <v xml:space="preserve"> </v>
      </c>
      <c r="AS36" s="2" t="str">
        <f t="shared" si="6"/>
        <v xml:space="preserve"> </v>
      </c>
      <c r="AT36" s="2" t="str">
        <f t="shared" si="6"/>
        <v xml:space="preserve"> </v>
      </c>
      <c r="AU36" s="2" t="str">
        <f t="shared" si="6"/>
        <v xml:space="preserve"> </v>
      </c>
      <c r="AX36" s="2" t="str">
        <f>IF(ISERROR(AQ36*100000000/'Calc-Units'!$E$23)," ",AQ36*100000000/'Calc-Units'!$E$23)</f>
        <v xml:space="preserve"> </v>
      </c>
      <c r="AY36" s="2" t="str">
        <f>IF(ISERROR(AR36*100000000/'Calc-Units'!$D$23)," ",AR36*100000000/'Calc-Units'!$D$23)</f>
        <v xml:space="preserve"> </v>
      </c>
      <c r="AZ36" s="2" t="str">
        <f>IF(ISERROR(AS36*100000000/'Calc-Units'!$C$23)," ",AS36*100000000/'Calc-Units'!$C$23)</f>
        <v xml:space="preserve"> </v>
      </c>
      <c r="BA36" s="2" t="str">
        <f>IF(ISERROR(AT36*100000000/'Calc-Units'!$C$23)," ",AT36*100000000/'Calc-Units'!$C$23)</f>
        <v xml:space="preserve"> </v>
      </c>
    </row>
    <row r="37" spans="3:53">
      <c r="C37" s="2" t="s">
        <v>539</v>
      </c>
      <c r="D37" s="2">
        <f>'RRP 1.3'!AH$12</f>
        <v>4.2</v>
      </c>
      <c r="E37" s="2">
        <v>0</v>
      </c>
      <c r="F37" s="2">
        <v>0</v>
      </c>
      <c r="G37" s="2">
        <v>0</v>
      </c>
      <c r="H37" s="2">
        <v>0</v>
      </c>
      <c r="I37" s="2">
        <f t="shared" si="5"/>
        <v>4.2</v>
      </c>
      <c r="K37" s="2" t="s">
        <v>854</v>
      </c>
      <c r="L37" s="2" t="str">
        <f>IF(ISERROR(VLOOKUP($K37,'Calc-Drivers'!$B$17:$G$27,L$43,FALSE))," ",VLOOKUP($K37,'Calc-Drivers'!$B$17:$G$27,L$43,FALSE))</f>
        <v xml:space="preserve"> </v>
      </c>
      <c r="M37" s="2" t="str">
        <f>IF(ISERROR(VLOOKUP($K37,'Calc-Drivers'!$B$17:$G$27,M$43,FALSE))," ",VLOOKUP($K37,'Calc-Drivers'!$B$17:$G$27,M$43,FALSE))</f>
        <v xml:space="preserve"> </v>
      </c>
      <c r="N37" s="2" t="str">
        <f>IF(ISERROR(VLOOKUP($K37,'Calc-Drivers'!$B$17:$G$27,N$43,FALSE))," ",VLOOKUP($K37,'Calc-Drivers'!$B$17:$G$27,N$43,FALSE))</f>
        <v xml:space="preserve"> </v>
      </c>
      <c r="O37" s="2" t="str">
        <f>IF(ISERROR(VLOOKUP($K37,'Calc-Drivers'!$B$17:$G$27,O$43,FALSE))," ",VLOOKUP($K37,'Calc-Drivers'!$B$17:$G$27,O$43,FALSE))</f>
        <v xml:space="preserve"> </v>
      </c>
      <c r="P37" s="2" t="str">
        <f>IF(ISERROR(VLOOKUP($K37,'Calc-Drivers'!$B$17:$G$27,P$43,FALSE))," ",VLOOKUP($K37,'Calc-Drivers'!$B$17:$G$27,P$43,FALSE))</f>
        <v xml:space="preserve"> </v>
      </c>
      <c r="S37" s="2" t="str">
        <f t="shared" si="0"/>
        <v xml:space="preserve"> </v>
      </c>
      <c r="T37" s="2" t="str">
        <f t="shared" si="0"/>
        <v xml:space="preserve"> </v>
      </c>
      <c r="U37" s="2" t="str">
        <f t="shared" si="0"/>
        <v xml:space="preserve"> </v>
      </c>
      <c r="V37" s="2" t="str">
        <f t="shared" si="0"/>
        <v xml:space="preserve"> </v>
      </c>
      <c r="W37" s="2" t="str">
        <f t="shared" si="0"/>
        <v xml:space="preserve"> </v>
      </c>
      <c r="Z37" s="2" t="str">
        <f t="shared" si="1"/>
        <v xml:space="preserve"> </v>
      </c>
      <c r="AA37" s="2" t="str">
        <f t="shared" si="1"/>
        <v xml:space="preserve"> </v>
      </c>
      <c r="AB37" s="2" t="str">
        <f t="shared" si="1"/>
        <v xml:space="preserve"> </v>
      </c>
      <c r="AC37" s="2" t="str">
        <f t="shared" si="2"/>
        <v xml:space="preserve"> </v>
      </c>
      <c r="AD37" s="2" t="str">
        <f t="shared" si="2"/>
        <v xml:space="preserve"> </v>
      </c>
      <c r="AG37" s="2" t="str">
        <f>IF(ISERROR(Z37*100000000/'Calc-Units'!$E$23)," ",Z37*100000000/'Calc-Units'!$E$23)</f>
        <v xml:space="preserve"> </v>
      </c>
      <c r="AH37" s="2" t="str">
        <f>IF(ISERROR(AA37*100000000/'Calc-Units'!$D$23)," ",AA37*100000000/'Calc-Units'!$D$23)</f>
        <v xml:space="preserve"> </v>
      </c>
      <c r="AI37" s="2" t="str">
        <f>IF(ISERROR(AB37*100000000/'Calc-Units'!$C$23)," ",AB37*100000000/'Calc-Units'!$C$23)</f>
        <v xml:space="preserve"> </v>
      </c>
      <c r="AJ37" s="2" t="str">
        <f>IF(ISERROR(AC37*100000000/'Calc-Units'!$C$23)," ",AC37*100000000/'Calc-Units'!$C$23)</f>
        <v xml:space="preserve"> </v>
      </c>
      <c r="AL37" s="2">
        <v>0</v>
      </c>
      <c r="AM37" s="2">
        <f t="shared" si="3"/>
        <v>0</v>
      </c>
      <c r="AN37" s="2">
        <f t="shared" si="4"/>
        <v>4.2</v>
      </c>
      <c r="AQ37" s="2" t="str">
        <f t="shared" si="6"/>
        <v xml:space="preserve"> </v>
      </c>
      <c r="AR37" s="2" t="str">
        <f t="shared" si="6"/>
        <v xml:space="preserve"> </v>
      </c>
      <c r="AS37" s="2" t="str">
        <f t="shared" si="6"/>
        <v xml:space="preserve"> </v>
      </c>
      <c r="AT37" s="2" t="str">
        <f t="shared" si="6"/>
        <v xml:space="preserve"> </v>
      </c>
      <c r="AU37" s="2" t="str">
        <f t="shared" si="6"/>
        <v xml:space="preserve"> </v>
      </c>
      <c r="AX37" s="2" t="str">
        <f>IF(ISERROR(AQ37*100000000/'Calc-Units'!$E$23)," ",AQ37*100000000/'Calc-Units'!$E$23)</f>
        <v xml:space="preserve"> </v>
      </c>
      <c r="AY37" s="2" t="str">
        <f>IF(ISERROR(AR37*100000000/'Calc-Units'!$D$23)," ",AR37*100000000/'Calc-Units'!$D$23)</f>
        <v xml:space="preserve"> </v>
      </c>
      <c r="AZ37" s="2" t="str">
        <f>IF(ISERROR(AS37*100000000/'Calc-Units'!$C$23)," ",AS37*100000000/'Calc-Units'!$C$23)</f>
        <v xml:space="preserve"> </v>
      </c>
      <c r="BA37" s="2" t="str">
        <f>IF(ISERROR(AT37*100000000/'Calc-Units'!$C$23)," ",AT37*100000000/'Calc-Units'!$C$23)</f>
        <v xml:space="preserve"> </v>
      </c>
    </row>
    <row r="38" spans="3:53">
      <c r="C38" s="2" t="s">
        <v>540</v>
      </c>
      <c r="D38" s="2">
        <f>'RRP 1.3'!AI$12</f>
        <v>0</v>
      </c>
      <c r="E38" s="2">
        <v>0</v>
      </c>
      <c r="F38" s="2">
        <v>0</v>
      </c>
      <c r="G38" s="2">
        <v>0</v>
      </c>
      <c r="H38" s="2">
        <v>0</v>
      </c>
      <c r="I38" s="2">
        <f t="shared" si="5"/>
        <v>0</v>
      </c>
      <c r="K38" s="2" t="s">
        <v>854</v>
      </c>
      <c r="L38" s="2" t="str">
        <f>IF(ISERROR(VLOOKUP($K38,'Calc-Drivers'!$B$17:$G$27,L$43,FALSE))," ",VLOOKUP($K38,'Calc-Drivers'!$B$17:$G$27,L$43,FALSE))</f>
        <v xml:space="preserve"> </v>
      </c>
      <c r="M38" s="2" t="str">
        <f>IF(ISERROR(VLOOKUP($K38,'Calc-Drivers'!$B$17:$G$27,M$43,FALSE))," ",VLOOKUP($K38,'Calc-Drivers'!$B$17:$G$27,M$43,FALSE))</f>
        <v xml:space="preserve"> </v>
      </c>
      <c r="N38" s="2" t="str">
        <f>IF(ISERROR(VLOOKUP($K38,'Calc-Drivers'!$B$17:$G$27,N$43,FALSE))," ",VLOOKUP($K38,'Calc-Drivers'!$B$17:$G$27,N$43,FALSE))</f>
        <v xml:space="preserve"> </v>
      </c>
      <c r="O38" s="2" t="str">
        <f>IF(ISERROR(VLOOKUP($K38,'Calc-Drivers'!$B$17:$G$27,O$43,FALSE))," ",VLOOKUP($K38,'Calc-Drivers'!$B$17:$G$27,O$43,FALSE))</f>
        <v xml:space="preserve"> </v>
      </c>
      <c r="P38" s="2" t="str">
        <f>IF(ISERROR(VLOOKUP($K38,'Calc-Drivers'!$B$17:$G$27,P$43,FALSE))," ",VLOOKUP($K38,'Calc-Drivers'!$B$17:$G$27,P$43,FALSE))</f>
        <v xml:space="preserve"> </v>
      </c>
      <c r="S38" s="2" t="str">
        <f t="shared" si="0"/>
        <v xml:space="preserve"> </v>
      </c>
      <c r="T38" s="2" t="str">
        <f t="shared" si="0"/>
        <v xml:space="preserve"> </v>
      </c>
      <c r="U38" s="2" t="str">
        <f t="shared" si="0"/>
        <v xml:space="preserve"> </v>
      </c>
      <c r="V38" s="2" t="str">
        <f t="shared" si="0"/>
        <v xml:space="preserve"> </v>
      </c>
      <c r="W38" s="2" t="str">
        <f t="shared" si="0"/>
        <v xml:space="preserve"> </v>
      </c>
      <c r="Z38" s="2" t="str">
        <f t="shared" si="1"/>
        <v xml:space="preserve"> </v>
      </c>
      <c r="AA38" s="2" t="str">
        <f t="shared" si="1"/>
        <v xml:space="preserve"> </v>
      </c>
      <c r="AB38" s="2" t="str">
        <f t="shared" si="1"/>
        <v xml:space="preserve"> </v>
      </c>
      <c r="AC38" s="2" t="str">
        <f t="shared" si="2"/>
        <v xml:space="preserve"> </v>
      </c>
      <c r="AD38" s="2" t="str">
        <f t="shared" si="2"/>
        <v xml:space="preserve"> </v>
      </c>
      <c r="AG38" s="2" t="str">
        <f>IF(ISERROR(Z38*100000000/'Calc-Units'!$E$23)," ",Z38*100000000/'Calc-Units'!$E$23)</f>
        <v xml:space="preserve"> </v>
      </c>
      <c r="AH38" s="2" t="str">
        <f>IF(ISERROR(AA38*100000000/'Calc-Units'!$D$23)," ",AA38*100000000/'Calc-Units'!$D$23)</f>
        <v xml:space="preserve"> </v>
      </c>
      <c r="AI38" s="2" t="str">
        <f>IF(ISERROR(AB38*100000000/'Calc-Units'!$C$23)," ",AB38*100000000/'Calc-Units'!$C$23)</f>
        <v xml:space="preserve"> </v>
      </c>
      <c r="AJ38" s="2" t="str">
        <f>IF(ISERROR(AC38*100000000/'Calc-Units'!$C$23)," ",AC38*100000000/'Calc-Units'!$C$23)</f>
        <v xml:space="preserve"> </v>
      </c>
      <c r="AL38" s="2">
        <v>0</v>
      </c>
      <c r="AM38" s="2">
        <f t="shared" si="3"/>
        <v>0</v>
      </c>
      <c r="AN38" s="2">
        <f t="shared" si="4"/>
        <v>0</v>
      </c>
      <c r="AQ38" s="2" t="str">
        <f t="shared" si="6"/>
        <v xml:space="preserve"> </v>
      </c>
      <c r="AR38" s="2" t="str">
        <f t="shared" si="6"/>
        <v xml:space="preserve"> </v>
      </c>
      <c r="AS38" s="2" t="str">
        <f t="shared" si="6"/>
        <v xml:space="preserve"> </v>
      </c>
      <c r="AT38" s="2" t="str">
        <f t="shared" si="6"/>
        <v xml:space="preserve"> </v>
      </c>
      <c r="AU38" s="2" t="str">
        <f t="shared" si="6"/>
        <v xml:space="preserve"> </v>
      </c>
      <c r="AX38" s="2" t="str">
        <f>IF(ISERROR(AQ38*100000000/'Calc-Units'!$E$23)," ",AQ38*100000000/'Calc-Units'!$E$23)</f>
        <v xml:space="preserve"> </v>
      </c>
      <c r="AY38" s="2" t="str">
        <f>IF(ISERROR(AR38*100000000/'Calc-Units'!$D$23)," ",AR38*100000000/'Calc-Units'!$D$23)</f>
        <v xml:space="preserve"> </v>
      </c>
      <c r="AZ38" s="2" t="str">
        <f>IF(ISERROR(AS38*100000000/'Calc-Units'!$C$23)," ",AS38*100000000/'Calc-Units'!$C$23)</f>
        <v xml:space="preserve"> </v>
      </c>
      <c r="BA38" s="2" t="str">
        <f>IF(ISERROR(AT38*100000000/'Calc-Units'!$C$23)," ",AT38*100000000/'Calc-Units'!$C$23)</f>
        <v xml:space="preserve"> </v>
      </c>
    </row>
    <row r="39" spans="3:53">
      <c r="C39" s="2" t="s">
        <v>541</v>
      </c>
      <c r="D39" s="2">
        <f>'RRP 1.3'!AJ$12</f>
        <v>-2.9000000000000057</v>
      </c>
      <c r="E39" s="2">
        <v>0</v>
      </c>
      <c r="F39" s="2">
        <v>0</v>
      </c>
      <c r="G39" s="2">
        <v>0</v>
      </c>
      <c r="H39" s="2">
        <v>0</v>
      </c>
      <c r="I39" s="2">
        <f t="shared" si="5"/>
        <v>-2.9000000000000057</v>
      </c>
      <c r="K39" s="2" t="s">
        <v>854</v>
      </c>
      <c r="L39" s="2" t="str">
        <f>IF(ISERROR(VLOOKUP($K39,'Calc-Drivers'!$B$17:$G$27,L$43,FALSE))," ",VLOOKUP($K39,'Calc-Drivers'!$B$17:$G$27,L$43,FALSE))</f>
        <v xml:space="preserve"> </v>
      </c>
      <c r="M39" s="2" t="str">
        <f>IF(ISERROR(VLOOKUP($K39,'Calc-Drivers'!$B$17:$G$27,M$43,FALSE))," ",VLOOKUP($K39,'Calc-Drivers'!$B$17:$G$27,M$43,FALSE))</f>
        <v xml:space="preserve"> </v>
      </c>
      <c r="N39" s="2" t="str">
        <f>IF(ISERROR(VLOOKUP($K39,'Calc-Drivers'!$B$17:$G$27,N$43,FALSE))," ",VLOOKUP($K39,'Calc-Drivers'!$B$17:$G$27,N$43,FALSE))</f>
        <v xml:space="preserve"> </v>
      </c>
      <c r="O39" s="2" t="str">
        <f>IF(ISERROR(VLOOKUP($K39,'Calc-Drivers'!$B$17:$G$27,O$43,FALSE))," ",VLOOKUP($K39,'Calc-Drivers'!$B$17:$G$27,O$43,FALSE))</f>
        <v xml:space="preserve"> </v>
      </c>
      <c r="P39" s="2" t="str">
        <f>IF(ISERROR(VLOOKUP($K39,'Calc-Drivers'!$B$17:$G$27,P$43,FALSE))," ",VLOOKUP($K39,'Calc-Drivers'!$B$17:$G$27,P$43,FALSE))</f>
        <v xml:space="preserve"> </v>
      </c>
      <c r="S39" s="2" t="str">
        <f t="shared" si="0"/>
        <v xml:space="preserve"> </v>
      </c>
      <c r="T39" s="2" t="str">
        <f t="shared" si="0"/>
        <v xml:space="preserve"> </v>
      </c>
      <c r="U39" s="2" t="str">
        <f t="shared" si="0"/>
        <v xml:space="preserve"> </v>
      </c>
      <c r="V39" s="2" t="str">
        <f t="shared" si="0"/>
        <v xml:space="preserve"> </v>
      </c>
      <c r="W39" s="2" t="str">
        <f t="shared" si="0"/>
        <v xml:space="preserve"> </v>
      </c>
      <c r="Z39" s="2" t="str">
        <f t="shared" si="1"/>
        <v xml:space="preserve"> </v>
      </c>
      <c r="AA39" s="2" t="str">
        <f t="shared" si="1"/>
        <v xml:space="preserve"> </v>
      </c>
      <c r="AB39" s="2" t="str">
        <f t="shared" si="1"/>
        <v xml:space="preserve"> </v>
      </c>
      <c r="AC39" s="2" t="str">
        <f t="shared" si="2"/>
        <v xml:space="preserve"> </v>
      </c>
      <c r="AD39" s="2" t="str">
        <f t="shared" si="2"/>
        <v xml:space="preserve"> </v>
      </c>
      <c r="AG39" s="2" t="str">
        <f>IF(ISERROR(Z39*100000000/'Calc-Units'!$E$23)," ",Z39*100000000/'Calc-Units'!$E$23)</f>
        <v xml:space="preserve"> </v>
      </c>
      <c r="AH39" s="2" t="str">
        <f>IF(ISERROR(AA39*100000000/'Calc-Units'!$D$23)," ",AA39*100000000/'Calc-Units'!$D$23)</f>
        <v xml:space="preserve"> </v>
      </c>
      <c r="AI39" s="2" t="str">
        <f>IF(ISERROR(AB39*100000000/'Calc-Units'!$C$23)," ",AB39*100000000/'Calc-Units'!$C$23)</f>
        <v xml:space="preserve"> </v>
      </c>
      <c r="AJ39" s="2" t="str">
        <f>IF(ISERROR(AC39*100000000/'Calc-Units'!$C$23)," ",AC39*100000000/'Calc-Units'!$C$23)</f>
        <v xml:space="preserve"> </v>
      </c>
      <c r="AL39" s="2">
        <v>0</v>
      </c>
      <c r="AM39" s="2">
        <f t="shared" si="3"/>
        <v>0</v>
      </c>
      <c r="AN39" s="2">
        <f t="shared" si="4"/>
        <v>-2.9000000000000057</v>
      </c>
      <c r="AQ39" s="2" t="str">
        <f t="shared" si="6"/>
        <v xml:space="preserve"> </v>
      </c>
      <c r="AR39" s="2" t="str">
        <f t="shared" si="6"/>
        <v xml:space="preserve"> </v>
      </c>
      <c r="AS39" s="2" t="str">
        <f t="shared" si="6"/>
        <v xml:space="preserve"> </v>
      </c>
      <c r="AT39" s="2" t="str">
        <f t="shared" si="6"/>
        <v xml:space="preserve"> </v>
      </c>
      <c r="AU39" s="2" t="str">
        <f t="shared" si="6"/>
        <v xml:space="preserve"> </v>
      </c>
      <c r="AX39" s="2" t="str">
        <f>IF(ISERROR(AQ39*100000000/'Calc-Units'!$E$23)," ",AQ39*100000000/'Calc-Units'!$E$23)</f>
        <v xml:space="preserve"> </v>
      </c>
      <c r="AY39" s="2" t="str">
        <f>IF(ISERROR(AR39*100000000/'Calc-Units'!$D$23)," ",AR39*100000000/'Calc-Units'!$D$23)</f>
        <v xml:space="preserve"> </v>
      </c>
      <c r="AZ39" s="2" t="str">
        <f>IF(ISERROR(AS39*100000000/'Calc-Units'!$C$23)," ",AS39*100000000/'Calc-Units'!$C$23)</f>
        <v xml:space="preserve"> </v>
      </c>
      <c r="BA39" s="2" t="str">
        <f>IF(ISERROR(AT39*100000000/'Calc-Units'!$C$23)," ",AT39*100000000/'Calc-Units'!$C$23)</f>
        <v xml:space="preserve"> </v>
      </c>
    </row>
    <row r="40" spans="3:53">
      <c r="C40" s="2" t="s">
        <v>542</v>
      </c>
      <c r="D40" s="2">
        <f>SUM(D7:D39)</f>
        <v>162.69999999999999</v>
      </c>
      <c r="E40" s="2">
        <f>SUM(E7:E39)</f>
        <v>14.684777089160978</v>
      </c>
      <c r="F40" s="2">
        <f>SUM(F7:F39)</f>
        <v>20.583069336375058</v>
      </c>
      <c r="G40" s="2">
        <f>SUM(G7:G39)</f>
        <v>6</v>
      </c>
      <c r="H40" s="2">
        <f>SUM(H7:H39)</f>
        <v>12.575518117056667</v>
      </c>
      <c r="I40" s="2">
        <f t="shared" si="5"/>
        <v>108.85663545740729</v>
      </c>
      <c r="R40" s="2" t="s">
        <v>200</v>
      </c>
      <c r="S40" s="2">
        <f>SUM(S7:S39)</f>
        <v>7.6431165286597826</v>
      </c>
      <c r="T40" s="2">
        <f>SUM(T7:T39)</f>
        <v>9.6394432319902954</v>
      </c>
      <c r="U40" s="2">
        <f>SUM(U7:U39)</f>
        <v>2.3591840690974473</v>
      </c>
      <c r="V40" s="2">
        <f>SUM(V7:V39)</f>
        <v>9.4337694568241517</v>
      </c>
      <c r="Y40" s="2" t="s">
        <v>856</v>
      </c>
      <c r="Z40" s="2">
        <f>SUM(Z41:AD41)</f>
        <v>88.484999999999999</v>
      </c>
      <c r="AF40" s="2" t="s">
        <v>856</v>
      </c>
      <c r="AG40" s="2">
        <f>SUM(AG41:AJ41)</f>
        <v>0.8503707801614504</v>
      </c>
      <c r="AL40" s="2" t="s">
        <v>200</v>
      </c>
      <c r="AM40" s="2">
        <f>SUM(AM7:AM39)</f>
        <v>65.418729999999982</v>
      </c>
      <c r="AN40" s="2">
        <f>SUM(AN7:AN39)</f>
        <v>97.281269999999992</v>
      </c>
      <c r="AP40" s="2" t="s">
        <v>856</v>
      </c>
      <c r="AQ40" s="2">
        <f>SUM(AQ41:AU41)</f>
        <v>30.691800000000004</v>
      </c>
      <c r="AW40" s="2" t="s">
        <v>856</v>
      </c>
      <c r="AX40" s="2">
        <f>SUM(AX41:BA41)</f>
        <v>0.29130538387227439</v>
      </c>
    </row>
    <row r="41" spans="3:53" ht="20.25" customHeight="1">
      <c r="Y41" s="2" t="s">
        <v>857</v>
      </c>
      <c r="Z41" s="2">
        <f>SUM(Z7:Z39)</f>
        <v>22.327893617820752</v>
      </c>
      <c r="AA41" s="2">
        <f>SUM(AA7:AA39)</f>
        <v>30.22251256836536</v>
      </c>
      <c r="AB41" s="2">
        <f>SUM(AB7:AB39)</f>
        <v>8.3591840690974468</v>
      </c>
      <c r="AC41" s="2">
        <f>SUM(AC7:AC39)</f>
        <v>17.342795845899268</v>
      </c>
      <c r="AD41" s="2">
        <f>SUM(AD7:AD39)</f>
        <v>10.232613898817178</v>
      </c>
      <c r="AF41" s="2" t="s">
        <v>857</v>
      </c>
      <c r="AG41" s="2">
        <f>SUM(AG7:AG39)</f>
        <v>0.17982201689911906</v>
      </c>
      <c r="AH41" s="2">
        <f>SUM(AH7:AH39)</f>
        <v>0.3143784107855252</v>
      </c>
      <c r="AI41" s="2">
        <f>SUM(AI7:AI39)</f>
        <v>0.11583907333814912</v>
      </c>
      <c r="AJ41" s="2">
        <f>SUM(AJ7:AJ39)</f>
        <v>0.24033127913865698</v>
      </c>
      <c r="AP41" s="2" t="s">
        <v>857</v>
      </c>
      <c r="AQ41" s="2">
        <f>SUM(AQ7:AQ39)</f>
        <v>6.5420992909898397</v>
      </c>
      <c r="AR41" s="2">
        <f>SUM(AR7:AR39)</f>
        <v>8.8715233828476858</v>
      </c>
      <c r="AS41" s="2">
        <f>SUM(AS7:AS39)</f>
        <v>2.5628461239557625</v>
      </c>
      <c r="AT41" s="2">
        <f>SUM(AT7:AT39)</f>
        <v>7.9969579851888284</v>
      </c>
      <c r="AU41" s="2">
        <f>SUM(AU7:AU39)</f>
        <v>4.7183732170178887</v>
      </c>
      <c r="AW41" s="2" t="s">
        <v>857</v>
      </c>
      <c r="AX41" s="2">
        <f>SUM(AX7:AX39)</f>
        <v>5.2688064059976912E-2</v>
      </c>
      <c r="AY41" s="2">
        <f>SUM(AY7:AY39)</f>
        <v>9.2282711969673054E-2</v>
      </c>
      <c r="AZ41" s="2">
        <f>SUM(AZ7:AZ39)</f>
        <v>3.5515155265549388E-2</v>
      </c>
      <c r="BA41" s="2">
        <f>SUM(BA7:BA39)</f>
        <v>0.11081945257707505</v>
      </c>
    </row>
    <row r="42" spans="3:53" ht="20.25" customHeight="1">
      <c r="Y42" s="2" t="s">
        <v>858</v>
      </c>
      <c r="Z42" s="2">
        <f>Z41/$Z$40</f>
        <v>0.25233535195593326</v>
      </c>
      <c r="AA42" s="2">
        <f>AA41/$Z$40</f>
        <v>0.34155520786986904</v>
      </c>
      <c r="AB42" s="2">
        <f>AB41/$Z$40</f>
        <v>9.4470069154065056E-2</v>
      </c>
      <c r="AC42" s="2">
        <f>AC41/$Z$40</f>
        <v>0.1959970147019186</v>
      </c>
      <c r="AD42" s="2">
        <f>AD41/$Z$40</f>
        <v>0.11564235631821414</v>
      </c>
      <c r="AF42" s="2" t="s">
        <v>858</v>
      </c>
      <c r="AG42" s="2">
        <f>AG41/$AG$40</f>
        <v>0.21146307127930508</v>
      </c>
      <c r="AH42" s="2">
        <f>AH41/$AG$40</f>
        <v>0.36969568818655513</v>
      </c>
      <c r="AI42" s="2">
        <f>AI41/$AG$40</f>
        <v>0.13622184115516769</v>
      </c>
      <c r="AJ42" s="2">
        <f>AJ41/$AG$40</f>
        <v>0.28261939937897201</v>
      </c>
      <c r="AP42" s="2" t="s">
        <v>858</v>
      </c>
      <c r="AQ42" s="2">
        <f>AQ41/$AQ$40</f>
        <v>0.213154630585037</v>
      </c>
      <c r="AR42" s="2">
        <f>AR41/$AQ$40</f>
        <v>0.28905190907172873</v>
      </c>
      <c r="AS42" s="2">
        <f>AS41/$AQ$40</f>
        <v>8.3502633405527285E-2</v>
      </c>
      <c r="AT42" s="2">
        <f>AT41/$AQ$40</f>
        <v>0.26055682577068884</v>
      </c>
      <c r="AU42" s="2">
        <f>AU41/$AQ$40</f>
        <v>0.15373400116701816</v>
      </c>
      <c r="AW42" s="2" t="s">
        <v>858</v>
      </c>
      <c r="AX42" s="2">
        <f>AX41/$AX$40</f>
        <v>0.18086883036490151</v>
      </c>
      <c r="AY42" s="2">
        <f>AY41/$AX$40</f>
        <v>0.31679027261004994</v>
      </c>
      <c r="AZ42" s="2">
        <f>AZ41/$AX$40</f>
        <v>0.12191726357217395</v>
      </c>
      <c r="BA42" s="2">
        <f>BA41/$AX$40</f>
        <v>0.38042363345287467</v>
      </c>
    </row>
    <row r="43" spans="3:53">
      <c r="K43" s="2" t="s">
        <v>859</v>
      </c>
      <c r="L43" s="2">
        <v>6</v>
      </c>
      <c r="M43" s="2">
        <v>5</v>
      </c>
      <c r="N43" s="2">
        <v>4</v>
      </c>
      <c r="O43" s="2">
        <v>3</v>
      </c>
      <c r="P43" s="2">
        <v>2</v>
      </c>
      <c r="AQ43" s="2" t="s">
        <v>860</v>
      </c>
    </row>
    <row r="45" spans="3:53">
      <c r="Y45" s="2" t="s">
        <v>861</v>
      </c>
    </row>
    <row r="47" spans="3:53">
      <c r="Y47" s="2" t="s">
        <v>862</v>
      </c>
      <c r="Z47" s="2">
        <f>SUMIF(Z7:Z12,"&gt;0",Z7:Z12)+SUMIF(Z28:Z39,"&gt;0",Z28:Z39)</f>
        <v>15.488245048694383</v>
      </c>
      <c r="AA47" s="2">
        <f>SUMIF(AA7:AA12,"&gt;0",AA7:AA12)+SUMIF(AA28:AA39,"&gt;0",AA28:AA39)</f>
        <v>21.596397310062706</v>
      </c>
      <c r="AB47" s="2">
        <f>SUMIF(AB7:AB12,"&gt;0",AB7:AB12)+SUMIF(AB28:AB39,"&gt;0",AB28:AB39)</f>
        <v>6.251979473266875</v>
      </c>
      <c r="AC47" s="2">
        <f>SUMIF(AC7:AC12,"&gt;0",AC7:AC12)+SUMIF(AC28:AC39,"&gt;0",AC28:AC39)</f>
        <v>8.9007333017933714</v>
      </c>
      <c r="AD47" s="2">
        <f>SUMIF(AD7:AD12,"&gt;0",AD7:AD12)+SUMIF(AD28:AD39,"&gt;0",AD28:AD39)</f>
        <v>5.2516196409664389</v>
      </c>
    </row>
    <row r="48" spans="3:53">
      <c r="Y48" s="2" t="s">
        <v>863</v>
      </c>
      <c r="Z48" s="2">
        <f>SUMIF(Z13:Z28,"&gt;0",Z13:Z28)</f>
        <v>6.839648569126374</v>
      </c>
      <c r="AA48" s="2">
        <f>SUMIF(AA13:AA28,"&gt;0",AA13:AA28)</f>
        <v>8.6261152583026508</v>
      </c>
      <c r="AB48" s="2">
        <f>SUMIF(AB13:AB28,"&gt;0",AB13:AB28)</f>
        <v>2.1111793706143493</v>
      </c>
      <c r="AC48" s="2">
        <f>SUMIF(AC13:AC28,"&gt;0",AC13:AC28)</f>
        <v>8.4420625441058927</v>
      </c>
      <c r="AD48" s="2">
        <f>SUMIF(AD13:AD28,"&gt;0",AD13:AD28)</f>
        <v>4.9809942578507371</v>
      </c>
    </row>
    <row r="49" spans="25:30">
      <c r="Y49" s="2" t="s">
        <v>864</v>
      </c>
      <c r="Z49" s="2">
        <f>Z47/(Z48+Z47)</f>
        <v>0.69367246699583951</v>
      </c>
      <c r="AA49" s="2">
        <f>AA47/(AA48+AA47)</f>
        <v>0.71457981070270715</v>
      </c>
      <c r="AB49" s="2">
        <f>AB47/(AB48+AB47)</f>
        <v>0.74756196671321606</v>
      </c>
      <c r="AC49" s="2">
        <f>AC47/(AC48+AC47)</f>
        <v>0.51322366825288823</v>
      </c>
      <c r="AD49" s="2">
        <f>AD47/(AD48+AD47)</f>
        <v>0.51322366825288812</v>
      </c>
    </row>
    <row r="50" spans="25:30">
      <c r="Y50" s="2" t="s">
        <v>865</v>
      </c>
      <c r="Z50" s="2">
        <f>Z48/(Z47+Z48)</f>
        <v>0.3063275330041606</v>
      </c>
      <c r="AA50" s="2">
        <f>AA48/(AA47+AA48)</f>
        <v>0.28542018929729279</v>
      </c>
      <c r="AB50" s="2">
        <f>AB48/(AB47+AB48)</f>
        <v>0.25243803328678383</v>
      </c>
      <c r="AC50" s="2">
        <f>AC48/(AC47+AC48)</f>
        <v>0.48677633174711182</v>
      </c>
      <c r="AD50" s="2">
        <f>AD48/(AD47+AD48)</f>
        <v>0.48677633174711182</v>
      </c>
    </row>
  </sheetData>
  <sheetProtection sheet="1" objects="1" scenarios="1"/>
  <phoneticPr fontId="1" type="noConversion"/>
  <pageMargins left="0.75" right="0.75" top="1" bottom="1" header="0.5" footer="0.5"/>
  <pageSetup paperSize="9" scale="1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FFFFC4"/>
    <pageSetUpPr fitToPage="1"/>
  </sheetPr>
  <dimension ref="A1:I27"/>
  <sheetViews>
    <sheetView showGridLines="0" workbookViewId="0">
      <selection sqref="A1:XFD1048576"/>
    </sheetView>
  </sheetViews>
  <sheetFormatPr defaultColWidth="8.85546875" defaultRowHeight="15"/>
  <cols>
    <col min="1" max="1" width="8.85546875" style="2" customWidth="1"/>
    <col min="2" max="2" width="19.42578125" style="2" customWidth="1"/>
    <col min="3" max="8" width="12.140625" style="2" customWidth="1"/>
    <col min="9" max="9" width="43" style="2" customWidth="1"/>
    <col min="10" max="10" width="9.28515625" style="2" bestFit="1" customWidth="1"/>
    <col min="11" max="16384" width="8.85546875" style="2"/>
  </cols>
  <sheetData>
    <row r="1" spans="1:9" ht="19.5">
      <c r="A1" s="4" t="str">
        <f>"Calc-Drivers for Method M ("&amp;'Calc-Net capex'!B5&amp;") for "&amp;Inputs!B6&amp;" in "&amp;Inputs!C6&amp;"  Status: "&amp;Inputs!D6&amp;""</f>
        <v>Calc-Drivers for Method M (LR1) for South Wales in April 2017  Status: Finals</v>
      </c>
    </row>
    <row r="4" spans="1:9" ht="14.25" customHeight="1"/>
    <row r="5" spans="1:9" ht="14.25" customHeight="1"/>
    <row r="6" spans="1:9" ht="14.25" customHeight="1"/>
    <row r="7" spans="1:9" ht="14.25" customHeight="1"/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4" spans="1:9">
      <c r="A14" s="2" t="s">
        <v>866</v>
      </c>
    </row>
    <row r="16" spans="1:9">
      <c r="B16" s="2" t="s">
        <v>867</v>
      </c>
      <c r="C16" s="2" t="s">
        <v>850</v>
      </c>
      <c r="D16" s="2" t="s">
        <v>442</v>
      </c>
      <c r="E16" s="2" t="s">
        <v>526</v>
      </c>
      <c r="F16" s="2" t="s">
        <v>223</v>
      </c>
      <c r="G16" s="2" t="s">
        <v>403</v>
      </c>
      <c r="H16" s="2" t="s">
        <v>200</v>
      </c>
      <c r="I16" s="2" t="s">
        <v>868</v>
      </c>
    </row>
    <row r="17" spans="2:9" ht="15" customHeight="1">
      <c r="B17" s="2" t="s">
        <v>869</v>
      </c>
      <c r="C17" s="2">
        <f>'Calc-Net capex'!H6*SUM('FBPQ NL1'!D10:M13)/SUM('FBPQ NL1'!D10:M16)</f>
        <v>7.6230774822599684E-2</v>
      </c>
      <c r="D17" s="2">
        <f>'Calc-Net capex'!H6*SUM('FBPQ NL1'!D14:M16)/SUM('FBPQ NL1'!D10:M16)</f>
        <v>0.10935856975767741</v>
      </c>
      <c r="E17" s="2">
        <f>'Calc-Net capex'!H7</f>
        <v>8.6838733515246375E-2</v>
      </c>
      <c r="F17" s="2">
        <f>'Calc-Net capex'!H8</f>
        <v>0.35034237125516859</v>
      </c>
      <c r="G17" s="2">
        <f>'Calc-Net capex'!H9+'Calc-Net capex'!H10</f>
        <v>0.37722955064930808</v>
      </c>
      <c r="I17" s="2" t="s">
        <v>870</v>
      </c>
    </row>
    <row r="18" spans="2:9" ht="15" customHeight="1">
      <c r="B18" s="2" t="s">
        <v>871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f t="shared" ref="H18:H27" si="0">SUM(C18:G18)</f>
        <v>1</v>
      </c>
      <c r="I18" s="2" t="s">
        <v>872</v>
      </c>
    </row>
    <row r="19" spans="2:9" ht="15" customHeight="1">
      <c r="B19" s="2" t="s">
        <v>873</v>
      </c>
      <c r="D19" s="2">
        <f>'RRP 5.1'!$G$64/'RRP 5.1'!$G$65</f>
        <v>0.40074253917647679</v>
      </c>
      <c r="E19" s="2">
        <v>0</v>
      </c>
      <c r="F19" s="2">
        <f>'RRP 5.1'!$G$63/'RRP 5.1'!$G$65</f>
        <v>0.50561680405020537</v>
      </c>
      <c r="G19" s="2">
        <f>('RRP 5.1'!$G$61+'RRP 5.1'!$G$62)/'RRP 5.1'!$G$65</f>
        <v>9.3640656773317954E-2</v>
      </c>
      <c r="H19" s="2">
        <f t="shared" si="0"/>
        <v>1</v>
      </c>
      <c r="I19" s="2" t="s">
        <v>874</v>
      </c>
    </row>
    <row r="20" spans="2:9" ht="15" customHeight="1">
      <c r="B20" s="2" t="s">
        <v>875</v>
      </c>
      <c r="D20" s="2">
        <f>0/'RRP 5.1'!$G$73</f>
        <v>0</v>
      </c>
      <c r="E20" s="2">
        <v>0</v>
      </c>
      <c r="F20" s="2">
        <f>('RRP 5.1'!$G$71+'RRP 5.1'!$G$72)/'RRP 5.1'!$G$73</f>
        <v>0.99313034725717164</v>
      </c>
      <c r="G20" s="2">
        <f>('RRP 5.1'!$G$68+'RRP 5.1'!$G$69+'RRP 5.1'!$G$70)/'RRP 5.1'!$G$73</f>
        <v>6.8696527428283843E-3</v>
      </c>
      <c r="H20" s="2">
        <f t="shared" si="0"/>
        <v>1</v>
      </c>
      <c r="I20" s="2" t="s">
        <v>874</v>
      </c>
    </row>
    <row r="21" spans="2:9" ht="15" customHeight="1">
      <c r="B21" s="2" t="s">
        <v>539</v>
      </c>
      <c r="D21" s="2">
        <v>0</v>
      </c>
      <c r="E21" s="2">
        <v>0</v>
      </c>
      <c r="F21" s="2">
        <v>0</v>
      </c>
      <c r="G21" s="2">
        <v>1</v>
      </c>
      <c r="H21" s="2">
        <f t="shared" si="0"/>
        <v>1</v>
      </c>
      <c r="I21" s="2" t="s">
        <v>872</v>
      </c>
    </row>
    <row r="22" spans="2:9" ht="15" customHeight="1">
      <c r="B22" s="2" t="s">
        <v>852</v>
      </c>
      <c r="C22" s="2">
        <f>'Calc-MEAV'!H6*(('Data-MEAV'!I21+'Data-MEAV'!I30)/'Calc-MEAV'!G6)</f>
        <v>0.16067723412421731</v>
      </c>
      <c r="D22" s="2">
        <f>'Calc-MEAV'!H6*(('Calc-MEAV'!G6-'Data-MEAV'!I21-'Data-MEAV'!I30)/'Calc-MEAV'!G6)</f>
        <v>0.27232459819696431</v>
      </c>
      <c r="E22" s="2">
        <f>'Calc-MEAV'!H7</f>
        <v>6.8102560342398366E-2</v>
      </c>
      <c r="F22" s="2">
        <f>'Calc-MEAV'!H8</f>
        <v>0.27826178252589195</v>
      </c>
      <c r="G22" s="2">
        <f>'Calc-MEAV'!H9+'Calc-MEAV'!H10</f>
        <v>0.22063382481052818</v>
      </c>
      <c r="H22" s="2">
        <f t="shared" si="0"/>
        <v>1</v>
      </c>
      <c r="I22" s="2" t="s">
        <v>876</v>
      </c>
    </row>
    <row r="23" spans="2:9" ht="15" customHeight="1"/>
    <row r="24" spans="2:9" ht="15" customHeight="1"/>
    <row r="25" spans="2:9" ht="15" customHeight="1">
      <c r="B25" s="2" t="s">
        <v>877</v>
      </c>
      <c r="D25" s="2">
        <v>0</v>
      </c>
      <c r="E25" s="2">
        <v>0</v>
      </c>
      <c r="F25" s="2">
        <v>0</v>
      </c>
      <c r="G25" s="2">
        <v>1</v>
      </c>
      <c r="H25" s="2">
        <f t="shared" si="0"/>
        <v>1</v>
      </c>
      <c r="I25" s="2" t="s">
        <v>872</v>
      </c>
    </row>
    <row r="26" spans="2:9" ht="15" customHeight="1">
      <c r="B26" s="2" t="s">
        <v>878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1</v>
      </c>
      <c r="I26" s="2" t="s">
        <v>872</v>
      </c>
    </row>
    <row r="27" spans="2:9" ht="15" customHeight="1">
      <c r="B27" s="2" t="s">
        <v>879</v>
      </c>
      <c r="D27" s="2">
        <v>0</v>
      </c>
      <c r="E27" s="2">
        <v>0</v>
      </c>
      <c r="F27" s="2">
        <v>1</v>
      </c>
      <c r="G27" s="2">
        <v>0</v>
      </c>
      <c r="H27" s="2">
        <f t="shared" si="0"/>
        <v>1</v>
      </c>
      <c r="I27" s="2" t="s">
        <v>872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C4"/>
    <pageSetUpPr fitToPage="1"/>
  </sheetPr>
  <dimension ref="A1:S83"/>
  <sheetViews>
    <sheetView showGridLines="0" topLeftCell="F1" workbookViewId="0">
      <selection activeCell="O30" sqref="O30"/>
    </sheetView>
  </sheetViews>
  <sheetFormatPr defaultColWidth="8.85546875" defaultRowHeight="15"/>
  <cols>
    <col min="1" max="1" width="8.85546875" style="2" customWidth="1"/>
    <col min="2" max="2" width="32" style="2" customWidth="1"/>
    <col min="3" max="3" width="8.85546875" style="2" customWidth="1"/>
    <col min="4" max="4" width="18.7109375" style="2" customWidth="1"/>
    <col min="5" max="8" width="8.85546875" style="2" customWidth="1"/>
    <col min="9" max="9" width="12" style="2" customWidth="1"/>
    <col min="10" max="10" width="9.7109375" style="2" customWidth="1"/>
    <col min="11" max="11" width="8.85546875" style="2" customWidth="1"/>
    <col min="12" max="12" width="12.85546875" style="2" customWidth="1"/>
    <col min="13" max="13" width="14.85546875" style="2" customWidth="1"/>
    <col min="14" max="15" width="12.85546875" style="2" customWidth="1"/>
    <col min="16" max="16" width="9.28515625" style="2" bestFit="1" customWidth="1"/>
    <col min="17" max="17" width="8.85546875" style="2" customWidth="1"/>
    <col min="18" max="18" width="9.28515625" style="2" bestFit="1" customWidth="1"/>
    <col min="19" max="19" width="10.42578125" style="2" bestFit="1" customWidth="1"/>
    <col min="20" max="40" width="8.85546875" style="2" customWidth="1"/>
    <col min="41" max="44" width="10.28515625" style="2" bestFit="1" customWidth="1"/>
    <col min="45" max="45" width="9.42578125" style="2" bestFit="1" customWidth="1"/>
    <col min="46" max="16384" width="8.85546875" style="2"/>
  </cols>
  <sheetData>
    <row r="1" spans="1:19" ht="19.5">
      <c r="A1" s="4" t="str">
        <f>"Calc-Allocation for Method M ("&amp;'Calc-Net capex'!B5&amp;") for "&amp;Inputs!B6&amp;" in "&amp;Inputs!C6&amp;"  Status: "&amp;Inputs!D6&amp;""</f>
        <v>Calc-Allocation for Method M (LR1) for South Wales in April 2017  Status: Finals</v>
      </c>
    </row>
    <row r="3" spans="1:19">
      <c r="A3" s="2" t="s">
        <v>880</v>
      </c>
    </row>
    <row r="6" spans="1:19">
      <c r="B6" s="2" t="s">
        <v>881</v>
      </c>
      <c r="L6" s="2" t="s">
        <v>882</v>
      </c>
    </row>
    <row r="8" spans="1:19">
      <c r="D8" s="2" t="s">
        <v>79</v>
      </c>
      <c r="E8" s="2" t="s">
        <v>80</v>
      </c>
      <c r="G8" s="2" t="s">
        <v>81</v>
      </c>
      <c r="H8" s="2" t="s">
        <v>82</v>
      </c>
      <c r="I8" s="2" t="s">
        <v>44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44</v>
      </c>
    </row>
    <row r="9" spans="1:19">
      <c r="L9" s="2" t="s">
        <v>46</v>
      </c>
      <c r="O9" s="2">
        <f>'Allowed revenue -DPCR4'!D3</f>
        <v>573.6</v>
      </c>
      <c r="P9" s="2">
        <f>'Allowed revenue -DPCR4'!E3</f>
        <v>577.79999999999995</v>
      </c>
      <c r="Q9" s="2">
        <f>'Allowed revenue -DPCR4'!F3</f>
        <v>579.29999999999995</v>
      </c>
      <c r="R9" s="2">
        <f>'Allowed revenue -DPCR4'!G3</f>
        <v>578.4</v>
      </c>
      <c r="S9" s="2">
        <f>'Allowed revenue -DPCR4'!H3</f>
        <v>575</v>
      </c>
    </row>
    <row r="10" spans="1:19">
      <c r="B10" s="2" t="s">
        <v>883</v>
      </c>
      <c r="D10" s="2">
        <f>O35</f>
        <v>140.70458227880613</v>
      </c>
      <c r="E10" s="2">
        <f>P35</f>
        <v>142.53374184843059</v>
      </c>
      <c r="G10" s="2">
        <f>Q35</f>
        <v>144.36290141805509</v>
      </c>
      <c r="H10" s="2">
        <f>R35</f>
        <v>145.91065182312195</v>
      </c>
      <c r="I10" s="2">
        <f>S35</f>
        <v>147.73981139274645</v>
      </c>
      <c r="L10" s="2" t="s">
        <v>48</v>
      </c>
      <c r="O10" s="2">
        <f>'Allowed revenue -DPCR4'!D4</f>
        <v>49.9</v>
      </c>
      <c r="P10" s="2">
        <f>'Allowed revenue -DPCR4'!E4</f>
        <v>49.7</v>
      </c>
      <c r="Q10" s="2">
        <f>'Allowed revenue -DPCR4'!F4</f>
        <v>49.7</v>
      </c>
      <c r="R10" s="2">
        <f>'Allowed revenue -DPCR4'!G4</f>
        <v>49.7</v>
      </c>
      <c r="S10" s="2">
        <f>'Allowed revenue -DPCR4'!H4</f>
        <v>49.7</v>
      </c>
    </row>
    <row r="11" spans="1:19">
      <c r="L11" s="2" t="s">
        <v>49</v>
      </c>
      <c r="O11" s="2">
        <f>'Allowed revenue -DPCR4'!D5</f>
        <v>-45.7</v>
      </c>
      <c r="P11" s="2">
        <f>'Allowed revenue -DPCR4'!E5</f>
        <v>-48.2</v>
      </c>
      <c r="Q11" s="2">
        <f>'Allowed revenue -DPCR4'!F5</f>
        <v>-50.6</v>
      </c>
      <c r="R11" s="2">
        <f>'Allowed revenue -DPCR4'!G5</f>
        <v>-53.1</v>
      </c>
      <c r="S11" s="2">
        <f>'Allowed revenue -DPCR4'!H5</f>
        <v>-55.6</v>
      </c>
    </row>
    <row r="12" spans="1:19">
      <c r="B12" s="2" t="s">
        <v>884</v>
      </c>
      <c r="D12" s="2">
        <f>O16+(1-0.577)*O18</f>
        <v>47.230000000000004</v>
      </c>
      <c r="E12" s="2">
        <f>P16+(1-0.577)*P18</f>
        <v>48.6877</v>
      </c>
      <c r="G12" s="2">
        <f>Q16+(1-0.577)*Q18</f>
        <v>49.4146</v>
      </c>
      <c r="H12" s="2">
        <f>R16+(1-0.577)*R18</f>
        <v>49.099200000000003</v>
      </c>
      <c r="I12" s="2">
        <f>S16+(1-0.577)*S18</f>
        <v>48.741499999999995</v>
      </c>
      <c r="L12" s="2" t="s">
        <v>50</v>
      </c>
      <c r="O12" s="2">
        <f>'Allowed revenue -DPCR4'!D6</f>
        <v>577.79999999999995</v>
      </c>
      <c r="P12" s="2">
        <f>'Allowed revenue -DPCR4'!E6</f>
        <v>579.29999999999995</v>
      </c>
      <c r="Q12" s="2">
        <f>'Allowed revenue -DPCR4'!F6</f>
        <v>578.4</v>
      </c>
      <c r="R12" s="2">
        <f>'Allowed revenue -DPCR4'!G6</f>
        <v>575</v>
      </c>
      <c r="S12" s="2">
        <f>'Allowed revenue -DPCR4'!H6</f>
        <v>569.1</v>
      </c>
    </row>
    <row r="13" spans="1:19">
      <c r="B13" s="2" t="s">
        <v>885</v>
      </c>
      <c r="D13" s="2">
        <f>O22</f>
        <v>1.6</v>
      </c>
      <c r="E13" s="2">
        <f>P22</f>
        <v>1.6</v>
      </c>
      <c r="F13" s="2">
        <f>Q22</f>
        <v>1.6</v>
      </c>
      <c r="G13" s="2">
        <f>Q22</f>
        <v>1.6</v>
      </c>
      <c r="H13" s="2">
        <f>R22</f>
        <v>1.3</v>
      </c>
      <c r="I13" s="2">
        <f>S22</f>
        <v>1.3</v>
      </c>
      <c r="L13" s="2" t="s">
        <v>886</v>
      </c>
      <c r="O13" s="2">
        <f>'Allowed revenue -DPCR4'!D7</f>
        <v>0</v>
      </c>
      <c r="Q13" s="2" t="str">
        <f>'Allowed revenue -DPCR4'!F7</f>
        <v xml:space="preserve"> </v>
      </c>
      <c r="S13" s="2">
        <f>'Allowed revenue -DPCR4'!H7</f>
        <v>434.51048876277451</v>
      </c>
    </row>
    <row r="14" spans="1:19">
      <c r="B14" s="2" t="s">
        <v>62</v>
      </c>
      <c r="D14" s="2">
        <f>O23</f>
        <v>0.9</v>
      </c>
      <c r="L14" s="2" t="s">
        <v>65</v>
      </c>
      <c r="P14" s="2" t="str">
        <f>'Allowed revenue -DPCR4'!E8</f>
        <v xml:space="preserve"> </v>
      </c>
      <c r="S14" s="2">
        <f>'Allowed revenue -DPCR4'!H8</f>
        <v>139.08951123722551</v>
      </c>
    </row>
    <row r="15" spans="1:19">
      <c r="B15" s="2" t="s">
        <v>887</v>
      </c>
      <c r="D15" s="2">
        <f>SUM(D12:D14)</f>
        <v>49.730000000000004</v>
      </c>
      <c r="E15" s="2">
        <f>SUM(E12:E14)</f>
        <v>50.287700000000001</v>
      </c>
      <c r="G15" s="2">
        <f>SUM(G12:G14)</f>
        <v>51.014600000000002</v>
      </c>
      <c r="H15" s="2">
        <f>SUM(H12:H14)</f>
        <v>50.3992</v>
      </c>
      <c r="I15" s="2">
        <f>SUM(I12:I14)</f>
        <v>50.041499999999992</v>
      </c>
    </row>
    <row r="16" spans="1:19">
      <c r="L16" s="2" t="s">
        <v>888</v>
      </c>
      <c r="O16" s="2">
        <f>'Allowed revenue -DPCR4'!D10</f>
        <v>43</v>
      </c>
      <c r="P16" s="2">
        <f>'Allowed revenue -DPCR4'!E10</f>
        <v>44.5</v>
      </c>
      <c r="Q16" s="2">
        <f>'Allowed revenue -DPCR4'!F10</f>
        <v>45.1</v>
      </c>
      <c r="R16" s="2">
        <f>'Allowed revenue -DPCR4'!G10</f>
        <v>44.7</v>
      </c>
      <c r="S16" s="2">
        <f>'Allowed revenue -DPCR4'!H10</f>
        <v>44.3</v>
      </c>
    </row>
    <row r="17" spans="2:19">
      <c r="B17" s="2" t="s">
        <v>889</v>
      </c>
      <c r="L17" s="2" t="s">
        <v>890</v>
      </c>
      <c r="O17" s="2">
        <f>'Allowed revenue -DPCR4'!D11</f>
        <v>44.1</v>
      </c>
      <c r="P17" s="2">
        <f>'Allowed revenue -DPCR4'!E11</f>
        <v>44</v>
      </c>
      <c r="Q17" s="2">
        <f>'Allowed revenue -DPCR4'!F11</f>
        <v>43.8</v>
      </c>
      <c r="R17" s="2">
        <f>'Allowed revenue -DPCR4'!G11</f>
        <v>43.7</v>
      </c>
      <c r="S17" s="2">
        <f>'Allowed revenue -DPCR4'!H11</f>
        <v>43.6</v>
      </c>
    </row>
    <row r="18" spans="2:19">
      <c r="B18" s="2" t="s">
        <v>49</v>
      </c>
      <c r="D18" s="2">
        <f>-O11</f>
        <v>45.7</v>
      </c>
      <c r="E18" s="2">
        <f>-P11</f>
        <v>48.2</v>
      </c>
      <c r="G18" s="2">
        <f>-Q11</f>
        <v>50.6</v>
      </c>
      <c r="H18" s="2">
        <f>-R11</f>
        <v>53.1</v>
      </c>
      <c r="I18" s="2">
        <f>-S11</f>
        <v>55.6</v>
      </c>
      <c r="L18" s="2" t="s">
        <v>891</v>
      </c>
      <c r="O18" s="2">
        <f>'Allowed revenue -DPCR4'!D12</f>
        <v>10</v>
      </c>
      <c r="P18" s="2">
        <f>'Allowed revenue -DPCR4'!E12</f>
        <v>9.9</v>
      </c>
      <c r="Q18" s="2">
        <f>'Allowed revenue -DPCR4'!F12</f>
        <v>10.199999999999999</v>
      </c>
      <c r="R18" s="2">
        <f>'Allowed revenue -DPCR4'!G12</f>
        <v>10.4</v>
      </c>
      <c r="S18" s="2">
        <f>'Allowed revenue -DPCR4'!H12</f>
        <v>10.5</v>
      </c>
    </row>
    <row r="19" spans="2:19">
      <c r="B19" s="2" t="s">
        <v>57</v>
      </c>
      <c r="D19" s="2">
        <f t="shared" ref="D19:E21" si="0">O19</f>
        <v>13.1</v>
      </c>
      <c r="E19" s="2">
        <f t="shared" si="0"/>
        <v>14.2</v>
      </c>
      <c r="G19" s="2">
        <f t="shared" ref="G19:I21" si="1">Q19</f>
        <v>15</v>
      </c>
      <c r="H19" s="2">
        <f t="shared" si="1"/>
        <v>15.9</v>
      </c>
      <c r="I19" s="2">
        <f t="shared" si="1"/>
        <v>16.7</v>
      </c>
      <c r="L19" s="2" t="s">
        <v>57</v>
      </c>
      <c r="O19" s="2">
        <f>'Allowed revenue -DPCR4'!D13</f>
        <v>13.1</v>
      </c>
      <c r="P19" s="2">
        <f>'Allowed revenue -DPCR4'!E13</f>
        <v>14.2</v>
      </c>
      <c r="Q19" s="2">
        <f>'Allowed revenue -DPCR4'!F13</f>
        <v>15</v>
      </c>
      <c r="R19" s="2">
        <f>'Allowed revenue -DPCR4'!G13</f>
        <v>15.9</v>
      </c>
      <c r="S19" s="2">
        <f>'Allowed revenue -DPCR4'!H13</f>
        <v>16.7</v>
      </c>
    </row>
    <row r="20" spans="2:19">
      <c r="B20" s="2" t="s">
        <v>892</v>
      </c>
      <c r="D20" s="2">
        <f t="shared" si="0"/>
        <v>-1.7</v>
      </c>
      <c r="E20" s="2">
        <f t="shared" si="0"/>
        <v>-1.1000000000000001</v>
      </c>
      <c r="G20" s="2">
        <f t="shared" si="1"/>
        <v>-0.9</v>
      </c>
      <c r="H20" s="2">
        <f t="shared" si="1"/>
        <v>-0.3</v>
      </c>
      <c r="I20" s="2">
        <f t="shared" si="1"/>
        <v>-0.1</v>
      </c>
      <c r="L20" s="2" t="s">
        <v>893</v>
      </c>
      <c r="O20" s="2">
        <f>'Allowed revenue -DPCR4'!D14</f>
        <v>-1.7</v>
      </c>
      <c r="P20" s="2">
        <f>'Allowed revenue -DPCR4'!E14</f>
        <v>-1.1000000000000001</v>
      </c>
      <c r="Q20" s="2">
        <f>'Allowed revenue -DPCR4'!F14</f>
        <v>-0.9</v>
      </c>
      <c r="R20" s="2">
        <f>'Allowed revenue -DPCR4'!G14</f>
        <v>-0.3</v>
      </c>
      <c r="S20" s="2">
        <f>'Allowed revenue -DPCR4'!H14</f>
        <v>-0.1</v>
      </c>
    </row>
    <row r="21" spans="2:19">
      <c r="B21" s="2" t="s">
        <v>894</v>
      </c>
      <c r="D21" s="2">
        <f t="shared" si="0"/>
        <v>1.2</v>
      </c>
      <c r="E21" s="2">
        <f t="shared" si="0"/>
        <v>1.2</v>
      </c>
      <c r="G21" s="2">
        <f t="shared" si="1"/>
        <v>1.2</v>
      </c>
      <c r="H21" s="2">
        <f t="shared" si="1"/>
        <v>1.2</v>
      </c>
      <c r="I21" s="2">
        <f t="shared" si="1"/>
        <v>1.1000000000000001</v>
      </c>
      <c r="L21" s="2" t="s">
        <v>895</v>
      </c>
      <c r="O21" s="2">
        <f>'Allowed revenue -DPCR4'!D15</f>
        <v>1.2</v>
      </c>
      <c r="P21" s="2">
        <f>'Allowed revenue -DPCR4'!E15</f>
        <v>1.2</v>
      </c>
      <c r="Q21" s="2">
        <f>'Allowed revenue -DPCR4'!F15</f>
        <v>1.2</v>
      </c>
      <c r="R21" s="2">
        <f>'Allowed revenue -DPCR4'!G15</f>
        <v>1.2</v>
      </c>
      <c r="S21" s="2">
        <f>'Allowed revenue -DPCR4'!H15</f>
        <v>1.1000000000000001</v>
      </c>
    </row>
    <row r="22" spans="2:19">
      <c r="B22" s="2" t="s">
        <v>896</v>
      </c>
      <c r="D22" s="2">
        <f>D10-D15-D18-D19-D20-D21</f>
        <v>32.67458227880612</v>
      </c>
      <c r="E22" s="2">
        <f>E10-E15-E18-E19-E20-E21</f>
        <v>29.746041848430593</v>
      </c>
      <c r="G22" s="2">
        <f>G10-G15-G18-G19-G20-G21</f>
        <v>27.448301418055085</v>
      </c>
      <c r="H22" s="2">
        <f>H10-H15-H18-H19-H20-H21</f>
        <v>25.611451823121946</v>
      </c>
      <c r="I22" s="2">
        <f>I10-I15-I18-I19-I20-I21</f>
        <v>24.398311392746461</v>
      </c>
      <c r="L22" s="2" t="s">
        <v>897</v>
      </c>
      <c r="O22" s="2">
        <f>IF(ISNUMBER('Allowed revenue -DPCR4'!D16+'Allowed revenue -DPCR4'!D17),'Allowed revenue -DPCR4'!D16+'Allowed revenue -DPCR4'!D17,"")</f>
        <v>1.6</v>
      </c>
      <c r="P22" s="2">
        <f>IF(ISNUMBER('Allowed revenue -DPCR4'!E16+'Allowed revenue -DPCR4'!E17),'Allowed revenue -DPCR4'!E16+'Allowed revenue -DPCR4'!E17,"")</f>
        <v>1.6</v>
      </c>
      <c r="Q22" s="2">
        <f>IF(ISNUMBER('Allowed revenue -DPCR4'!F16+'Allowed revenue -DPCR4'!F17),'Allowed revenue -DPCR4'!F16+'Allowed revenue -DPCR4'!F17,"")</f>
        <v>1.6</v>
      </c>
      <c r="R22" s="2">
        <f>IF(ISNUMBER('Allowed revenue -DPCR4'!G16+'Allowed revenue -DPCR4'!G17),'Allowed revenue -DPCR4'!G16+'Allowed revenue -DPCR4'!G17,"")</f>
        <v>1.3</v>
      </c>
      <c r="S22" s="2">
        <f>IF(ISNUMBER('Allowed revenue -DPCR4'!H16+'Allowed revenue -DPCR4'!H17),'Allowed revenue -DPCR4'!H16+'Allowed revenue -DPCR4'!H17,"")</f>
        <v>1.3</v>
      </c>
    </row>
    <row r="23" spans="2:19">
      <c r="B23" s="2" t="s">
        <v>898</v>
      </c>
      <c r="D23" s="2">
        <f>SUM(D18:D22)</f>
        <v>90.974582278806125</v>
      </c>
      <c r="E23" s="2">
        <f>SUM(E18:E22)</f>
        <v>92.246041848430593</v>
      </c>
      <c r="G23" s="2">
        <f>SUM(G18:G22)</f>
        <v>93.348301418055073</v>
      </c>
      <c r="H23" s="2">
        <f>SUM(H18:H22)</f>
        <v>95.511451823121945</v>
      </c>
      <c r="I23" s="2">
        <f>SUM(I18:I22)</f>
        <v>97.698311392746461</v>
      </c>
      <c r="L23" s="2" t="s">
        <v>62</v>
      </c>
      <c r="O23" s="2">
        <f>'Allowed revenue -DPCR4'!D18</f>
        <v>0.9</v>
      </c>
      <c r="P23" s="2">
        <f>'Allowed revenue -DPCR4'!E18</f>
        <v>0</v>
      </c>
      <c r="Q23" s="2">
        <f>'Allowed revenue -DPCR4'!F18</f>
        <v>0</v>
      </c>
      <c r="R23" s="2">
        <f>'Allowed revenue -DPCR4'!G18</f>
        <v>0</v>
      </c>
      <c r="S23" s="2">
        <f>'Allowed revenue -DPCR4'!H18</f>
        <v>0</v>
      </c>
    </row>
    <row r="24" spans="2:19">
      <c r="B24" s="2" t="s">
        <v>899</v>
      </c>
      <c r="D24" s="2">
        <f>D23-D18</f>
        <v>45.274582278806122</v>
      </c>
      <c r="E24" s="2">
        <f>E23-E18</f>
        <v>44.04604184843059</v>
      </c>
      <c r="G24" s="2">
        <f>G23-G18</f>
        <v>42.748301418055071</v>
      </c>
      <c r="H24" s="2">
        <f>H23-H18</f>
        <v>42.411451823121944</v>
      </c>
      <c r="I24" s="2">
        <f>I23-I18</f>
        <v>42.09831139274646</v>
      </c>
      <c r="L24" s="2" t="s">
        <v>63</v>
      </c>
      <c r="O24" s="2">
        <f>'Allowed revenue -DPCR4'!D19</f>
        <v>112.2</v>
      </c>
      <c r="P24" s="2">
        <f>'Allowed revenue -DPCR4'!E19</f>
        <v>114.3</v>
      </c>
      <c r="Q24" s="2">
        <f>'Allowed revenue -DPCR4'!F19</f>
        <v>116</v>
      </c>
      <c r="R24" s="2">
        <f>'Allowed revenue -DPCR4'!G19</f>
        <v>116.9</v>
      </c>
      <c r="S24" s="2">
        <f>'Allowed revenue -DPCR4'!H19</f>
        <v>117.4</v>
      </c>
    </row>
    <row r="25" spans="2:19">
      <c r="L25" s="2" t="s">
        <v>900</v>
      </c>
      <c r="O25" s="2">
        <f>'Allowed revenue -DPCR4'!D20</f>
        <v>109.21292148782669</v>
      </c>
      <c r="P25" s="2">
        <f>'Allowed revenue -DPCR4'!E20</f>
        <v>105.41192249868327</v>
      </c>
      <c r="Q25" s="2">
        <f>'Allowed revenue -DPCR4'!F20</f>
        <v>101.35935275953834</v>
      </c>
      <c r="R25" s="2">
        <f>'Allowed revenue -DPCR4'!G20</f>
        <v>96.779346753468715</v>
      </c>
      <c r="S25" s="2">
        <f>'Allowed revenue -DPCR4'!H20</f>
        <v>92.087060022660708</v>
      </c>
    </row>
    <row r="26" spans="2:19">
      <c r="B26" s="2" t="s">
        <v>901</v>
      </c>
      <c r="L26" s="2" t="s">
        <v>65</v>
      </c>
      <c r="S26" s="2">
        <f>'Allowed revenue -DPCR4'!H21</f>
        <v>139.08951123722551</v>
      </c>
    </row>
    <row r="27" spans="2:19">
      <c r="L27" s="2" t="s">
        <v>902</v>
      </c>
      <c r="S27" s="2">
        <f>'Allowed revenue -DPCR4'!H22</f>
        <v>643.94011475940329</v>
      </c>
    </row>
    <row r="28" spans="2:19">
      <c r="B28" s="2" t="s">
        <v>849</v>
      </c>
      <c r="D28" s="2">
        <f>D15</f>
        <v>49.730000000000004</v>
      </c>
      <c r="E28" s="2">
        <f>E15</f>
        <v>50.287700000000001</v>
      </c>
      <c r="G28" s="2">
        <f>G15</f>
        <v>51.014600000000002</v>
      </c>
      <c r="H28" s="2">
        <f>H15</f>
        <v>50.3992</v>
      </c>
      <c r="I28" s="2">
        <f>I15</f>
        <v>50.041499999999992</v>
      </c>
    </row>
    <row r="29" spans="2:19">
      <c r="B29" s="2" t="s">
        <v>49</v>
      </c>
      <c r="D29" s="2">
        <f>D18</f>
        <v>45.7</v>
      </c>
      <c r="E29" s="2">
        <f>E18</f>
        <v>48.2</v>
      </c>
      <c r="G29" s="2">
        <f>G18</f>
        <v>50.6</v>
      </c>
      <c r="H29" s="2">
        <f>H18</f>
        <v>53.1</v>
      </c>
      <c r="I29" s="2">
        <f>I18</f>
        <v>55.6</v>
      </c>
      <c r="O29" s="2">
        <f>1/(1+Inputs!B17)</f>
        <v>0.94746316736936853</v>
      </c>
      <c r="P29" s="2">
        <f>O29/(1+Inputs!B17)</f>
        <v>0.89768645352159604</v>
      </c>
      <c r="Q29" s="2">
        <f>P29/(1+Inputs!B17)</f>
        <v>0.85052485055814675</v>
      </c>
      <c r="R29" s="2">
        <f>Q29/(1+Inputs!B17)</f>
        <v>0.8058409688361805</v>
      </c>
      <c r="S29" s="2">
        <f>R29/(1+Inputs!B17)</f>
        <v>0.76350463672952817</v>
      </c>
    </row>
    <row r="30" spans="2:19">
      <c r="B30" s="2" t="s">
        <v>896</v>
      </c>
      <c r="D30" s="2">
        <f>D22</f>
        <v>32.67458227880612</v>
      </c>
      <c r="E30" s="2">
        <f>E22</f>
        <v>29.746041848430593</v>
      </c>
      <c r="G30" s="2">
        <f>G22</f>
        <v>27.448301418055085</v>
      </c>
      <c r="H30" s="2">
        <f>H22</f>
        <v>25.611451823121946</v>
      </c>
      <c r="I30" s="2">
        <f>I22</f>
        <v>24.398311392746461</v>
      </c>
      <c r="O30" s="2">
        <v>1</v>
      </c>
      <c r="P30" s="2">
        <f>O29</f>
        <v>0.94746316736936853</v>
      </c>
      <c r="Q30" s="2">
        <f>P29</f>
        <v>0.89768645352159604</v>
      </c>
      <c r="R30" s="2">
        <f>Q29</f>
        <v>0.85052485055814675</v>
      </c>
      <c r="S30" s="2">
        <f>R29</f>
        <v>0.8058409688361805</v>
      </c>
    </row>
    <row r="31" spans="2:19">
      <c r="O31" s="2">
        <f>1/(1+Inputs!B17)^0.5</f>
        <v>0.97337719686120061</v>
      </c>
      <c r="P31" s="2">
        <f>1/(1+Inputs!B17)^1.5</f>
        <v>0.92223904198323059</v>
      </c>
      <c r="Q31" s="2">
        <f>1/(1+Inputs!B17)^2.5</f>
        <v>0.87378752378912361</v>
      </c>
      <c r="R31" s="2">
        <f>1/(1+Inputs!B17)^3.5</f>
        <v>0.82788149489708041</v>
      </c>
      <c r="S31" s="2">
        <f>1/(1+Inputs!B17)^4.5</f>
        <v>0.78438722336167555</v>
      </c>
    </row>
    <row r="33" spans="1:19">
      <c r="L33" s="2" t="s">
        <v>68</v>
      </c>
      <c r="O33" s="2">
        <f>'Allowed revenue -DPCR4'!D24</f>
        <v>1</v>
      </c>
      <c r="P33" s="2">
        <f>'Allowed revenue -DPCR4'!E24</f>
        <v>1.0129999999999999</v>
      </c>
      <c r="Q33" s="2">
        <f>'Allowed revenue -DPCR4'!F24</f>
        <v>1.026</v>
      </c>
      <c r="R33" s="2">
        <f>'Allowed revenue -DPCR4'!G24</f>
        <v>1.0369999999999999</v>
      </c>
      <c r="S33" s="2">
        <f>'Allowed revenue -DPCR4'!H24</f>
        <v>1.05</v>
      </c>
    </row>
    <row r="34" spans="1:19">
      <c r="L34" s="2" t="s">
        <v>69</v>
      </c>
      <c r="O34" s="2">
        <f>O33*O31</f>
        <v>0.97337719686120061</v>
      </c>
      <c r="P34" s="2">
        <f>P33*P31</f>
        <v>0.93422814952901245</v>
      </c>
      <c r="Q34" s="2">
        <f>Q33*Q31</f>
        <v>0.89650599940764086</v>
      </c>
      <c r="R34" s="2">
        <f>R33*R31</f>
        <v>0.85851311020827237</v>
      </c>
      <c r="S34" s="2">
        <f>S33*S31</f>
        <v>0.82360658452975932</v>
      </c>
    </row>
    <row r="35" spans="1:19">
      <c r="L35" s="2" t="s">
        <v>70</v>
      </c>
      <c r="O35" s="2">
        <f>($S$27-$N$41)/SUM($O$34:$U$34)*O33</f>
        <v>140.70458227880613</v>
      </c>
      <c r="P35" s="2">
        <f>($S$27-$N$41)/SUM($O$34:$U$34)*P33</f>
        <v>142.53374184843059</v>
      </c>
      <c r="Q35" s="2">
        <f>($S$27-$N$41)/SUM($O$34:$U$34)*Q33</f>
        <v>144.36290141805509</v>
      </c>
      <c r="R35" s="2">
        <f>($S$27-$N$41)/SUM($O$34:$U$34)*R33</f>
        <v>145.91065182312195</v>
      </c>
      <c r="S35" s="2">
        <f>($S$27-$N$41)/SUM($O$34:$U$34)*S33</f>
        <v>147.73981139274645</v>
      </c>
    </row>
    <row r="36" spans="1:19">
      <c r="L36" s="2" t="s">
        <v>903</v>
      </c>
      <c r="O36" s="2">
        <f>'Allowed revenue -DPCR4'!D27</f>
        <v>2.9</v>
      </c>
      <c r="P36" s="2">
        <f>'Allowed revenue -DPCR4'!E27</f>
        <v>2.9</v>
      </c>
      <c r="Q36" s="2">
        <f>'Allowed revenue -DPCR4'!F27</f>
        <v>2.9</v>
      </c>
      <c r="R36" s="2">
        <f>'Allowed revenue -DPCR4'!G27</f>
        <v>2.9</v>
      </c>
      <c r="S36" s="2">
        <f>'Allowed revenue -DPCR4'!H27</f>
        <v>2.9</v>
      </c>
    </row>
    <row r="37" spans="1:19">
      <c r="L37" s="2" t="s">
        <v>72</v>
      </c>
      <c r="O37" s="2">
        <f>O36+O35</f>
        <v>143.60458227880613</v>
      </c>
      <c r="P37" s="2">
        <f>P36+P35</f>
        <v>145.4337418484306</v>
      </c>
      <c r="Q37" s="2">
        <f>Q36+Q35</f>
        <v>147.26290141805509</v>
      </c>
      <c r="R37" s="2">
        <f>R36+R35</f>
        <v>148.81065182312196</v>
      </c>
      <c r="S37" s="2">
        <f>S36+S35</f>
        <v>150.63981139274645</v>
      </c>
    </row>
    <row r="38" spans="1:19">
      <c r="L38" s="2" t="s">
        <v>904</v>
      </c>
      <c r="O38" s="2">
        <f>O37*O31</f>
        <v>139.78142575496796</v>
      </c>
      <c r="P38" s="2">
        <f>P37*P31</f>
        <v>134.12467475433311</v>
      </c>
      <c r="Q38" s="2">
        <f>Q37*Q31</f>
        <v>128.67648597608419</v>
      </c>
      <c r="R38" s="2">
        <f>R37*R31</f>
        <v>123.19758488793515</v>
      </c>
      <c r="S38" s="2">
        <f>S37*S31</f>
        <v>118.15994338608289</v>
      </c>
    </row>
    <row r="39" spans="1:19">
      <c r="L39" s="2" t="s">
        <v>902</v>
      </c>
      <c r="S39" s="2">
        <f>SUM(O38:S38)</f>
        <v>643.94011475940329</v>
      </c>
    </row>
    <row r="41" spans="1:19">
      <c r="L41" s="2" t="s">
        <v>905</v>
      </c>
      <c r="N41" s="2">
        <f>SUM(O41:S41)</f>
        <v>12.706850194587702</v>
      </c>
      <c r="O41" s="2">
        <f>O36*O31</f>
        <v>2.8227938708974816</v>
      </c>
      <c r="P41" s="2">
        <f>P36*P31</f>
        <v>2.6744932217513688</v>
      </c>
      <c r="Q41" s="2">
        <f>Q36*Q31</f>
        <v>2.5339838189884585</v>
      </c>
      <c r="R41" s="2">
        <f>R36*R31</f>
        <v>2.4008563352015333</v>
      </c>
      <c r="S41" s="2">
        <f>S36*S31</f>
        <v>2.2747229477488591</v>
      </c>
    </row>
    <row r="43" spans="1:19">
      <c r="A43" s="2" t="s">
        <v>906</v>
      </c>
    </row>
    <row r="45" spans="1:19">
      <c r="B45" s="2" t="s">
        <v>907</v>
      </c>
      <c r="C45" s="2" t="s">
        <v>908</v>
      </c>
      <c r="D45" s="2" t="s">
        <v>909</v>
      </c>
      <c r="E45" s="2" t="s">
        <v>910</v>
      </c>
      <c r="K45" s="2" t="s">
        <v>203</v>
      </c>
    </row>
    <row r="46" spans="1:19">
      <c r="E46" s="2" t="s">
        <v>403</v>
      </c>
      <c r="G46" s="2" t="s">
        <v>223</v>
      </c>
      <c r="H46" s="2" t="s">
        <v>38</v>
      </c>
      <c r="I46" s="2" t="s">
        <v>442</v>
      </c>
      <c r="J46" s="2" t="s">
        <v>850</v>
      </c>
      <c r="K46" s="2" t="s">
        <v>403</v>
      </c>
      <c r="L46" s="2" t="s">
        <v>223</v>
      </c>
      <c r="M46" s="2" t="s">
        <v>38</v>
      </c>
      <c r="N46" s="2" t="s">
        <v>442</v>
      </c>
      <c r="O46" s="2" t="s">
        <v>850</v>
      </c>
    </row>
    <row r="47" spans="1:19">
      <c r="B47" s="2" t="s">
        <v>896</v>
      </c>
      <c r="C47" s="2">
        <f>SUM(D24:I24)</f>
        <v>216.57868876116021</v>
      </c>
      <c r="D47" s="2" t="s">
        <v>869</v>
      </c>
      <c r="E47" s="2">
        <f>VLOOKUP($D47,'Calc-Drivers'!$B$17:$G$27,E$53,FALSE)</f>
        <v>0.37722955064930808</v>
      </c>
      <c r="G47" s="2">
        <f>VLOOKUP($D47,'Calc-Drivers'!$B$17:$G$27,G$53,FALSE)</f>
        <v>0.35034237125516859</v>
      </c>
      <c r="H47" s="2">
        <f>VLOOKUP($D47,'Calc-Drivers'!$B$17:$G$27,H$53,FALSE)</f>
        <v>8.6838733515246375E-2</v>
      </c>
      <c r="I47" s="2">
        <f>VLOOKUP($D47,'Calc-Drivers'!$B$17:$G$27,I$53,FALSE)</f>
        <v>0.10935856975767741</v>
      </c>
      <c r="J47" s="2">
        <f>VLOOKUP($D47,'Calc-Drivers'!$B$17:$G$27,J$53,FALSE)</f>
        <v>7.6230774822599684E-2</v>
      </c>
      <c r="K47" s="2">
        <f>$C47*E47</f>
        <v>81.699881441588815</v>
      </c>
      <c r="L47" s="2">
        <f t="shared" ref="L47:N49" si="2">$C47*G47</f>
        <v>75.876691383920004</v>
      </c>
      <c r="M47" s="2">
        <f t="shared" si="2"/>
        <v>18.807419038411876</v>
      </c>
      <c r="N47" s="2">
        <f t="shared" si="2"/>
        <v>23.684735642913644</v>
      </c>
      <c r="O47" s="2">
        <f>$C47 * J47</f>
        <v>16.509961254325905</v>
      </c>
    </row>
    <row r="48" spans="1:19">
      <c r="B48" s="2" t="s">
        <v>49</v>
      </c>
      <c r="C48" s="2">
        <f>SUM(D18:I18)</f>
        <v>253.2</v>
      </c>
      <c r="D48" s="2" t="s">
        <v>869</v>
      </c>
      <c r="E48" s="2">
        <f>VLOOKUP($D48,'Calc-Drivers'!$B$17:$G$27,E$53,FALSE)</f>
        <v>0.37722955064930808</v>
      </c>
      <c r="G48" s="2">
        <f>VLOOKUP($D48,'Calc-Drivers'!$B$17:$G$27,G$53,FALSE)</f>
        <v>0.35034237125516859</v>
      </c>
      <c r="H48" s="2">
        <f>VLOOKUP($D48,'Calc-Drivers'!$B$17:$G$27,H$53,FALSE)</f>
        <v>8.6838733515246375E-2</v>
      </c>
      <c r="I48" s="2">
        <f>VLOOKUP($D48,'Calc-Drivers'!$B$17:$G$27,I$53,FALSE)</f>
        <v>0.10935856975767741</v>
      </c>
      <c r="J48" s="2">
        <f>VLOOKUP($D48,'Calc-Drivers'!$B$17:$G$27,J$53,FALSE)</f>
        <v>7.6230774822599684E-2</v>
      </c>
      <c r="K48" s="2">
        <f>$C48*E48</f>
        <v>95.5145222244048</v>
      </c>
      <c r="L48" s="2">
        <f t="shared" si="2"/>
        <v>88.706688401808691</v>
      </c>
      <c r="M48" s="2">
        <f t="shared" si="2"/>
        <v>21.987567326060383</v>
      </c>
      <c r="N48" s="2">
        <f t="shared" si="2"/>
        <v>27.689589862643921</v>
      </c>
      <c r="O48" s="2">
        <f>$C48 * J48</f>
        <v>19.301632185082241</v>
      </c>
    </row>
    <row r="49" spans="1:16">
      <c r="B49" s="2" t="s">
        <v>911</v>
      </c>
      <c r="C49" s="2">
        <f>SUM(D15:I15)</f>
        <v>251.47300000000001</v>
      </c>
      <c r="D49" s="2" t="s">
        <v>912</v>
      </c>
      <c r="E49" s="2">
        <f>'Calc-Opex'!AQ42</f>
        <v>0.213154630585037</v>
      </c>
      <c r="G49" s="2">
        <f>'Calc-Opex'!AR42</f>
        <v>0.28905190907172873</v>
      </c>
      <c r="H49" s="2">
        <f>'Calc-Opex'!AS42</f>
        <v>8.3502633405527285E-2</v>
      </c>
      <c r="I49" s="2">
        <f>'Calc-Opex'!AT42</f>
        <v>0.26055682577068884</v>
      </c>
      <c r="J49" s="2">
        <f>'Calc-Opex'!AU42</f>
        <v>0.15373400116701816</v>
      </c>
      <c r="K49" s="2">
        <f>$C49*E49</f>
        <v>53.602634417111013</v>
      </c>
      <c r="L49" s="2">
        <f t="shared" si="2"/>
        <v>72.688750729994837</v>
      </c>
      <c r="M49" s="2">
        <f t="shared" si="2"/>
        <v>20.998657730388164</v>
      </c>
      <c r="N49" s="2">
        <f>$C49*I49</f>
        <v>65.523006647032432</v>
      </c>
      <c r="O49" s="2">
        <f>$C49 * J49</f>
        <v>38.659950475473558</v>
      </c>
    </row>
    <row r="51" spans="1:16">
      <c r="B51" s="2" t="s">
        <v>200</v>
      </c>
      <c r="C51" s="2">
        <f>SUM(C47:C49)</f>
        <v>721.25168876116027</v>
      </c>
      <c r="K51" s="2">
        <f>SUM(K47:K50)</f>
        <v>230.81703808310462</v>
      </c>
      <c r="L51" s="2">
        <f>SUM(L47:L50)</f>
        <v>237.27213051572355</v>
      </c>
      <c r="M51" s="2">
        <f>SUM(M47:M50)</f>
        <v>61.793644094860426</v>
      </c>
      <c r="N51" s="2">
        <f>SUM(N47:N50)</f>
        <v>116.89733215259</v>
      </c>
      <c r="O51" s="2">
        <f>SUM($O$47:$O$50)</f>
        <v>74.471543914881693</v>
      </c>
    </row>
    <row r="52" spans="1:16">
      <c r="K52" s="2">
        <f>K51/SUM($K$51:$O$51)</f>
        <v>0.32002287367889798</v>
      </c>
      <c r="L52" s="2">
        <f>L51/SUM($K$51:$O$51)</f>
        <v>0.32897272091420404</v>
      </c>
      <c r="M52" s="2">
        <f>M51/SUM($K$51:$O$51)</f>
        <v>8.5675562439234937E-2</v>
      </c>
      <c r="N52" s="2">
        <f>N51/SUM($K$51:$O$51)</f>
        <v>0.16207564429190557</v>
      </c>
      <c r="O52" s="2">
        <f>O51/SUM($K$50:$O$51)</f>
        <v>0.1032531986757575</v>
      </c>
    </row>
    <row r="53" spans="1:16">
      <c r="E53" s="2">
        <v>6</v>
      </c>
      <c r="G53" s="2">
        <v>5</v>
      </c>
      <c r="H53" s="2">
        <v>4</v>
      </c>
      <c r="I53" s="2">
        <v>3</v>
      </c>
      <c r="J53" s="2">
        <v>2</v>
      </c>
    </row>
    <row r="55" spans="1:16">
      <c r="D55" s="2" t="s">
        <v>913</v>
      </c>
    </row>
    <row r="56" spans="1:16">
      <c r="D56" s="2" t="s">
        <v>914</v>
      </c>
    </row>
    <row r="58" spans="1:16">
      <c r="A58" s="2" t="s">
        <v>915</v>
      </c>
    </row>
    <row r="60" spans="1:16">
      <c r="B60" s="2" t="s">
        <v>916</v>
      </c>
    </row>
    <row r="61" spans="1:16">
      <c r="B61" s="2" t="s">
        <v>917</v>
      </c>
      <c r="F61" s="2">
        <f>'Summary of revenue'!J11</f>
        <v>164.61900800000001</v>
      </c>
      <c r="G61" s="2">
        <f>F61/$F$66</f>
        <v>0.94427803641023134</v>
      </c>
      <c r="P61" s="2" t="s">
        <v>203</v>
      </c>
    </row>
    <row r="62" spans="1:16">
      <c r="B62" s="2" t="s">
        <v>918</v>
      </c>
      <c r="F62" s="2">
        <f>'Summary of revenue'!J12</f>
        <v>-0.91199699999999995</v>
      </c>
      <c r="G62" s="2">
        <f>F62/$F$66</f>
        <v>-5.2313444652273789E-3</v>
      </c>
    </row>
    <row r="63" spans="1:16">
      <c r="B63" s="2" t="s">
        <v>919</v>
      </c>
      <c r="F63" s="2">
        <f>'Summary of revenue'!J13</f>
        <v>2.5028890000000001</v>
      </c>
      <c r="G63" s="2">
        <f>F63/$F$66</f>
        <v>1.435692717983556E-2</v>
      </c>
      <c r="M63" s="2" t="s">
        <v>920</v>
      </c>
      <c r="P63" s="2">
        <f>F66</f>
        <v>174.33319600000002</v>
      </c>
    </row>
    <row r="64" spans="1:16">
      <c r="B64" s="2" t="s">
        <v>921</v>
      </c>
      <c r="F64" s="2">
        <f>'Summary of revenue'!J21</f>
        <v>2.533296</v>
      </c>
      <c r="G64" s="2">
        <f>F64/$F$66</f>
        <v>1.4531346055285993E-2</v>
      </c>
    </row>
    <row r="65" spans="2:19">
      <c r="B65" s="2" t="s">
        <v>922</v>
      </c>
      <c r="F65" s="2">
        <f>'Summary of revenue'!J46+'Summary of revenue'!J47</f>
        <v>5.59</v>
      </c>
      <c r="G65" s="2">
        <f>F65/$F$66</f>
        <v>3.2065034819874459E-2</v>
      </c>
      <c r="M65" s="2" t="s">
        <v>923</v>
      </c>
      <c r="P65" s="2">
        <f>-F63</f>
        <v>-2.5028890000000001</v>
      </c>
    </row>
    <row r="66" spans="2:19">
      <c r="B66" s="2" t="s">
        <v>200</v>
      </c>
      <c r="F66" s="2">
        <f>SUM(F61:F65)</f>
        <v>174.33319600000002</v>
      </c>
      <c r="G66" s="2">
        <f>SUM(G61:G65)</f>
        <v>1</v>
      </c>
      <c r="M66" s="2" t="s">
        <v>975</v>
      </c>
      <c r="P66" s="2">
        <f>-'Calc-Opex'!I37</f>
        <v>-4.2</v>
      </c>
    </row>
    <row r="68" spans="2:19">
      <c r="M68" s="2" t="s">
        <v>924</v>
      </c>
      <c r="P68" s="2">
        <f>-SUM(P65:P67)</f>
        <v>6.7028890000000008</v>
      </c>
    </row>
    <row r="69" spans="2:19">
      <c r="M69" s="2" t="s">
        <v>925</v>
      </c>
      <c r="P69" s="2">
        <f>SUM(P63:P67)</f>
        <v>167.63030700000002</v>
      </c>
    </row>
    <row r="70" spans="2:19">
      <c r="B70" s="2" t="s">
        <v>982</v>
      </c>
      <c r="G70" s="2">
        <f>(SUM('FBPQ LR1'!D13:M13)-MIN(0,'Calc-Net capex'!C19)-MIN(0,'Calc-Net capex'!C20)-MIN(0,'Calc-Net capex'!C21+'Calc-Net capex'!C22))/10</f>
        <v>4.3499999999999996</v>
      </c>
    </row>
    <row r="71" spans="2:19" ht="39" customHeight="1">
      <c r="L71" s="2" t="s">
        <v>926</v>
      </c>
    </row>
    <row r="72" spans="2:19">
      <c r="B72" s="2" t="s">
        <v>927</v>
      </c>
      <c r="D72" s="2" t="s">
        <v>203</v>
      </c>
      <c r="L72" s="2" t="s">
        <v>928</v>
      </c>
    </row>
    <row r="73" spans="2:19">
      <c r="D73" s="2" t="s">
        <v>200</v>
      </c>
      <c r="F73" s="2" t="s">
        <v>403</v>
      </c>
      <c r="G73" s="2" t="s">
        <v>223</v>
      </c>
      <c r="H73" s="2" t="s">
        <v>38</v>
      </c>
      <c r="I73" s="2" t="s">
        <v>222</v>
      </c>
      <c r="J73" s="2" t="s">
        <v>929</v>
      </c>
      <c r="L73" s="2" t="s">
        <v>403</v>
      </c>
      <c r="M73" s="2" t="s">
        <v>223</v>
      </c>
      <c r="N73" s="2" t="s">
        <v>38</v>
      </c>
      <c r="O73" s="2" t="s">
        <v>442</v>
      </c>
      <c r="P73" s="2" t="s">
        <v>929</v>
      </c>
      <c r="R73" s="2" t="s">
        <v>200</v>
      </c>
      <c r="S73" s="2" t="s">
        <v>850</v>
      </c>
    </row>
    <row r="75" spans="2:19">
      <c r="B75" s="2" t="s">
        <v>930</v>
      </c>
      <c r="D75" s="2">
        <f>SUM(F75:J75)</f>
        <v>178.68319600000004</v>
      </c>
      <c r="F75" s="2">
        <f>$P$69*K52+$G70*E49</f>
        <v>54.572755204860805</v>
      </c>
      <c r="G75" s="2">
        <f>$P$69*L52+$G70*G49</f>
        <v>56.403174005935369</v>
      </c>
      <c r="H75" s="2">
        <f>$P$69*M52+$G70*H49</f>
        <v>14.725057289400667</v>
      </c>
      <c r="I75" s="2">
        <f>$P$69*(N52+O52)+$G70*(I49+J49)</f>
        <v>46.279320499803184</v>
      </c>
      <c r="J75" s="2">
        <f>P68</f>
        <v>6.7028890000000008</v>
      </c>
      <c r="L75" s="2">
        <f>F75*100000000/'Calc-Units'!E23</f>
        <v>0.43951225658149523</v>
      </c>
      <c r="M75" s="2">
        <f>G75*100000000/'Calc-Units'!D23</f>
        <v>0.58671297322267868</v>
      </c>
      <c r="N75" s="2">
        <f>H75*100000000/'Calc-Units'!C23</f>
        <v>0.20405544095639253</v>
      </c>
      <c r="O75" s="2">
        <f>I75*100000000/'Calc-Units'!C23</f>
        <v>0.64132498544146055</v>
      </c>
      <c r="P75" s="2">
        <f>J75*100000000/'Calc-Units'!E23</f>
        <v>5.3983015131749877E-2</v>
      </c>
    </row>
    <row r="77" spans="2:19">
      <c r="B77" s="2" t="s">
        <v>931</v>
      </c>
      <c r="L77" s="2">
        <f>L75</f>
        <v>0.43951225658149523</v>
      </c>
      <c r="M77" s="2">
        <f>M75</f>
        <v>0.58671297322267868</v>
      </c>
      <c r="N77" s="2">
        <f>N75</f>
        <v>0.20405544095639253</v>
      </c>
      <c r="O77" s="2">
        <f>O75</f>
        <v>0.64132498544146055</v>
      </c>
      <c r="P77" s="2">
        <f>P75</f>
        <v>5.3983015131749877E-2</v>
      </c>
      <c r="R77" s="2">
        <f>SUM(L77:P77)</f>
        <v>1.9255886713337771</v>
      </c>
    </row>
    <row r="78" spans="2:19">
      <c r="B78" s="2" t="s">
        <v>932</v>
      </c>
    </row>
    <row r="79" spans="2:19">
      <c r="B79" s="2" t="s">
        <v>933</v>
      </c>
    </row>
    <row r="81" spans="2:19">
      <c r="B81" s="2" t="s">
        <v>931</v>
      </c>
      <c r="L81" s="2">
        <f>L77/$R77</f>
        <v>0.22824825629923495</v>
      </c>
      <c r="M81" s="2">
        <f>M77/$R77</f>
        <v>0.30469278405978906</v>
      </c>
      <c r="N81" s="2">
        <f>N77/$R77</f>
        <v>0.10597042036763314</v>
      </c>
      <c r="O81" s="2">
        <f>$O77/$R77*$N52/($N52+$O52)</f>
        <v>0.20344542650739025</v>
      </c>
      <c r="P81" s="2">
        <f>P77/$R77</f>
        <v>2.8034551685619358E-2</v>
      </c>
      <c r="R81" s="2">
        <f>SUM(L81:P81) + S81</f>
        <v>0.99999999999999989</v>
      </c>
      <c r="S81" s="2">
        <f>$O77/$R77*$O52/($N52+$O52)</f>
        <v>0.12960856108033311</v>
      </c>
    </row>
    <row r="82" spans="2:19">
      <c r="B82" s="2" t="s">
        <v>932</v>
      </c>
    </row>
    <row r="83" spans="2:19">
      <c r="B83" s="2" t="s">
        <v>933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FFC4"/>
    <pageSetUpPr fitToPage="1"/>
  </sheetPr>
  <dimension ref="A1:G10"/>
  <sheetViews>
    <sheetView showGridLines="0" workbookViewId="0">
      <selection sqref="A1:XFD1048576"/>
    </sheetView>
  </sheetViews>
  <sheetFormatPr defaultColWidth="8.85546875" defaultRowHeight="14.1" customHeight="1"/>
  <cols>
    <col min="1" max="1" width="44" style="2" customWidth="1"/>
    <col min="2" max="7" width="13.42578125" style="2" customWidth="1"/>
    <col min="8" max="8" width="9.140625" style="2" customWidth="1"/>
    <col min="9" max="16384" width="8.85546875" style="2"/>
  </cols>
  <sheetData>
    <row r="1" spans="1:7" ht="20.100000000000001" customHeight="1">
      <c r="A1" s="4" t="str">
        <f>"Calc-Summary for Method M ("&amp;'Calc-Net capex'!B5&amp;") for "&amp;Inputs!B6&amp;" in "&amp;Inputs!C6&amp;"  Status: "&amp;Inputs!D6&amp;""</f>
        <v>Calc-Summary for Method M (LR1) for South Wales in April 2017  Status: Finals</v>
      </c>
    </row>
    <row r="3" spans="1:7" ht="14.1" customHeight="1">
      <c r="A3" s="2" t="s">
        <v>867</v>
      </c>
      <c r="B3" s="2" t="s">
        <v>934</v>
      </c>
    </row>
    <row r="4" spans="1:7" ht="14.1" customHeight="1">
      <c r="B4" s="2" t="s">
        <v>850</v>
      </c>
      <c r="C4" s="2" t="s">
        <v>442</v>
      </c>
      <c r="D4" s="2" t="s">
        <v>526</v>
      </c>
      <c r="E4" s="2" t="s">
        <v>223</v>
      </c>
      <c r="F4" s="2" t="s">
        <v>403</v>
      </c>
      <c r="G4" s="2" t="s">
        <v>935</v>
      </c>
    </row>
    <row r="5" spans="1:7" ht="14.1" customHeight="1">
      <c r="A5" s="2" t="s">
        <v>936</v>
      </c>
      <c r="B5" s="2">
        <f>'Calc-Allocation'!J49</f>
        <v>0.15373400116701816</v>
      </c>
      <c r="C5" s="2">
        <f>'Calc-Allocation'!I49</f>
        <v>0.26055682577068884</v>
      </c>
      <c r="D5" s="2">
        <f>'Calc-Allocation'!H49</f>
        <v>8.3502633405527285E-2</v>
      </c>
      <c r="E5" s="2">
        <f>'Calc-Allocation'!G49</f>
        <v>0.28905190907172873</v>
      </c>
      <c r="F5" s="2">
        <f>'Calc-Allocation'!E49</f>
        <v>0.213154630585037</v>
      </c>
      <c r="G5" s="2" t="s">
        <v>937</v>
      </c>
    </row>
    <row r="6" spans="1:7" ht="14.1" customHeight="1">
      <c r="A6" s="2" t="s">
        <v>49</v>
      </c>
      <c r="B6" s="2">
        <f>'Calc-Allocation'!J47</f>
        <v>7.6230774822599684E-2</v>
      </c>
      <c r="C6" s="2">
        <f>'Calc-Allocation'!I48</f>
        <v>0.10935856975767741</v>
      </c>
      <c r="D6" s="2">
        <f>'Calc-Allocation'!H48</f>
        <v>8.6838733515246375E-2</v>
      </c>
      <c r="E6" s="2">
        <f>'Calc-Allocation'!G48</f>
        <v>0.35034237125516859</v>
      </c>
      <c r="F6" s="2">
        <f>'Calc-Allocation'!E48</f>
        <v>0.37722955064930808</v>
      </c>
      <c r="G6" s="2" t="s">
        <v>937</v>
      </c>
    </row>
    <row r="7" spans="1:7" ht="14.1" customHeight="1">
      <c r="A7" s="2" t="s">
        <v>896</v>
      </c>
      <c r="B7" s="2">
        <f>'Calc-Allocation'!J48</f>
        <v>7.6230774822599684E-2</v>
      </c>
      <c r="C7" s="2">
        <f>'Calc-Allocation'!I47</f>
        <v>0.10935856975767741</v>
      </c>
      <c r="D7" s="2">
        <f>'Calc-Allocation'!H47</f>
        <v>8.6838733515246375E-2</v>
      </c>
      <c r="E7" s="2">
        <f>'Calc-Allocation'!G47</f>
        <v>0.35034237125516859</v>
      </c>
      <c r="F7" s="2">
        <f>'Calc-Allocation'!E47</f>
        <v>0.37722955064930808</v>
      </c>
      <c r="G7" s="2" t="s">
        <v>937</v>
      </c>
    </row>
    <row r="8" spans="1:7" ht="14.1" customHeight="1">
      <c r="A8" s="2" t="s">
        <v>938</v>
      </c>
      <c r="B8" s="2">
        <f>'Calc-Allocation'!O52</f>
        <v>0.1032531986757575</v>
      </c>
      <c r="C8" s="2">
        <f>'Calc-Allocation'!N52</f>
        <v>0.16207564429190557</v>
      </c>
      <c r="D8" s="2">
        <f>'Calc-Allocation'!M52</f>
        <v>8.5675562439234937E-2</v>
      </c>
      <c r="E8" s="2">
        <f>'Calc-Allocation'!L52</f>
        <v>0.32897272091420404</v>
      </c>
      <c r="F8" s="2">
        <f>'Calc-Allocation'!K52</f>
        <v>0.32002287367889798</v>
      </c>
      <c r="G8" s="2" t="s">
        <v>937</v>
      </c>
    </row>
    <row r="9" spans="1:7" ht="14.1" customHeight="1">
      <c r="A9" s="2" t="s">
        <v>939</v>
      </c>
      <c r="B9" s="2">
        <f>'Calc-Allocation'!S81</f>
        <v>0.12960856108033311</v>
      </c>
      <c r="C9" s="2">
        <f>'Calc-Allocation'!O81</f>
        <v>0.20344542650739025</v>
      </c>
      <c r="D9" s="2">
        <f>'Calc-Allocation'!N81</f>
        <v>0.10597042036763314</v>
      </c>
      <c r="E9" s="2">
        <f>'Calc-Allocation'!M81</f>
        <v>0.30469278405978906</v>
      </c>
      <c r="F9" s="2">
        <f>'Calc-Allocation'!L81</f>
        <v>0.22824825629923495</v>
      </c>
      <c r="G9" s="2">
        <f>'Calc-Allocation'!P81</f>
        <v>2.8034551685619358E-2</v>
      </c>
    </row>
    <row r="10" spans="1:7" ht="14.1" customHeight="1">
      <c r="A10" s="2" t="s">
        <v>940</v>
      </c>
      <c r="B10" s="2">
        <f>'Calc-Opex'!AD49</f>
        <v>0.51322366825288812</v>
      </c>
      <c r="C10" s="2">
        <f>'Calc-Opex'!AC49</f>
        <v>0.51322366825288823</v>
      </c>
      <c r="D10" s="2">
        <f>'Calc-Opex'!AB49</f>
        <v>0.74756196671321606</v>
      </c>
      <c r="E10" s="2">
        <f>'Calc-Opex'!AA49</f>
        <v>0.71457981070270715</v>
      </c>
      <c r="F10" s="2">
        <f>'Calc-Opex'!Z49</f>
        <v>0.69367246699583951</v>
      </c>
      <c r="G10" s="2" t="s">
        <v>937</v>
      </c>
    </row>
  </sheetData>
  <sheetProtection sheet="1" objects="1" scenarios="1"/>
  <phoneticPr fontId="1" type="noConversion"/>
  <pageMargins left="0.75" right="0.75" top="1" bottom="1" header="0.5" footer="0.5"/>
  <pageSetup paperSize="9" scale="6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79998168889431442"/>
    <pageSetUpPr fitToPage="1"/>
  </sheetPr>
  <dimension ref="A1:I63"/>
  <sheetViews>
    <sheetView showGridLines="0" tabSelected="1" topLeftCell="A40" workbookViewId="0">
      <selection activeCell="B59" sqref="B59:E63"/>
    </sheetView>
  </sheetViews>
  <sheetFormatPr defaultColWidth="17.7109375" defaultRowHeight="15"/>
  <cols>
    <col min="1" max="1" width="21.85546875" style="2" customWidth="1"/>
    <col min="2" max="9" width="14.85546875" style="2" customWidth="1"/>
    <col min="10" max="16384" width="17.7109375" style="2"/>
  </cols>
  <sheetData>
    <row r="1" spans="1:9" ht="19.5">
      <c r="A1" s="4" t="str">
        <f>"EDCM extension to Method M ("&amp;'Calc-Net capex'!B5&amp;") for "&amp;Inputs!B6&amp;" in "&amp;Inputs!C6&amp;"  Status: "&amp;Inputs!D6&amp;""</f>
        <v>EDCM extension to Method M (LR1) for South Wales in April 2017  Status: Finals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17.25">
      <c r="A3" s="38" t="s">
        <v>962</v>
      </c>
      <c r="B3" s="15"/>
      <c r="C3" s="15"/>
      <c r="D3" s="15"/>
      <c r="E3" s="15"/>
      <c r="F3" s="15"/>
      <c r="G3" s="15"/>
      <c r="H3" s="15"/>
    </row>
    <row r="4" spans="1:9" ht="17.25">
      <c r="A4" s="38"/>
      <c r="B4" s="15"/>
      <c r="C4" s="15"/>
      <c r="D4" s="15"/>
      <c r="E4" s="15"/>
      <c r="F4" s="15"/>
      <c r="G4" s="15"/>
      <c r="H4" s="15"/>
    </row>
    <row r="5" spans="1:9" ht="30">
      <c r="A5" s="15"/>
      <c r="B5" s="6" t="s">
        <v>960</v>
      </c>
      <c r="D5" s="15"/>
      <c r="E5" s="15"/>
      <c r="F5" s="15"/>
      <c r="G5" s="15"/>
      <c r="H5" s="15"/>
    </row>
    <row r="6" spans="1:9">
      <c r="A6" s="14" t="s">
        <v>222</v>
      </c>
      <c r="B6" s="39">
        <f>SUM('Data-MEAV'!I19:I39)</f>
        <v>1763568.7248</v>
      </c>
      <c r="E6" s="15"/>
      <c r="F6" s="15"/>
      <c r="G6" s="15"/>
      <c r="H6" s="15"/>
    </row>
    <row r="7" spans="1:9">
      <c r="A7" s="14" t="s">
        <v>38</v>
      </c>
      <c r="B7" s="39">
        <f>SUM('Data-MEAV'!I62:I63,'Data-MEAV'!I69:I70,'Data-MEAV'!I75:I78,'Data-MEAV'!I153:I154)</f>
        <v>277374.22000000003</v>
      </c>
      <c r="E7" s="15"/>
      <c r="F7" s="15"/>
      <c r="G7" s="15"/>
      <c r="H7" s="15"/>
    </row>
    <row r="8" spans="1:9">
      <c r="A8" s="14" t="s">
        <v>223</v>
      </c>
      <c r="B8" s="39">
        <f>SUM('Data-MEAV'!I41:I58,'Data-MEAV'!I61,'Data-MEAV'!I64:I65,'Data-MEAV'!I68,'Data-MEAV'!I71:I72)</f>
        <v>1051814.7319999998</v>
      </c>
      <c r="E8" s="15"/>
      <c r="F8" s="15"/>
      <c r="G8" s="15"/>
      <c r="H8" s="15"/>
    </row>
    <row r="9" spans="1:9">
      <c r="A9" s="15"/>
      <c r="B9" s="16"/>
      <c r="D9" s="16"/>
      <c r="E9" s="15"/>
      <c r="F9" s="15"/>
      <c r="G9" s="15"/>
      <c r="H9" s="15"/>
    </row>
    <row r="10" spans="1:9">
      <c r="A10" s="14" t="s">
        <v>37</v>
      </c>
      <c r="B10" s="39">
        <f>SUM('Data-MEAV'!I59:I60,'Data-MEAV'!I66:I67,'Data-MEAV'!I110,'Data-MEAV'!I112,'Data-MEAV'!I115:I119,'Data-MEAV'!I149:I150)</f>
        <v>160146.74000000002</v>
      </c>
      <c r="D10" s="16"/>
      <c r="E10" s="15"/>
      <c r="F10" s="15"/>
      <c r="G10" s="15"/>
      <c r="H10" s="15"/>
    </row>
    <row r="11" spans="1:9">
      <c r="A11" s="14" t="s">
        <v>403</v>
      </c>
      <c r="B11" s="39">
        <f>SUM('Data-MEAV'!I82:I85,'Data-MEAV'!I88:I91,'Data-MEAV'!I94:I99,'Data-MEAV'!I102)</f>
        <v>205131.45367999998</v>
      </c>
      <c r="D11" s="16"/>
      <c r="E11" s="15"/>
      <c r="F11" s="15"/>
      <c r="G11" s="15"/>
      <c r="H11" s="15"/>
    </row>
    <row r="12" spans="1:9">
      <c r="A12" s="14" t="s">
        <v>36</v>
      </c>
      <c r="B12" s="39">
        <f>SUM('Data-MEAV'!I105:I109,'Data-MEAV'!I111,'Data-MEAV'!I144:I145)</f>
        <v>189323.98</v>
      </c>
      <c r="D12" s="16"/>
      <c r="E12" s="15"/>
      <c r="F12" s="15"/>
      <c r="G12" s="15"/>
      <c r="H12" s="15"/>
    </row>
    <row r="13" spans="1:9">
      <c r="A13" s="14" t="s">
        <v>402</v>
      </c>
      <c r="B13" s="39">
        <f>SUM('Data-MEAV'!I123:I124,'Data-MEAV'!I127:I129,'Data-MEAV'!I132:I134,'Data-MEAV'!I137,'Data-MEAV'!I140:I141)</f>
        <v>425529.9</v>
      </c>
      <c r="D13" s="16"/>
      <c r="E13" s="15"/>
      <c r="F13" s="15"/>
      <c r="G13" s="15"/>
      <c r="H13" s="15"/>
    </row>
    <row r="14" spans="1:9">
      <c r="A14" s="15"/>
      <c r="B14" s="16"/>
      <c r="D14" s="16"/>
      <c r="E14" s="15"/>
      <c r="F14" s="15"/>
      <c r="G14" s="15"/>
      <c r="H14" s="15"/>
    </row>
    <row r="15" spans="1:9">
      <c r="A15" s="14" t="s">
        <v>954</v>
      </c>
      <c r="B15" s="39">
        <f>SUM(B10:B13)</f>
        <v>980132.07368000003</v>
      </c>
      <c r="E15" s="15"/>
      <c r="F15" s="15"/>
      <c r="G15" s="15"/>
      <c r="H15" s="15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9" ht="17.25">
      <c r="A17" s="38" t="s">
        <v>963</v>
      </c>
      <c r="B17" s="15"/>
      <c r="C17" s="16"/>
      <c r="D17" s="15"/>
      <c r="E17" s="16"/>
      <c r="F17" s="15"/>
      <c r="G17" s="15"/>
      <c r="H17" s="15"/>
      <c r="I17" s="15"/>
    </row>
    <row r="18" spans="1:9">
      <c r="A18" s="15"/>
      <c r="B18" s="15"/>
      <c r="C18" s="16"/>
      <c r="D18" s="15"/>
      <c r="E18" s="16"/>
      <c r="F18" s="15"/>
      <c r="G18" s="15"/>
      <c r="H18" s="15"/>
      <c r="I18" s="15"/>
    </row>
    <row r="19" spans="1:9" ht="30">
      <c r="A19" s="15"/>
      <c r="B19" s="6" t="s">
        <v>961</v>
      </c>
      <c r="C19" s="16"/>
      <c r="D19" s="15"/>
      <c r="E19" s="16"/>
      <c r="F19" s="15"/>
      <c r="G19" s="15"/>
      <c r="H19" s="15"/>
      <c r="I19" s="15"/>
    </row>
    <row r="20" spans="1:9">
      <c r="A20" s="14" t="s">
        <v>37</v>
      </c>
      <c r="B20" s="40">
        <f>B10/B$15</f>
        <v>0.16339302049234417</v>
      </c>
      <c r="C20" s="16"/>
      <c r="D20" s="15"/>
      <c r="E20" s="16"/>
      <c r="F20" s="15"/>
      <c r="G20" s="15"/>
      <c r="H20" s="15"/>
      <c r="I20" s="15"/>
    </row>
    <row r="21" spans="1:9">
      <c r="A21" s="14" t="s">
        <v>403</v>
      </c>
      <c r="B21" s="40">
        <f>B11/B$15</f>
        <v>0.20928960411408049</v>
      </c>
      <c r="C21" s="16"/>
      <c r="D21" s="15"/>
      <c r="E21" s="16"/>
      <c r="F21" s="15"/>
      <c r="G21" s="15"/>
      <c r="H21" s="15"/>
      <c r="I21" s="15"/>
    </row>
    <row r="22" spans="1:9">
      <c r="A22" s="14" t="s">
        <v>36</v>
      </c>
      <c r="B22" s="40">
        <f>B12/B$15</f>
        <v>0.19316170247257081</v>
      </c>
      <c r="C22" s="16"/>
      <c r="D22" s="15"/>
      <c r="E22" s="16"/>
      <c r="F22" s="15"/>
      <c r="G22" s="15"/>
      <c r="H22" s="15"/>
      <c r="I22" s="15"/>
    </row>
    <row r="23" spans="1:9">
      <c r="A23" s="14" t="s">
        <v>402</v>
      </c>
      <c r="B23" s="40">
        <f>B13/B$15</f>
        <v>0.43415567292100454</v>
      </c>
      <c r="C23" s="16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7.25">
      <c r="A25" s="38" t="s">
        <v>964</v>
      </c>
      <c r="B25" s="15"/>
      <c r="C25" s="16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6" t="s">
        <v>850</v>
      </c>
      <c r="C27" s="6" t="s">
        <v>442</v>
      </c>
      <c r="D27" s="6" t="s">
        <v>526</v>
      </c>
      <c r="E27" s="6" t="s">
        <v>223</v>
      </c>
      <c r="F27" s="6" t="s">
        <v>37</v>
      </c>
      <c r="G27" s="6" t="s">
        <v>403</v>
      </c>
      <c r="H27" s="6" t="s">
        <v>36</v>
      </c>
      <c r="I27" s="6" t="s">
        <v>402</v>
      </c>
    </row>
    <row r="28" spans="1:9">
      <c r="A28" s="14" t="s">
        <v>953</v>
      </c>
      <c r="B28" s="40">
        <f>'Calc-Summary'!B9</f>
        <v>0.12960856108033311</v>
      </c>
      <c r="C28" s="40">
        <f>'Calc-Summary'!C9</f>
        <v>0.20344542650739025</v>
      </c>
      <c r="D28" s="40">
        <f>'Calc-Summary'!D9</f>
        <v>0.10597042036763314</v>
      </c>
      <c r="E28" s="40">
        <f>'Calc-Summary'!E9</f>
        <v>0.30469278405978906</v>
      </c>
      <c r="F28" s="40">
        <f>'Calc-Summary'!$F9*'EDCM discounts'!$B20</f>
        <v>3.7294172018842719E-2</v>
      </c>
      <c r="G28" s="40">
        <f>'Calc-Summary'!$F9*'EDCM discounts'!$B21</f>
        <v>4.776998720059606E-2</v>
      </c>
      <c r="H28" s="40">
        <f>'Calc-Summary'!$F9*'EDCM discounts'!$B22</f>
        <v>4.4088821773155908E-2</v>
      </c>
      <c r="I28" s="40">
        <f>'Calc-Summary'!$F9*'EDCM discounts'!$B23</f>
        <v>9.9095275306640265E-2</v>
      </c>
    </row>
    <row r="29" spans="1:9">
      <c r="A29" s="14" t="s">
        <v>940</v>
      </c>
      <c r="B29" s="40">
        <f>'Calc-Summary'!B10</f>
        <v>0.51322366825288812</v>
      </c>
      <c r="C29" s="40">
        <f>'Calc-Summary'!C10</f>
        <v>0.51322366825288823</v>
      </c>
      <c r="D29" s="40">
        <f>'Calc-Summary'!D10</f>
        <v>0.74756196671321606</v>
      </c>
      <c r="E29" s="40">
        <f>'Calc-Summary'!E10</f>
        <v>0.71457981070270715</v>
      </c>
      <c r="F29" s="40">
        <f>'Calc-Summary'!$F10</f>
        <v>0.69367246699583951</v>
      </c>
      <c r="G29" s="40">
        <f>'Calc-Summary'!$F10</f>
        <v>0.69367246699583951</v>
      </c>
      <c r="H29" s="40">
        <f>'Calc-Summary'!$F10</f>
        <v>0.69367246699583951</v>
      </c>
      <c r="I29" s="40">
        <f>'Calc-Summary'!$F10</f>
        <v>0.69367246699583951</v>
      </c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7.25">
      <c r="A31" s="38" t="s">
        <v>957</v>
      </c>
      <c r="B31" s="15"/>
      <c r="C31" s="15"/>
      <c r="D31" s="15"/>
      <c r="E31" s="15"/>
      <c r="F31" s="15"/>
      <c r="G31" s="15"/>
      <c r="H31" s="15"/>
      <c r="I31" s="15"/>
    </row>
    <row r="32" spans="1:9" ht="17.25">
      <c r="A32" s="38"/>
      <c r="B32" s="15"/>
      <c r="C32" s="15"/>
      <c r="D32" s="15"/>
      <c r="E32" s="15"/>
      <c r="F32" s="15"/>
      <c r="G32" s="15"/>
      <c r="H32" s="15"/>
      <c r="I32" s="15"/>
    </row>
    <row r="33" spans="1:9" ht="30">
      <c r="A33" s="15"/>
      <c r="B33" s="6" t="s">
        <v>959</v>
      </c>
      <c r="C33" s="15"/>
      <c r="D33" s="15"/>
      <c r="E33" s="15"/>
      <c r="F33" s="15"/>
      <c r="G33" s="15"/>
      <c r="H33" s="15"/>
      <c r="I33" s="15"/>
    </row>
    <row r="34" spans="1:9">
      <c r="A34" s="14" t="s">
        <v>955</v>
      </c>
      <c r="B34" s="45">
        <v>1</v>
      </c>
      <c r="C34" s="15"/>
      <c r="D34" s="15"/>
      <c r="E34" s="15"/>
      <c r="F34" s="15"/>
      <c r="G34" s="15"/>
      <c r="H34" s="15"/>
      <c r="I34" s="15"/>
    </row>
    <row r="35" spans="1:9">
      <c r="A35" s="14" t="s">
        <v>956</v>
      </c>
      <c r="B35" s="45">
        <v>1</v>
      </c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7.25">
      <c r="A37" s="38" t="s">
        <v>958</v>
      </c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517" t="s">
        <v>952</v>
      </c>
      <c r="C39" s="1518"/>
      <c r="D39" s="1518"/>
      <c r="E39" s="1518"/>
      <c r="F39" s="1517" t="s">
        <v>971</v>
      </c>
      <c r="G39" s="1517"/>
      <c r="H39" s="1517"/>
      <c r="I39" s="1517"/>
    </row>
    <row r="40" spans="1:9">
      <c r="A40" s="15"/>
      <c r="B40" s="18" t="s">
        <v>37</v>
      </c>
      <c r="C40" s="18" t="s">
        <v>403</v>
      </c>
      <c r="D40" s="18" t="s">
        <v>36</v>
      </c>
      <c r="E40" s="18" t="s">
        <v>402</v>
      </c>
      <c r="F40" s="18" t="s">
        <v>37</v>
      </c>
      <c r="G40" s="18" t="s">
        <v>403</v>
      </c>
      <c r="H40" s="18" t="s">
        <v>36</v>
      </c>
      <c r="I40" s="18" t="s">
        <v>402</v>
      </c>
    </row>
    <row r="41" spans="1:9">
      <c r="A41" s="14" t="s">
        <v>947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</row>
    <row r="42" spans="1:9">
      <c r="A42" s="14" t="s">
        <v>946</v>
      </c>
      <c r="B42" s="43">
        <v>0</v>
      </c>
      <c r="C42" s="43">
        <v>0</v>
      </c>
      <c r="D42" s="43">
        <v>0</v>
      </c>
      <c r="E42" s="37">
        <f>B35*$I$29</f>
        <v>0.69367246699583951</v>
      </c>
      <c r="F42" s="43">
        <v>0</v>
      </c>
      <c r="G42" s="43">
        <v>0</v>
      </c>
      <c r="H42" s="43">
        <v>0</v>
      </c>
      <c r="I42" s="43">
        <v>0</v>
      </c>
    </row>
    <row r="43" spans="1:9">
      <c r="A43" s="14" t="s">
        <v>945</v>
      </c>
      <c r="B43" s="43">
        <v>0</v>
      </c>
      <c r="C43" s="43">
        <v>0</v>
      </c>
      <c r="D43" s="43">
        <v>1</v>
      </c>
      <c r="E43" s="43">
        <v>1</v>
      </c>
      <c r="F43" s="43">
        <v>0</v>
      </c>
      <c r="G43" s="43">
        <v>0</v>
      </c>
      <c r="H43" s="43">
        <v>0</v>
      </c>
      <c r="I43" s="43">
        <v>0</v>
      </c>
    </row>
    <row r="44" spans="1:9">
      <c r="A44" s="14" t="s">
        <v>944</v>
      </c>
      <c r="B44" s="43">
        <v>0</v>
      </c>
      <c r="C44" s="37">
        <f>B34*$G$29</f>
        <v>0.69367246699583951</v>
      </c>
      <c r="D44" s="43">
        <v>1</v>
      </c>
      <c r="E44" s="43">
        <v>1</v>
      </c>
      <c r="F44" s="43">
        <v>0</v>
      </c>
      <c r="G44" s="43">
        <v>0</v>
      </c>
      <c r="H44" s="43">
        <v>0</v>
      </c>
      <c r="I44" s="43">
        <v>0</v>
      </c>
    </row>
    <row r="45" spans="1:9">
      <c r="A45" s="14" t="s">
        <v>943</v>
      </c>
      <c r="B45" s="43">
        <v>1</v>
      </c>
      <c r="C45" s="43">
        <v>1</v>
      </c>
      <c r="D45" s="43">
        <v>1</v>
      </c>
      <c r="E45" s="43">
        <v>1</v>
      </c>
      <c r="F45" s="43">
        <v>0</v>
      </c>
      <c r="G45" s="43">
        <v>0</v>
      </c>
      <c r="H45" s="43">
        <v>0</v>
      </c>
      <c r="I45" s="43">
        <v>0</v>
      </c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7.25">
      <c r="A47" s="38" t="s">
        <v>970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60">
      <c r="A49" s="15"/>
      <c r="B49" s="6" t="s">
        <v>951</v>
      </c>
      <c r="C49" s="6" t="s">
        <v>950</v>
      </c>
      <c r="D49" s="6" t="s">
        <v>949</v>
      </c>
      <c r="E49" s="6" t="s">
        <v>948</v>
      </c>
      <c r="F49" s="15"/>
      <c r="G49" s="15"/>
      <c r="H49" s="15"/>
      <c r="I49" s="15"/>
    </row>
    <row r="50" spans="1:9">
      <c r="A50" s="14" t="s">
        <v>947</v>
      </c>
      <c r="B50" s="37">
        <f>(SUM(B$28:$I$28)-SUMPRODUCT($B41:$E41,$F$28:$I$28))/(1-SUMPRODUCT($F41:$I41,$F$28:$I$28))</f>
        <v>0.97196544831438048</v>
      </c>
      <c r="C50" s="37">
        <f>(SUM(D$28:$I$28)-SUMPRODUCT($B41:$E41,$F$28:$I$28))/(1-SUM($B$28:C$28)-SUMPRODUCT($F41:$I41,$F$28:$I$28))</f>
        <v>0.9579657855900191</v>
      </c>
      <c r="D50" s="37">
        <f>(SUM(E$28:$I$28)-SUMPRODUCT($B41:$E41,$F$28:$I$28))/(1-SUM($B$28:D$28)-SUMPRODUCT($F41:$I41,$F$28:$I$28))</f>
        <v>0.95002536280867544</v>
      </c>
      <c r="E50" s="37">
        <f>(SUM(F$28:$I$28)-SUMPRODUCT($B41:$E41,$F$28:$I$28))/(1-SUM($B$28:E$28)-SUMPRODUCT($F41:$I41,$F$28:$I$28))</f>
        <v>0.89061087668714678</v>
      </c>
      <c r="F50" s="15"/>
      <c r="G50" s="15"/>
      <c r="H50" s="15"/>
      <c r="I50" s="15"/>
    </row>
    <row r="51" spans="1:9">
      <c r="A51" s="14" t="s">
        <v>946</v>
      </c>
      <c r="B51" s="37">
        <f>(SUM(B$28:$I$28)-SUMPRODUCT($B42:$E42,$F$28:$I$28))/(1-SUMPRODUCT($F42:$I42,$F$28:$I$28))</f>
        <v>0.90322578422479138</v>
      </c>
      <c r="C51" s="37">
        <f>(SUM(D$28:$I$28)-SUMPRODUCT($B42:$E42,$F$28:$I$28))/(1-SUM($B$28:C$28)-SUMPRODUCT($F42:$I42,$F$28:$I$28))</f>
        <v>0.85489947615821871</v>
      </c>
      <c r="D51" s="37">
        <f>(SUM(E$28:$I$28)-SUMPRODUCT($B42:$E42,$F$28:$I$28))/(1-SUM($B$28:D$28)-SUMPRODUCT($F42:$I42,$F$28:$I$28))</f>
        <v>0.82748943599758784</v>
      </c>
      <c r="E51" s="37">
        <f>(SUM(F$28:$I$28)-SUMPRODUCT($B42:$E42,$F$28:$I$28))/(1-SUM($B$28:E$28)-SUMPRODUCT($F42:$I42,$F$28:$I$28))</f>
        <v>0.62239286928318804</v>
      </c>
      <c r="F51" s="15"/>
      <c r="G51" s="15"/>
      <c r="H51" s="15"/>
      <c r="I51" s="15"/>
    </row>
    <row r="52" spans="1:9">
      <c r="A52" s="14" t="s">
        <v>945</v>
      </c>
      <c r="B52" s="37">
        <f>(SUM(B$28:$I$28)-SUMPRODUCT($B43:$E43,$F$28:$I$28))/(1-SUMPRODUCT($F43:$I43,$F$28:$I$28))</f>
        <v>0.8287813512345843</v>
      </c>
      <c r="C52" s="37">
        <f>(SUM(D$28:$I$28)-SUMPRODUCT($B43:$E43,$F$28:$I$28))/(1-SUM($B$28:C$28)-SUMPRODUCT($F43:$I43,$F$28:$I$28))</f>
        <v>0.74327959748025929</v>
      </c>
      <c r="D52" s="37">
        <f>(SUM(E$28:$I$28)-SUMPRODUCT($B43:$E43,$F$28:$I$28))/(1-SUM($B$28:D$28)-SUMPRODUCT($F43:$I43,$F$28:$I$28))</f>
        <v>0.69478413821649876</v>
      </c>
      <c r="E52" s="37">
        <f>(SUM(F$28:$I$28)-SUMPRODUCT($B43:$E43,$F$28:$I$28))/(1-SUM($B$28:E$28)-SUMPRODUCT($F43:$I43,$F$28:$I$28))</f>
        <v>0.33191519902679467</v>
      </c>
      <c r="F52" s="15"/>
      <c r="G52" s="15"/>
      <c r="H52" s="15"/>
      <c r="I52" s="15"/>
    </row>
    <row r="53" spans="1:9">
      <c r="A53" s="14" t="s">
        <v>944</v>
      </c>
      <c r="B53" s="37">
        <f>(SUM(B$28:$I$28)-SUMPRODUCT($B44:$E44,$F$28:$I$28))/(1-SUMPRODUCT($F44:$I44,$F$28:$I$28))</f>
        <v>0.79564462636478717</v>
      </c>
      <c r="C53" s="37">
        <f>(SUM(D$28:$I$28)-SUMPRODUCT($B44:$E44,$F$28:$I$28))/(1-SUM($B$28:C$28)-SUMPRODUCT($F44:$I44,$F$28:$I$28))</f>
        <v>0.69359532880917918</v>
      </c>
      <c r="D53" s="37">
        <f>(SUM(E$28:$I$28)-SUMPRODUCT($B44:$E44,$F$28:$I$28))/(1-SUM($B$28:D$28)-SUMPRODUCT($F44:$I44,$F$28:$I$28))</f>
        <v>0.63571432245317749</v>
      </c>
      <c r="E53" s="37">
        <f>(SUM(F$28:$I$28)-SUMPRODUCT($B44:$E44,$F$28:$I$28))/(1-SUM($B$28:E$28)-SUMPRODUCT($F44:$I44,$F$28:$I$28))</f>
        <v>0.20261770486263125</v>
      </c>
      <c r="F53" s="15"/>
      <c r="G53" s="15"/>
      <c r="H53" s="15"/>
      <c r="I53" s="15"/>
    </row>
    <row r="54" spans="1:9">
      <c r="A54" s="14" t="s">
        <v>943</v>
      </c>
      <c r="B54" s="37">
        <f>(SUM(B$28:$I$28)-SUMPRODUCT($B45:$E45,$F$28:$I$28))/(1-SUMPRODUCT($F45:$I45,$F$28:$I$28))</f>
        <v>0.74371719201514552</v>
      </c>
      <c r="C54" s="37">
        <f>(SUM(D$28:$I$28)-SUMPRODUCT($B45:$E45,$F$28:$I$28))/(1-SUM($B$28:C$28)-SUMPRODUCT($F45:$I45,$F$28:$I$28))</f>
        <v>0.61573680145727949</v>
      </c>
      <c r="D54" s="37">
        <f>(SUM(E$28:$I$28)-SUMPRODUCT($B45:$E45,$F$28:$I$28))/(1-SUM($B$28:D$28)-SUMPRODUCT($F45:$I45,$F$28:$I$28))</f>
        <v>0.54314802351604097</v>
      </c>
      <c r="E54" s="37">
        <f>(SUM(F$28:$I$28)-SUMPRODUCT($B45:$E45,$F$28:$I$28))/(1-SUM($B$28:E$28)-SUMPRODUCT($F45:$I45,$F$28:$I$28))</f>
        <v>0</v>
      </c>
      <c r="F54" s="15"/>
      <c r="G54" s="15"/>
      <c r="H54" s="15"/>
      <c r="I54" s="15"/>
    </row>
    <row r="56" spans="1:9" ht="17.25">
      <c r="A56" s="38" t="s">
        <v>969</v>
      </c>
      <c r="B56" s="15"/>
      <c r="C56" s="15"/>
      <c r="D56" s="15"/>
      <c r="E56" s="15"/>
    </row>
    <row r="57" spans="1:9">
      <c r="A57" s="15"/>
      <c r="B57" s="15"/>
      <c r="C57" s="15"/>
      <c r="D57" s="15"/>
      <c r="E57" s="15"/>
    </row>
    <row r="58" spans="1:9" ht="60">
      <c r="A58" s="15"/>
      <c r="B58" s="6" t="s">
        <v>951</v>
      </c>
      <c r="C58" s="6" t="s">
        <v>950</v>
      </c>
      <c r="D58" s="6" t="s">
        <v>949</v>
      </c>
      <c r="E58" s="6" t="s">
        <v>948</v>
      </c>
    </row>
    <row r="59" spans="1:9">
      <c r="A59" s="14" t="s">
        <v>947</v>
      </c>
      <c r="B59" s="37">
        <f>MIN(1,B50)</f>
        <v>0.97196544831438048</v>
      </c>
      <c r="C59" s="37">
        <f t="shared" ref="C59:E59" si="0">MIN(1,C50)</f>
        <v>0.9579657855900191</v>
      </c>
      <c r="D59" s="37">
        <f t="shared" si="0"/>
        <v>0.95002536280867544</v>
      </c>
      <c r="E59" s="37">
        <f t="shared" si="0"/>
        <v>0.89061087668714678</v>
      </c>
    </row>
    <row r="60" spans="1:9">
      <c r="A60" s="14" t="s">
        <v>946</v>
      </c>
      <c r="B60" s="37">
        <f t="shared" ref="B60:E60" si="1">MIN(1,B51)</f>
        <v>0.90322578422479138</v>
      </c>
      <c r="C60" s="37">
        <f t="shared" si="1"/>
        <v>0.85489947615821871</v>
      </c>
      <c r="D60" s="37">
        <f t="shared" si="1"/>
        <v>0.82748943599758784</v>
      </c>
      <c r="E60" s="37">
        <f t="shared" si="1"/>
        <v>0.62239286928318804</v>
      </c>
    </row>
    <row r="61" spans="1:9">
      <c r="A61" s="14" t="s">
        <v>945</v>
      </c>
      <c r="B61" s="37">
        <f t="shared" ref="B61:E61" si="2">MIN(1,B52)</f>
        <v>0.8287813512345843</v>
      </c>
      <c r="C61" s="37">
        <f t="shared" si="2"/>
        <v>0.74327959748025929</v>
      </c>
      <c r="D61" s="37">
        <f t="shared" si="2"/>
        <v>0.69478413821649876</v>
      </c>
      <c r="E61" s="37">
        <f t="shared" si="2"/>
        <v>0.33191519902679467</v>
      </c>
    </row>
    <row r="62" spans="1:9">
      <c r="A62" s="14" t="s">
        <v>944</v>
      </c>
      <c r="B62" s="37">
        <f t="shared" ref="B62:E62" si="3">MIN(1,B53)</f>
        <v>0.79564462636478717</v>
      </c>
      <c r="C62" s="37">
        <f t="shared" si="3"/>
        <v>0.69359532880917918</v>
      </c>
      <c r="D62" s="37">
        <f t="shared" si="3"/>
        <v>0.63571432245317749</v>
      </c>
      <c r="E62" s="37">
        <f t="shared" si="3"/>
        <v>0.20261770486263125</v>
      </c>
    </row>
    <row r="63" spans="1:9">
      <c r="A63" s="14" t="s">
        <v>943</v>
      </c>
      <c r="B63" s="37">
        <f t="shared" ref="B63:E63" si="4">MIN(1,B54)</f>
        <v>0.74371719201514552</v>
      </c>
      <c r="C63" s="37">
        <f t="shared" si="4"/>
        <v>0.61573680145727949</v>
      </c>
      <c r="D63" s="37">
        <f t="shared" si="4"/>
        <v>0.54314802351604097</v>
      </c>
      <c r="E63" s="37">
        <f t="shared" si="4"/>
        <v>0</v>
      </c>
    </row>
  </sheetData>
  <sheetProtection sheet="1" objects="1" scenarios="1"/>
  <mergeCells count="2">
    <mergeCell ref="B39:E39"/>
    <mergeCell ref="F39:I39"/>
  </mergeCells>
  <pageMargins left="0.74803149606299213" right="0.74803149606299213" top="0.98425196850393704" bottom="0.98425196850393704" header="0.51181102362204722" footer="0.51181102362204722"/>
  <pageSetup paperSize="9" scale="61" orientation="portrait" horizontalDpi="4294967292" verticalDpi="4294967292" r:id="rId1"/>
  <headerFooter>
    <oddHeader>&amp;A&amp;RPage &amp;P</oddHeader>
    <oddFooter>&amp;L&amp;Z&amp;F&amp;R&amp;D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5FFFF"/>
    <pageSetUpPr fitToPage="1"/>
  </sheetPr>
  <dimension ref="A1:I33"/>
  <sheetViews>
    <sheetView workbookViewId="0">
      <selection activeCell="D29" sqref="D29"/>
    </sheetView>
  </sheetViews>
  <sheetFormatPr defaultColWidth="8.85546875" defaultRowHeight="15"/>
  <cols>
    <col min="1" max="1" width="5" style="2" customWidth="1"/>
    <col min="2" max="2" width="38.140625" style="2" bestFit="1" customWidth="1"/>
    <col min="3" max="8" width="9.42578125" style="2" customWidth="1"/>
    <col min="9" max="16384" width="8.85546875" style="2"/>
  </cols>
  <sheetData>
    <row r="1" spans="1:9"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</row>
    <row r="2" spans="1:9">
      <c r="C2" s="2" t="s">
        <v>45</v>
      </c>
      <c r="D2" s="2" t="s">
        <v>45</v>
      </c>
      <c r="E2" s="2" t="s">
        <v>45</v>
      </c>
      <c r="F2" s="2" t="s">
        <v>45</v>
      </c>
      <c r="G2" s="2" t="s">
        <v>45</v>
      </c>
      <c r="H2" s="2" t="s">
        <v>45</v>
      </c>
    </row>
    <row r="3" spans="1:9">
      <c r="A3" s="2">
        <v>1</v>
      </c>
      <c r="B3" s="2" t="s">
        <v>46</v>
      </c>
      <c r="D3" s="46">
        <v>573.6</v>
      </c>
      <c r="E3" s="46">
        <v>577.79999999999995</v>
      </c>
      <c r="F3" s="46">
        <v>579.29999999999995</v>
      </c>
      <c r="G3" s="46">
        <v>578.4</v>
      </c>
      <c r="H3" s="46">
        <v>575</v>
      </c>
      <c r="I3" s="2" t="s">
        <v>47</v>
      </c>
    </row>
    <row r="4" spans="1:9">
      <c r="A4" s="2">
        <v>2</v>
      </c>
      <c r="B4" s="2" t="s">
        <v>48</v>
      </c>
      <c r="D4" s="46">
        <v>49.9</v>
      </c>
      <c r="E4" s="46">
        <v>49.7</v>
      </c>
      <c r="F4" s="46">
        <v>49.7</v>
      </c>
      <c r="G4" s="46">
        <v>49.7</v>
      </c>
      <c r="H4" s="46">
        <v>49.7</v>
      </c>
      <c r="I4" s="2" t="s">
        <v>47</v>
      </c>
    </row>
    <row r="5" spans="1:9">
      <c r="A5" s="2">
        <v>3</v>
      </c>
      <c r="B5" s="2" t="s">
        <v>49</v>
      </c>
      <c r="D5" s="46">
        <v>-45.7</v>
      </c>
      <c r="E5" s="46">
        <v>-48.2</v>
      </c>
      <c r="F5" s="46">
        <v>-50.6</v>
      </c>
      <c r="G5" s="46">
        <v>-53.1</v>
      </c>
      <c r="H5" s="46">
        <v>-55.6</v>
      </c>
      <c r="I5" s="2" t="s">
        <v>47</v>
      </c>
    </row>
    <row r="6" spans="1:9">
      <c r="A6" s="2">
        <v>4</v>
      </c>
      <c r="B6" s="2" t="s">
        <v>50</v>
      </c>
      <c r="D6" s="46">
        <v>577.79999999999995</v>
      </c>
      <c r="E6" s="46">
        <v>579.29999999999995</v>
      </c>
      <c r="F6" s="46">
        <v>578.4</v>
      </c>
      <c r="G6" s="46">
        <v>575</v>
      </c>
      <c r="H6" s="46">
        <v>569.1</v>
      </c>
      <c r="I6" s="2" t="s">
        <v>47</v>
      </c>
    </row>
    <row r="7" spans="1:9">
      <c r="A7" s="2">
        <v>5</v>
      </c>
      <c r="B7" s="2" t="s">
        <v>51</v>
      </c>
      <c r="D7" s="46"/>
      <c r="E7"/>
      <c r="F7" t="s">
        <v>47</v>
      </c>
      <c r="G7"/>
      <c r="H7">
        <v>434.51048876277451</v>
      </c>
    </row>
    <row r="8" spans="1:9">
      <c r="A8" s="2">
        <v>6</v>
      </c>
      <c r="B8" s="2" t="s">
        <v>52</v>
      </c>
      <c r="D8"/>
      <c r="E8" t="s">
        <v>47</v>
      </c>
      <c r="F8"/>
      <c r="G8"/>
      <c r="H8">
        <v>139.08951123722551</v>
      </c>
    </row>
    <row r="9" spans="1:9">
      <c r="A9" s="2" t="s">
        <v>53</v>
      </c>
      <c r="D9"/>
      <c r="E9"/>
      <c r="F9"/>
      <c r="G9"/>
      <c r="H9"/>
    </row>
    <row r="10" spans="1:9">
      <c r="A10" s="2">
        <v>7</v>
      </c>
      <c r="B10" s="2" t="s">
        <v>54</v>
      </c>
      <c r="D10" s="46">
        <v>43</v>
      </c>
      <c r="E10" s="46">
        <v>44.5</v>
      </c>
      <c r="F10" s="46">
        <v>45.1</v>
      </c>
      <c r="G10" s="46">
        <v>44.7</v>
      </c>
      <c r="H10" s="46">
        <v>44.3</v>
      </c>
      <c r="I10" s="2" t="s">
        <v>47</v>
      </c>
    </row>
    <row r="11" spans="1:9">
      <c r="A11" s="2">
        <v>8</v>
      </c>
      <c r="B11" s="2" t="s">
        <v>55</v>
      </c>
      <c r="D11" s="46">
        <v>44.1</v>
      </c>
      <c r="E11" s="46">
        <v>44</v>
      </c>
      <c r="F11" s="46">
        <v>43.8</v>
      </c>
      <c r="G11" s="46">
        <v>43.7</v>
      </c>
      <c r="H11" s="46">
        <v>43.6</v>
      </c>
      <c r="I11" s="2" t="s">
        <v>47</v>
      </c>
    </row>
    <row r="12" spans="1:9">
      <c r="A12" s="2">
        <v>9</v>
      </c>
      <c r="B12" s="2" t="s">
        <v>56</v>
      </c>
      <c r="D12" s="46">
        <v>10</v>
      </c>
      <c r="E12" s="46">
        <v>9.9</v>
      </c>
      <c r="F12" s="46">
        <v>10.199999999999999</v>
      </c>
      <c r="G12" s="46">
        <v>10.4</v>
      </c>
      <c r="H12" s="46">
        <v>10.5</v>
      </c>
      <c r="I12" s="2" t="s">
        <v>47</v>
      </c>
    </row>
    <row r="13" spans="1:9">
      <c r="A13" s="2">
        <v>10</v>
      </c>
      <c r="B13" s="2" t="s">
        <v>57</v>
      </c>
      <c r="D13" s="46">
        <v>13.1</v>
      </c>
      <c r="E13" s="46">
        <v>14.2</v>
      </c>
      <c r="F13" s="46">
        <v>15</v>
      </c>
      <c r="G13" s="46">
        <v>15.9</v>
      </c>
      <c r="H13" s="46">
        <v>16.7</v>
      </c>
      <c r="I13" s="2" t="s">
        <v>47</v>
      </c>
    </row>
    <row r="14" spans="1:9">
      <c r="A14" s="2">
        <v>11</v>
      </c>
      <c r="B14" s="2" t="s">
        <v>58</v>
      </c>
      <c r="D14" s="46">
        <v>-1.7</v>
      </c>
      <c r="E14" s="46">
        <v>-1.1000000000000001</v>
      </c>
      <c r="F14" s="46">
        <v>-0.9</v>
      </c>
      <c r="G14" s="46">
        <v>-0.3</v>
      </c>
      <c r="H14" s="46">
        <v>-0.1</v>
      </c>
      <c r="I14" s="2" t="s">
        <v>47</v>
      </c>
    </row>
    <row r="15" spans="1:9">
      <c r="A15" s="2">
        <v>12</v>
      </c>
      <c r="B15" s="2" t="s">
        <v>59</v>
      </c>
      <c r="D15" s="46">
        <v>1.2</v>
      </c>
      <c r="E15" s="46">
        <v>1.2</v>
      </c>
      <c r="F15" s="46">
        <v>1.2</v>
      </c>
      <c r="G15" s="46">
        <v>1.2</v>
      </c>
      <c r="H15" s="46">
        <v>1.1000000000000001</v>
      </c>
      <c r="I15" s="2" t="s">
        <v>47</v>
      </c>
    </row>
    <row r="16" spans="1:9">
      <c r="A16" s="2">
        <v>13</v>
      </c>
      <c r="B16" s="2" t="s">
        <v>60</v>
      </c>
      <c r="D16" s="46"/>
      <c r="E16" s="46"/>
      <c r="F16" s="46"/>
      <c r="G16" s="46"/>
      <c r="H16" s="46"/>
      <c r="I16" s="2" t="s">
        <v>47</v>
      </c>
    </row>
    <row r="17" spans="1:9">
      <c r="A17" s="2">
        <v>14</v>
      </c>
      <c r="B17" s="2" t="s">
        <v>61</v>
      </c>
      <c r="D17" s="46">
        <v>1.6</v>
      </c>
      <c r="E17" s="46">
        <v>1.6</v>
      </c>
      <c r="F17" s="46">
        <v>1.6</v>
      </c>
      <c r="G17" s="46">
        <v>1.3</v>
      </c>
      <c r="H17" s="46">
        <v>1.3</v>
      </c>
      <c r="I17" s="2" t="s">
        <v>47</v>
      </c>
    </row>
    <row r="18" spans="1:9">
      <c r="A18" s="2">
        <v>15</v>
      </c>
      <c r="B18" s="2" t="s">
        <v>62</v>
      </c>
      <c r="D18">
        <v>0.9</v>
      </c>
      <c r="E18" s="46"/>
      <c r="F18" s="46"/>
      <c r="G18" s="46"/>
      <c r="H18" s="46"/>
      <c r="I18" s="2" t="s">
        <v>47</v>
      </c>
    </row>
    <row r="19" spans="1:9">
      <c r="A19" s="2">
        <v>16</v>
      </c>
      <c r="B19" s="2" t="s">
        <v>63</v>
      </c>
      <c r="D19" s="47">
        <v>112.2</v>
      </c>
      <c r="E19" s="47">
        <v>114.3</v>
      </c>
      <c r="F19" s="47">
        <v>116</v>
      </c>
      <c r="G19" s="47">
        <v>116.9</v>
      </c>
      <c r="H19" s="47">
        <v>117.4</v>
      </c>
      <c r="I19" s="2" t="s">
        <v>47</v>
      </c>
    </row>
    <row r="20" spans="1:9">
      <c r="A20" s="2">
        <v>17</v>
      </c>
      <c r="B20" s="2" t="s">
        <v>64</v>
      </c>
      <c r="D20" s="46">
        <v>109.21292148782669</v>
      </c>
      <c r="E20" s="46">
        <v>105.41192249868327</v>
      </c>
      <c r="F20" s="46">
        <v>101.35935275953834</v>
      </c>
      <c r="G20" s="46">
        <v>96.779346753468715</v>
      </c>
      <c r="H20" s="46">
        <v>92.087060022660708</v>
      </c>
      <c r="I20" s="2" t="s">
        <v>47</v>
      </c>
    </row>
    <row r="21" spans="1:9">
      <c r="A21" s="2">
        <v>18</v>
      </c>
      <c r="B21" s="2" t="s">
        <v>65</v>
      </c>
      <c r="D21"/>
      <c r="E21" t="s">
        <v>47</v>
      </c>
      <c r="F21"/>
      <c r="G21"/>
      <c r="H21">
        <v>139.08951123722551</v>
      </c>
    </row>
    <row r="22" spans="1:9">
      <c r="A22" s="2">
        <v>19</v>
      </c>
      <c r="B22" s="2" t="s">
        <v>66</v>
      </c>
      <c r="D22"/>
      <c r="E22"/>
      <c r="F22"/>
      <c r="G22"/>
      <c r="H22" s="46">
        <v>643.94011475940329</v>
      </c>
    </row>
    <row r="23" spans="1:9">
      <c r="A23" s="2" t="s">
        <v>67</v>
      </c>
      <c r="D23"/>
      <c r="E23"/>
      <c r="F23"/>
      <c r="G23"/>
      <c r="H23"/>
    </row>
    <row r="24" spans="1:9">
      <c r="A24" s="2">
        <v>20</v>
      </c>
      <c r="B24" s="2" t="s">
        <v>68</v>
      </c>
      <c r="D24" s="46">
        <v>1</v>
      </c>
      <c r="E24" s="46">
        <v>1.0129999999999999</v>
      </c>
      <c r="F24" s="46">
        <v>1.026</v>
      </c>
      <c r="G24" s="46">
        <v>1.0369999999999999</v>
      </c>
      <c r="H24" s="46">
        <v>1.05</v>
      </c>
      <c r="I24" s="2" t="s">
        <v>47</v>
      </c>
    </row>
    <row r="25" spans="1:9">
      <c r="A25" s="2">
        <v>21</v>
      </c>
      <c r="B25" s="2" t="s">
        <v>69</v>
      </c>
      <c r="D25" s="46">
        <v>0.97337719686120061</v>
      </c>
      <c r="E25" s="46">
        <v>0.93422814952901245</v>
      </c>
      <c r="F25" s="46">
        <v>0.89650599940764086</v>
      </c>
      <c r="G25" s="46">
        <v>0.85851311020827237</v>
      </c>
      <c r="H25" s="46">
        <v>0.82360658452975932</v>
      </c>
      <c r="I25" s="2" t="s">
        <v>47</v>
      </c>
    </row>
    <row r="26" spans="1:9">
      <c r="A26" s="2">
        <v>22</v>
      </c>
      <c r="B26" s="2" t="s">
        <v>70</v>
      </c>
      <c r="D26" s="48">
        <v>140.70458227880613</v>
      </c>
      <c r="E26" s="48">
        <v>142.53374184843059</v>
      </c>
      <c r="F26" s="48">
        <v>144.36290141805509</v>
      </c>
      <c r="G26" s="48">
        <v>145.91065182312195</v>
      </c>
      <c r="H26" s="49">
        <v>147.73981139274645</v>
      </c>
      <c r="I26" s="2" t="s">
        <v>47</v>
      </c>
    </row>
    <row r="27" spans="1:9">
      <c r="A27" s="2">
        <v>23</v>
      </c>
      <c r="B27" s="2" t="s">
        <v>71</v>
      </c>
      <c r="D27" s="46">
        <v>2.9</v>
      </c>
      <c r="E27" s="46">
        <v>2.9</v>
      </c>
      <c r="F27" s="46">
        <v>2.9</v>
      </c>
      <c r="G27" s="46">
        <v>2.9</v>
      </c>
      <c r="H27" s="46">
        <v>2.9</v>
      </c>
      <c r="I27" s="2" t="s">
        <v>47</v>
      </c>
    </row>
    <row r="28" spans="1:9">
      <c r="A28" s="2">
        <v>24</v>
      </c>
      <c r="B28" s="2" t="s">
        <v>72</v>
      </c>
      <c r="D28" s="46">
        <v>143.60458227880613</v>
      </c>
      <c r="E28" s="46">
        <v>145.4337418484306</v>
      </c>
      <c r="F28" s="46">
        <v>147.26290141805509</v>
      </c>
      <c r="G28" s="46">
        <v>148.81065182312196</v>
      </c>
      <c r="H28" s="46">
        <v>150.63981139274645</v>
      </c>
      <c r="I28" s="2" t="s">
        <v>47</v>
      </c>
    </row>
    <row r="29" spans="1:9">
      <c r="A29" s="2">
        <v>25</v>
      </c>
      <c r="B29" s="2" t="s">
        <v>73</v>
      </c>
      <c r="D29" s="46">
        <v>139.78142575496796</v>
      </c>
      <c r="E29" s="46">
        <v>134.12467475433311</v>
      </c>
      <c r="F29" s="46">
        <v>128.67648597608419</v>
      </c>
      <c r="G29" s="46">
        <v>123.19758488793515</v>
      </c>
      <c r="H29" s="46">
        <v>118.15994338608289</v>
      </c>
      <c r="I29" s="2" t="s">
        <v>47</v>
      </c>
    </row>
    <row r="30" spans="1:9">
      <c r="A30" s="2">
        <v>26</v>
      </c>
      <c r="B30" s="2" t="s">
        <v>66</v>
      </c>
      <c r="D30"/>
      <c r="E30"/>
      <c r="F30"/>
      <c r="G30"/>
      <c r="H30" s="47">
        <v>643.94011475940329</v>
      </c>
    </row>
    <row r="32" spans="1:9">
      <c r="A32" s="2" t="s">
        <v>941</v>
      </c>
    </row>
    <row r="33" spans="1:1">
      <c r="A33" s="2" t="s">
        <v>942</v>
      </c>
    </row>
  </sheetData>
  <phoneticPr fontId="1" type="noConversion"/>
  <pageMargins left="0.75" right="0.75" top="1" bottom="1" header="0.5" footer="0.5"/>
  <pageSetup paperSize="9" scale="7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5FFFF"/>
    <pageSetUpPr fitToPage="1"/>
  </sheetPr>
  <dimension ref="A1:AE147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2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50" t="s">
        <v>74</v>
      </c>
      <c r="B1" s="50"/>
      <c r="F1" t="s">
        <v>47</v>
      </c>
      <c r="G1" s="51" t="s">
        <v>985</v>
      </c>
      <c r="I1" t="s">
        <v>47</v>
      </c>
      <c r="K1" t="s">
        <v>47</v>
      </c>
      <c r="L1" t="s">
        <v>47</v>
      </c>
      <c r="N1" t="s">
        <v>47</v>
      </c>
      <c r="P1" t="s">
        <v>47</v>
      </c>
      <c r="Q1" t="s">
        <v>47</v>
      </c>
      <c r="S1" t="s">
        <v>47</v>
      </c>
      <c r="U1" t="s">
        <v>47</v>
      </c>
      <c r="V1" t="s">
        <v>47</v>
      </c>
      <c r="X1" t="s">
        <v>47</v>
      </c>
      <c r="Z1" t="s">
        <v>47</v>
      </c>
      <c r="AA1" t="s">
        <v>47</v>
      </c>
      <c r="AC1" t="s">
        <v>47</v>
      </c>
      <c r="AE1" t="s">
        <v>47</v>
      </c>
    </row>
    <row r="2" spans="1:31">
      <c r="A2" s="50"/>
      <c r="B2" s="50"/>
    </row>
    <row r="3" spans="1:31">
      <c r="A3" s="50" t="s">
        <v>75</v>
      </c>
      <c r="B3" s="50"/>
    </row>
    <row r="4" spans="1:31">
      <c r="A4" s="50"/>
      <c r="B4" s="50"/>
    </row>
    <row r="5" spans="1:31">
      <c r="A5" s="50"/>
      <c r="B5" s="50" t="s">
        <v>76</v>
      </c>
    </row>
    <row r="6" spans="1:31" ht="13.5" thickBot="1"/>
    <row r="7" spans="1:31" s="52" customFormat="1" ht="15" customHeight="1" thickBot="1">
      <c r="B7" s="1201" t="s">
        <v>77</v>
      </c>
      <c r="C7" s="1202"/>
      <c r="D7" s="1202"/>
      <c r="E7" s="1203"/>
      <c r="F7" s="1207" t="s">
        <v>78</v>
      </c>
      <c r="G7" s="1198" t="s">
        <v>79</v>
      </c>
      <c r="H7" s="1198"/>
      <c r="I7" s="1198"/>
      <c r="J7" s="1198"/>
      <c r="K7" s="1199"/>
      <c r="L7" s="1198" t="s">
        <v>80</v>
      </c>
      <c r="M7" s="1198"/>
      <c r="N7" s="1198"/>
      <c r="O7" s="1198"/>
      <c r="P7" s="1199"/>
      <c r="Q7" s="1197" t="s">
        <v>81</v>
      </c>
      <c r="R7" s="1198"/>
      <c r="S7" s="1198"/>
      <c r="T7" s="1198"/>
      <c r="U7" s="1199"/>
      <c r="V7" s="1197" t="s">
        <v>82</v>
      </c>
      <c r="W7" s="1198"/>
      <c r="X7" s="1198"/>
      <c r="Y7" s="1198"/>
      <c r="Z7" s="1199"/>
      <c r="AA7" s="1197" t="s">
        <v>44</v>
      </c>
      <c r="AB7" s="1198"/>
      <c r="AC7" s="1198"/>
      <c r="AD7" s="1198"/>
      <c r="AE7" s="1199"/>
    </row>
    <row r="8" spans="1:31" ht="38.25">
      <c r="B8" s="1195"/>
      <c r="C8" s="1200"/>
      <c r="D8" s="1200"/>
      <c r="E8" s="1196"/>
      <c r="F8" s="1208"/>
      <c r="G8" s="1200" t="s">
        <v>83</v>
      </c>
      <c r="H8" s="1200"/>
      <c r="I8" s="1195" t="s">
        <v>84</v>
      </c>
      <c r="J8" s="1200"/>
      <c r="K8" s="53" t="s">
        <v>85</v>
      </c>
      <c r="L8" s="1200" t="s">
        <v>83</v>
      </c>
      <c r="M8" s="1200"/>
      <c r="N8" s="1195" t="s">
        <v>84</v>
      </c>
      <c r="O8" s="1196"/>
      <c r="P8" s="54" t="s">
        <v>85</v>
      </c>
      <c r="Q8" s="1200" t="s">
        <v>83</v>
      </c>
      <c r="R8" s="1200"/>
      <c r="S8" s="1195" t="s">
        <v>84</v>
      </c>
      <c r="T8" s="1200"/>
      <c r="U8" s="53" t="s">
        <v>85</v>
      </c>
      <c r="V8" s="1200" t="s">
        <v>83</v>
      </c>
      <c r="W8" s="1200"/>
      <c r="X8" s="1195" t="s">
        <v>84</v>
      </c>
      <c r="Y8" s="1196"/>
      <c r="Z8" s="54" t="s">
        <v>85</v>
      </c>
      <c r="AA8" s="1200" t="s">
        <v>83</v>
      </c>
      <c r="AB8" s="1200"/>
      <c r="AC8" s="1195" t="s">
        <v>84</v>
      </c>
      <c r="AD8" s="1196"/>
      <c r="AE8" s="54" t="s">
        <v>86</v>
      </c>
    </row>
    <row r="9" spans="1:31" s="52" customFormat="1" ht="15.75" customHeight="1" thickBot="1">
      <c r="B9" s="1204"/>
      <c r="C9" s="1205"/>
      <c r="D9" s="1205"/>
      <c r="E9" s="1206"/>
      <c r="F9" s="1209"/>
      <c r="G9" s="55" t="s">
        <v>87</v>
      </c>
      <c r="H9" s="56" t="s">
        <v>88</v>
      </c>
      <c r="I9" s="57" t="s">
        <v>87</v>
      </c>
      <c r="J9" s="58" t="s">
        <v>88</v>
      </c>
      <c r="K9" s="59" t="s">
        <v>79</v>
      </c>
      <c r="L9" s="55" t="s">
        <v>87</v>
      </c>
      <c r="M9" s="56" t="s">
        <v>88</v>
      </c>
      <c r="N9" s="57" t="s">
        <v>87</v>
      </c>
      <c r="O9" s="60" t="s">
        <v>88</v>
      </c>
      <c r="P9" s="61" t="s">
        <v>80</v>
      </c>
      <c r="Q9" s="55" t="s">
        <v>87</v>
      </c>
      <c r="R9" s="56" t="s">
        <v>88</v>
      </c>
      <c r="S9" s="57" t="s">
        <v>87</v>
      </c>
      <c r="T9" s="58" t="s">
        <v>88</v>
      </c>
      <c r="U9" s="59" t="s">
        <v>81</v>
      </c>
      <c r="V9" s="55" t="s">
        <v>87</v>
      </c>
      <c r="W9" s="56" t="s">
        <v>88</v>
      </c>
      <c r="X9" s="57" t="s">
        <v>87</v>
      </c>
      <c r="Y9" s="60" t="s">
        <v>88</v>
      </c>
      <c r="Z9" s="61" t="s">
        <v>82</v>
      </c>
      <c r="AA9" s="55" t="s">
        <v>87</v>
      </c>
      <c r="AB9" s="56" t="s">
        <v>88</v>
      </c>
      <c r="AC9" s="57" t="s">
        <v>87</v>
      </c>
      <c r="AD9" s="60" t="s">
        <v>88</v>
      </c>
      <c r="AE9" s="61" t="s">
        <v>44</v>
      </c>
    </row>
    <row r="10" spans="1:31" s="52" customFormat="1" ht="15.75" customHeight="1">
      <c r="B10" s="62"/>
      <c r="C10" s="63" t="s">
        <v>89</v>
      </c>
      <c r="D10" s="63"/>
      <c r="E10" s="64"/>
      <c r="F10" s="65"/>
      <c r="G10" s="66"/>
      <c r="H10" s="67"/>
      <c r="I10" s="66"/>
      <c r="J10" s="68"/>
      <c r="K10" s="65"/>
      <c r="L10" s="66"/>
      <c r="M10" s="67"/>
      <c r="N10" s="66"/>
      <c r="O10" s="68"/>
      <c r="P10" s="65"/>
      <c r="Q10" s="66"/>
      <c r="R10" s="67"/>
      <c r="S10" s="66"/>
      <c r="T10" s="68"/>
      <c r="U10" s="65"/>
      <c r="V10" s="66"/>
      <c r="W10" s="67"/>
      <c r="X10" s="66"/>
      <c r="Y10" s="67"/>
      <c r="Z10" s="65"/>
      <c r="AA10" s="66"/>
      <c r="AB10" s="67"/>
      <c r="AC10" s="66"/>
      <c r="AD10" s="67"/>
      <c r="AE10" s="65"/>
    </row>
    <row r="11" spans="1:31" s="52" customFormat="1" ht="15.75" customHeight="1">
      <c r="B11" s="62"/>
      <c r="C11" s="64"/>
      <c r="D11" s="63" t="s">
        <v>90</v>
      </c>
      <c r="E11" s="64"/>
      <c r="F11" s="69"/>
      <c r="G11" s="70"/>
      <c r="H11" s="71"/>
      <c r="I11" s="70"/>
      <c r="J11" s="72"/>
      <c r="K11" s="69"/>
      <c r="L11" s="70"/>
      <c r="M11" s="71"/>
      <c r="N11" s="70"/>
      <c r="O11" s="72"/>
      <c r="P11" s="69"/>
      <c r="Q11" s="70"/>
      <c r="R11" s="71"/>
      <c r="S11" s="70"/>
      <c r="T11" s="72"/>
      <c r="U11" s="73"/>
      <c r="V11" s="70"/>
      <c r="W11" s="71"/>
      <c r="X11" s="70"/>
      <c r="Y11" s="71"/>
      <c r="Z11" s="69"/>
      <c r="AA11" s="70"/>
      <c r="AB11" s="71"/>
      <c r="AC11" s="70"/>
      <c r="AD11" s="71"/>
      <c r="AE11" s="69"/>
    </row>
    <row r="12" spans="1:31" s="52" customFormat="1" ht="15.75" customHeight="1">
      <c r="B12" s="74"/>
      <c r="C12" s="64"/>
      <c r="D12" s="64"/>
      <c r="E12" s="64" t="s">
        <v>91</v>
      </c>
      <c r="F12" s="75">
        <v>3215</v>
      </c>
      <c r="G12" s="76">
        <v>0</v>
      </c>
      <c r="H12" s="77">
        <v>9</v>
      </c>
      <c r="I12" s="76">
        <v>0</v>
      </c>
      <c r="J12" s="77">
        <v>4</v>
      </c>
      <c r="K12" s="75">
        <v>3210</v>
      </c>
      <c r="L12" s="76">
        <v>0</v>
      </c>
      <c r="M12" s="77">
        <v>61</v>
      </c>
      <c r="N12" s="76">
        <v>0</v>
      </c>
      <c r="O12" s="77">
        <v>56</v>
      </c>
      <c r="P12" s="75">
        <v>3205</v>
      </c>
      <c r="Q12" s="76">
        <v>0</v>
      </c>
      <c r="R12" s="77">
        <v>66</v>
      </c>
      <c r="S12" s="76">
        <v>0</v>
      </c>
      <c r="T12" s="77">
        <v>54</v>
      </c>
      <c r="U12" s="78">
        <v>3193</v>
      </c>
      <c r="V12" s="76">
        <v>0</v>
      </c>
      <c r="W12" s="77">
        <v>39</v>
      </c>
      <c r="X12" s="76">
        <v>0</v>
      </c>
      <c r="Y12" s="77">
        <v>39</v>
      </c>
      <c r="Z12" s="75">
        <v>3193</v>
      </c>
      <c r="AA12" s="76">
        <v>0</v>
      </c>
      <c r="AB12" s="77">
        <v>43</v>
      </c>
      <c r="AC12" s="76">
        <v>0</v>
      </c>
      <c r="AD12" s="77">
        <v>42</v>
      </c>
      <c r="AE12" s="75">
        <v>3192</v>
      </c>
    </row>
    <row r="13" spans="1:31" s="52" customFormat="1" ht="15.75" customHeight="1">
      <c r="B13" s="74"/>
      <c r="C13" s="64"/>
      <c r="D13" s="64"/>
      <c r="E13" s="64" t="s">
        <v>92</v>
      </c>
      <c r="F13" s="75">
        <v>317000</v>
      </c>
      <c r="G13" s="76">
        <v>0</v>
      </c>
      <c r="H13" s="77">
        <v>5256</v>
      </c>
      <c r="I13" s="76">
        <v>0</v>
      </c>
      <c r="J13" s="79">
        <v>5256</v>
      </c>
      <c r="K13" s="75">
        <v>317000</v>
      </c>
      <c r="L13" s="76">
        <v>0</v>
      </c>
      <c r="M13" s="77">
        <v>5428</v>
      </c>
      <c r="N13" s="76">
        <v>0</v>
      </c>
      <c r="O13" s="79">
        <v>5428</v>
      </c>
      <c r="P13" s="75">
        <v>317000</v>
      </c>
      <c r="Q13" s="76">
        <v>0</v>
      </c>
      <c r="R13" s="77">
        <v>9048</v>
      </c>
      <c r="S13" s="76">
        <v>0</v>
      </c>
      <c r="T13" s="79">
        <v>9048</v>
      </c>
      <c r="U13" s="78">
        <v>317000</v>
      </c>
      <c r="V13" s="76">
        <v>0</v>
      </c>
      <c r="W13" s="77">
        <v>5000</v>
      </c>
      <c r="X13" s="76">
        <v>0</v>
      </c>
      <c r="Y13" s="77">
        <v>5000</v>
      </c>
      <c r="Z13" s="75">
        <v>317000</v>
      </c>
      <c r="AA13" s="76">
        <v>0</v>
      </c>
      <c r="AB13" s="77">
        <v>2500</v>
      </c>
      <c r="AC13" s="76">
        <v>0</v>
      </c>
      <c r="AD13" s="77">
        <v>2500</v>
      </c>
      <c r="AE13" s="75">
        <v>317000</v>
      </c>
    </row>
    <row r="14" spans="1:31" s="52" customFormat="1" ht="15.75" customHeight="1">
      <c r="B14" s="74"/>
      <c r="C14" s="64"/>
      <c r="D14" s="64"/>
      <c r="E14" s="64"/>
      <c r="F14" s="80"/>
      <c r="G14" s="81"/>
      <c r="H14" s="82"/>
      <c r="I14" s="81"/>
      <c r="J14" s="83"/>
      <c r="K14" s="80"/>
      <c r="L14" s="81"/>
      <c r="M14" s="82"/>
      <c r="N14" s="81"/>
      <c r="O14" s="83"/>
      <c r="P14" s="80"/>
      <c r="Q14" s="81"/>
      <c r="R14" s="82"/>
      <c r="S14" s="81"/>
      <c r="T14" s="83"/>
      <c r="U14" s="84"/>
      <c r="V14" s="81"/>
      <c r="W14" s="82"/>
      <c r="X14" s="81"/>
      <c r="Y14" s="82"/>
      <c r="Z14" s="80"/>
      <c r="AA14" s="81"/>
      <c r="AB14" s="82"/>
      <c r="AC14" s="81"/>
      <c r="AD14" s="82"/>
      <c r="AE14" s="80"/>
    </row>
    <row r="15" spans="1:31" s="52" customFormat="1" ht="15.75" customHeight="1">
      <c r="B15" s="74"/>
      <c r="C15" s="64"/>
      <c r="D15" s="63" t="s">
        <v>93</v>
      </c>
      <c r="E15" s="64"/>
      <c r="F15" s="80"/>
      <c r="G15" s="81"/>
      <c r="H15" s="82"/>
      <c r="I15" s="81"/>
      <c r="J15" s="83"/>
      <c r="K15" s="80"/>
      <c r="L15" s="81"/>
      <c r="M15" s="82"/>
      <c r="N15" s="81"/>
      <c r="O15" s="83"/>
      <c r="P15" s="80"/>
      <c r="Q15" s="81"/>
      <c r="R15" s="82"/>
      <c r="S15" s="81"/>
      <c r="T15" s="83"/>
      <c r="U15" s="84"/>
      <c r="V15" s="81"/>
      <c r="W15" s="82"/>
      <c r="X15" s="81"/>
      <c r="Y15" s="82"/>
      <c r="Z15" s="80"/>
      <c r="AA15" s="81"/>
      <c r="AB15" s="82"/>
      <c r="AC15" s="81"/>
      <c r="AD15" s="82"/>
      <c r="AE15" s="80"/>
    </row>
    <row r="16" spans="1:31" s="52" customFormat="1" ht="15.75" customHeight="1">
      <c r="B16" s="74"/>
      <c r="C16" s="64"/>
      <c r="D16" s="64"/>
      <c r="E16" s="64" t="s">
        <v>94</v>
      </c>
      <c r="F16" s="75">
        <v>98008</v>
      </c>
      <c r="G16" s="76">
        <v>0</v>
      </c>
      <c r="H16" s="77">
        <v>1043</v>
      </c>
      <c r="I16" s="76">
        <v>0</v>
      </c>
      <c r="J16" s="79">
        <v>961</v>
      </c>
      <c r="K16" s="75">
        <v>97926</v>
      </c>
      <c r="L16" s="76">
        <v>0</v>
      </c>
      <c r="M16" s="77">
        <v>1028</v>
      </c>
      <c r="N16" s="76">
        <v>0</v>
      </c>
      <c r="O16" s="79">
        <v>833</v>
      </c>
      <c r="P16" s="75">
        <v>97731</v>
      </c>
      <c r="Q16" s="76">
        <v>0</v>
      </c>
      <c r="R16" s="77">
        <v>900</v>
      </c>
      <c r="S16" s="76">
        <v>0</v>
      </c>
      <c r="T16" s="79">
        <v>734</v>
      </c>
      <c r="U16" s="78">
        <v>97565</v>
      </c>
      <c r="V16" s="76">
        <v>0</v>
      </c>
      <c r="W16" s="77">
        <v>840</v>
      </c>
      <c r="X16" s="76">
        <v>0</v>
      </c>
      <c r="Y16" s="77">
        <v>840</v>
      </c>
      <c r="Z16" s="75">
        <v>97565</v>
      </c>
      <c r="AA16" s="76">
        <v>0</v>
      </c>
      <c r="AB16" s="77">
        <v>845</v>
      </c>
      <c r="AC16" s="76">
        <v>0</v>
      </c>
      <c r="AD16" s="77">
        <v>826</v>
      </c>
      <c r="AE16" s="75">
        <v>97546</v>
      </c>
    </row>
    <row r="17" spans="2:31" s="52" customFormat="1" ht="15.75" customHeight="1">
      <c r="B17" s="74"/>
      <c r="C17" s="64"/>
      <c r="D17" s="64"/>
      <c r="E17" s="64"/>
      <c r="F17" s="80"/>
      <c r="G17" s="81"/>
      <c r="H17" s="82"/>
      <c r="I17" s="81"/>
      <c r="J17" s="83"/>
      <c r="K17" s="80"/>
      <c r="L17" s="81"/>
      <c r="M17" s="82"/>
      <c r="N17" s="81"/>
      <c r="O17" s="83"/>
      <c r="P17" s="80"/>
      <c r="Q17" s="81"/>
      <c r="R17" s="82"/>
      <c r="S17" s="81"/>
      <c r="T17" s="83"/>
      <c r="U17" s="84"/>
      <c r="V17" s="81"/>
      <c r="W17" s="82"/>
      <c r="X17" s="81"/>
      <c r="Y17" s="82"/>
      <c r="Z17" s="80"/>
      <c r="AA17" s="81"/>
      <c r="AB17" s="82"/>
      <c r="AC17" s="81"/>
      <c r="AD17" s="82"/>
      <c r="AE17" s="80"/>
    </row>
    <row r="18" spans="2:31" s="52" customFormat="1" ht="15.75" customHeight="1">
      <c r="B18" s="74"/>
      <c r="C18" s="64"/>
      <c r="D18" s="63" t="s">
        <v>95</v>
      </c>
      <c r="E18" s="64"/>
      <c r="F18" s="80"/>
      <c r="G18" s="81"/>
      <c r="H18" s="82"/>
      <c r="I18" s="81"/>
      <c r="J18" s="83"/>
      <c r="K18" s="80"/>
      <c r="L18" s="81"/>
      <c r="M18" s="82"/>
      <c r="N18" s="81"/>
      <c r="O18" s="83"/>
      <c r="P18" s="80"/>
      <c r="Q18" s="81"/>
      <c r="R18" s="82"/>
      <c r="S18" s="81"/>
      <c r="T18" s="83"/>
      <c r="U18" s="84"/>
      <c r="V18" s="81"/>
      <c r="W18" s="82"/>
      <c r="X18" s="81"/>
      <c r="Y18" s="82"/>
      <c r="Z18" s="80"/>
      <c r="AA18" s="81"/>
      <c r="AB18" s="82"/>
      <c r="AC18" s="81"/>
      <c r="AD18" s="82"/>
      <c r="AE18" s="80"/>
    </row>
    <row r="19" spans="2:31" s="52" customFormat="1" ht="15.75" customHeight="1">
      <c r="B19" s="74"/>
      <c r="C19" s="64"/>
      <c r="D19" s="63"/>
      <c r="E19" s="64" t="s">
        <v>96</v>
      </c>
      <c r="F19" s="75">
        <v>0</v>
      </c>
      <c r="G19" s="76">
        <v>0</v>
      </c>
      <c r="H19" s="77">
        <v>0</v>
      </c>
      <c r="I19" s="76" t="s">
        <v>986</v>
      </c>
      <c r="J19" s="79">
        <v>0</v>
      </c>
      <c r="K19" s="75">
        <v>0</v>
      </c>
      <c r="L19" s="76">
        <v>0</v>
      </c>
      <c r="M19" s="77">
        <v>0</v>
      </c>
      <c r="N19" s="76" t="s">
        <v>986</v>
      </c>
      <c r="O19" s="79">
        <v>0</v>
      </c>
      <c r="P19" s="75">
        <v>0</v>
      </c>
      <c r="Q19" s="76">
        <v>0</v>
      </c>
      <c r="R19" s="77">
        <v>0</v>
      </c>
      <c r="S19" s="76" t="s">
        <v>986</v>
      </c>
      <c r="T19" s="79">
        <v>0</v>
      </c>
      <c r="U19" s="78">
        <v>0</v>
      </c>
      <c r="V19" s="76">
        <v>0</v>
      </c>
      <c r="W19" s="77">
        <v>0</v>
      </c>
      <c r="X19" s="76">
        <v>0</v>
      </c>
      <c r="Y19" s="77">
        <v>0</v>
      </c>
      <c r="Z19" s="75">
        <v>0</v>
      </c>
      <c r="AA19" s="76">
        <v>0</v>
      </c>
      <c r="AB19" s="77">
        <v>0</v>
      </c>
      <c r="AC19" s="76">
        <v>0</v>
      </c>
      <c r="AD19" s="77">
        <v>0</v>
      </c>
      <c r="AE19" s="75">
        <v>0</v>
      </c>
    </row>
    <row r="20" spans="2:31" s="52" customFormat="1" ht="15.75" customHeight="1">
      <c r="B20" s="74"/>
      <c r="C20" s="64"/>
      <c r="D20" s="63"/>
      <c r="E20" s="64" t="s">
        <v>97</v>
      </c>
      <c r="F20" s="75">
        <v>3999</v>
      </c>
      <c r="G20" s="76">
        <v>0</v>
      </c>
      <c r="H20" s="77">
        <v>0</v>
      </c>
      <c r="I20" s="76">
        <v>248</v>
      </c>
      <c r="J20" s="79">
        <v>4</v>
      </c>
      <c r="K20" s="75">
        <v>4251</v>
      </c>
      <c r="L20" s="76">
        <v>0</v>
      </c>
      <c r="M20" s="77">
        <v>2</v>
      </c>
      <c r="N20" s="76">
        <v>134.79</v>
      </c>
      <c r="O20" s="79">
        <v>9.4</v>
      </c>
      <c r="P20" s="75">
        <v>4393.1899999999996</v>
      </c>
      <c r="Q20" s="76">
        <v>0</v>
      </c>
      <c r="R20" s="77">
        <v>2</v>
      </c>
      <c r="S20" s="76">
        <v>143.9</v>
      </c>
      <c r="T20" s="79">
        <v>2</v>
      </c>
      <c r="U20" s="78">
        <v>4537.09</v>
      </c>
      <c r="V20" s="76">
        <v>0</v>
      </c>
      <c r="W20" s="77">
        <v>0</v>
      </c>
      <c r="X20" s="76">
        <v>117</v>
      </c>
      <c r="Y20" s="77">
        <v>2</v>
      </c>
      <c r="Z20" s="75">
        <v>4656.09</v>
      </c>
      <c r="AA20" s="76">
        <v>0</v>
      </c>
      <c r="AB20" s="77">
        <v>0</v>
      </c>
      <c r="AC20" s="76">
        <v>113</v>
      </c>
      <c r="AD20" s="77">
        <v>3</v>
      </c>
      <c r="AE20" s="75">
        <v>4772.09</v>
      </c>
    </row>
    <row r="21" spans="2:31" s="52" customFormat="1" ht="15.75" customHeight="1">
      <c r="B21" s="74"/>
      <c r="C21" s="64"/>
      <c r="D21" s="63"/>
      <c r="E21" s="64" t="s">
        <v>98</v>
      </c>
      <c r="F21" s="75">
        <v>6214.9</v>
      </c>
      <c r="G21" s="76">
        <v>0</v>
      </c>
      <c r="H21" s="77">
        <v>4</v>
      </c>
      <c r="I21" s="76" t="s">
        <v>986</v>
      </c>
      <c r="J21" s="79">
        <v>0</v>
      </c>
      <c r="K21" s="75">
        <v>6210.9</v>
      </c>
      <c r="L21" s="76">
        <v>0</v>
      </c>
      <c r="M21" s="77">
        <v>7.4</v>
      </c>
      <c r="N21" s="76" t="s">
        <v>986</v>
      </c>
      <c r="O21" s="79">
        <v>0</v>
      </c>
      <c r="P21" s="75">
        <v>6203.5</v>
      </c>
      <c r="Q21" s="76">
        <v>0</v>
      </c>
      <c r="R21" s="77">
        <v>5</v>
      </c>
      <c r="S21" s="76" t="s">
        <v>986</v>
      </c>
      <c r="T21" s="79">
        <v>0</v>
      </c>
      <c r="U21" s="78">
        <v>6198.5</v>
      </c>
      <c r="V21" s="76">
        <v>0</v>
      </c>
      <c r="W21" s="77">
        <v>2</v>
      </c>
      <c r="X21" s="76">
        <v>0</v>
      </c>
      <c r="Y21" s="77">
        <v>0</v>
      </c>
      <c r="Z21" s="75">
        <v>6196.5</v>
      </c>
      <c r="AA21" s="76">
        <v>0</v>
      </c>
      <c r="AB21" s="77">
        <v>2</v>
      </c>
      <c r="AC21" s="76">
        <v>0</v>
      </c>
      <c r="AD21" s="77">
        <v>0</v>
      </c>
      <c r="AE21" s="75">
        <v>6194.5</v>
      </c>
    </row>
    <row r="22" spans="2:31" s="52" customFormat="1" ht="15.75" customHeight="1">
      <c r="B22" s="74"/>
      <c r="C22" s="64"/>
      <c r="D22" s="63"/>
      <c r="E22" s="64" t="s">
        <v>99</v>
      </c>
      <c r="F22" s="75">
        <v>732157</v>
      </c>
      <c r="G22" s="76">
        <v>0</v>
      </c>
      <c r="H22" s="77">
        <v>0</v>
      </c>
      <c r="I22" s="76">
        <v>10675</v>
      </c>
      <c r="J22" s="79">
        <v>0</v>
      </c>
      <c r="K22" s="75">
        <v>742832</v>
      </c>
      <c r="L22" s="76">
        <v>0</v>
      </c>
      <c r="M22" s="77">
        <v>0</v>
      </c>
      <c r="N22" s="76">
        <v>11542</v>
      </c>
      <c r="O22" s="79">
        <v>0</v>
      </c>
      <c r="P22" s="75">
        <v>754374</v>
      </c>
      <c r="Q22" s="76">
        <v>0</v>
      </c>
      <c r="R22" s="77">
        <v>0</v>
      </c>
      <c r="S22" s="76">
        <v>8211</v>
      </c>
      <c r="T22" s="79">
        <v>0</v>
      </c>
      <c r="U22" s="78">
        <v>762585</v>
      </c>
      <c r="V22" s="76">
        <v>0</v>
      </c>
      <c r="W22" s="77">
        <v>1100</v>
      </c>
      <c r="X22" s="76">
        <v>8288</v>
      </c>
      <c r="Y22" s="77">
        <v>1100</v>
      </c>
      <c r="Z22" s="75">
        <v>770873</v>
      </c>
      <c r="AA22" s="76">
        <v>0</v>
      </c>
      <c r="AB22" s="77">
        <v>750</v>
      </c>
      <c r="AC22" s="76">
        <v>7973</v>
      </c>
      <c r="AD22" s="77">
        <v>750</v>
      </c>
      <c r="AE22" s="75">
        <v>778846</v>
      </c>
    </row>
    <row r="23" spans="2:31" s="52" customFormat="1" ht="15.75" customHeight="1">
      <c r="B23" s="74"/>
      <c r="C23" s="64"/>
      <c r="D23" s="64"/>
      <c r="E23" s="64"/>
      <c r="F23" s="80"/>
      <c r="G23" s="81"/>
      <c r="H23" s="82"/>
      <c r="I23" s="81"/>
      <c r="J23" s="83"/>
      <c r="K23" s="80"/>
      <c r="L23" s="81"/>
      <c r="M23" s="82"/>
      <c r="N23" s="81"/>
      <c r="O23" s="83"/>
      <c r="P23" s="80"/>
      <c r="Q23" s="81"/>
      <c r="R23" s="82"/>
      <c r="S23" s="81"/>
      <c r="T23" s="83"/>
      <c r="U23" s="84"/>
      <c r="V23" s="81"/>
      <c r="W23" s="82"/>
      <c r="X23" s="81"/>
      <c r="Y23" s="82"/>
      <c r="Z23" s="80"/>
      <c r="AA23" s="81"/>
      <c r="AB23" s="82"/>
      <c r="AC23" s="81"/>
      <c r="AD23" s="82"/>
      <c r="AE23" s="80"/>
    </row>
    <row r="24" spans="2:31" s="52" customFormat="1" ht="15.75" customHeight="1">
      <c r="B24" s="74"/>
      <c r="C24" s="64"/>
      <c r="D24" s="63" t="s">
        <v>100</v>
      </c>
      <c r="E24" s="64"/>
      <c r="F24" s="80"/>
      <c r="G24" s="81"/>
      <c r="H24" s="82"/>
      <c r="I24" s="81"/>
      <c r="J24" s="83"/>
      <c r="K24" s="80"/>
      <c r="L24" s="81"/>
      <c r="M24" s="82"/>
      <c r="N24" s="81"/>
      <c r="O24" s="83"/>
      <c r="P24" s="80"/>
      <c r="Q24" s="81"/>
      <c r="R24" s="82"/>
      <c r="S24" s="81"/>
      <c r="T24" s="83"/>
      <c r="U24" s="84"/>
      <c r="V24" s="81"/>
      <c r="W24" s="82"/>
      <c r="X24" s="81"/>
      <c r="Y24" s="82"/>
      <c r="Z24" s="80"/>
      <c r="AA24" s="81"/>
      <c r="AB24" s="82"/>
      <c r="AC24" s="81"/>
      <c r="AD24" s="82"/>
      <c r="AE24" s="80"/>
    </row>
    <row r="25" spans="2:31" s="52" customFormat="1" ht="15.75" customHeight="1">
      <c r="B25" s="74"/>
      <c r="C25" s="64"/>
      <c r="D25" s="63"/>
      <c r="E25" s="64" t="s">
        <v>101</v>
      </c>
      <c r="F25" s="75">
        <v>3736</v>
      </c>
      <c r="G25" s="76">
        <v>0</v>
      </c>
      <c r="H25" s="77">
        <v>0</v>
      </c>
      <c r="I25" s="76">
        <v>40</v>
      </c>
      <c r="J25" s="79">
        <v>65</v>
      </c>
      <c r="K25" s="75">
        <v>3841</v>
      </c>
      <c r="L25" s="76">
        <v>0</v>
      </c>
      <c r="M25" s="77">
        <v>22</v>
      </c>
      <c r="N25" s="76">
        <v>38</v>
      </c>
      <c r="O25" s="79">
        <v>59</v>
      </c>
      <c r="P25" s="75">
        <v>3916</v>
      </c>
      <c r="Q25" s="76">
        <v>0</v>
      </c>
      <c r="R25" s="77">
        <v>53</v>
      </c>
      <c r="S25" s="76">
        <v>54</v>
      </c>
      <c r="T25" s="79">
        <v>88</v>
      </c>
      <c r="U25" s="78">
        <v>4005</v>
      </c>
      <c r="V25" s="76">
        <v>0</v>
      </c>
      <c r="W25" s="77">
        <v>0</v>
      </c>
      <c r="X25" s="76">
        <v>39</v>
      </c>
      <c r="Y25" s="77">
        <v>0</v>
      </c>
      <c r="Z25" s="75">
        <v>4044</v>
      </c>
      <c r="AA25" s="76">
        <v>0</v>
      </c>
      <c r="AB25" s="77">
        <v>0</v>
      </c>
      <c r="AC25" s="76">
        <v>37</v>
      </c>
      <c r="AD25" s="77">
        <v>0</v>
      </c>
      <c r="AE25" s="75">
        <v>4081</v>
      </c>
    </row>
    <row r="26" spans="2:31" s="52" customFormat="1" ht="15.75" customHeight="1">
      <c r="B26" s="74"/>
      <c r="C26" s="64"/>
      <c r="D26" s="63"/>
      <c r="E26" s="64" t="s">
        <v>102</v>
      </c>
      <c r="F26" s="75">
        <v>3893</v>
      </c>
      <c r="G26" s="76">
        <v>21</v>
      </c>
      <c r="H26" s="77">
        <v>8</v>
      </c>
      <c r="I26" s="76">
        <v>1</v>
      </c>
      <c r="J26" s="79">
        <v>8</v>
      </c>
      <c r="K26" s="75">
        <v>3873</v>
      </c>
      <c r="L26" s="76">
        <v>23</v>
      </c>
      <c r="M26" s="77">
        <v>14</v>
      </c>
      <c r="N26" s="76">
        <v>1</v>
      </c>
      <c r="O26" s="79">
        <v>13</v>
      </c>
      <c r="P26" s="75">
        <v>3850</v>
      </c>
      <c r="Q26" s="76">
        <v>29</v>
      </c>
      <c r="R26" s="77">
        <v>14</v>
      </c>
      <c r="S26" s="76">
        <v>3</v>
      </c>
      <c r="T26" s="79">
        <v>14</v>
      </c>
      <c r="U26" s="78">
        <v>3824</v>
      </c>
      <c r="V26" s="76">
        <v>22</v>
      </c>
      <c r="W26" s="77">
        <v>30</v>
      </c>
      <c r="X26" s="76">
        <v>2</v>
      </c>
      <c r="Y26" s="77">
        <v>30</v>
      </c>
      <c r="Z26" s="75">
        <v>3804</v>
      </c>
      <c r="AA26" s="76">
        <v>21</v>
      </c>
      <c r="AB26" s="77">
        <v>40</v>
      </c>
      <c r="AC26" s="76">
        <v>2</v>
      </c>
      <c r="AD26" s="77">
        <v>40</v>
      </c>
      <c r="AE26" s="75">
        <v>3785</v>
      </c>
    </row>
    <row r="27" spans="2:31" s="52" customFormat="1" ht="15.75" customHeight="1">
      <c r="B27" s="74"/>
      <c r="C27" s="64"/>
      <c r="D27" s="63"/>
      <c r="E27" s="64" t="s">
        <v>103</v>
      </c>
      <c r="F27" s="75">
        <v>215</v>
      </c>
      <c r="G27" s="76">
        <v>1</v>
      </c>
      <c r="H27" s="77">
        <v>0</v>
      </c>
      <c r="I27" s="76">
        <v>0</v>
      </c>
      <c r="J27" s="79">
        <v>0</v>
      </c>
      <c r="K27" s="75">
        <v>214</v>
      </c>
      <c r="L27" s="76">
        <v>11</v>
      </c>
      <c r="M27" s="77">
        <v>0</v>
      </c>
      <c r="N27" s="76">
        <v>0</v>
      </c>
      <c r="O27" s="79">
        <v>0</v>
      </c>
      <c r="P27" s="75">
        <v>203</v>
      </c>
      <c r="Q27" s="76">
        <v>0</v>
      </c>
      <c r="R27" s="77">
        <v>0</v>
      </c>
      <c r="S27" s="76">
        <v>3</v>
      </c>
      <c r="T27" s="79">
        <v>0</v>
      </c>
      <c r="U27" s="78">
        <v>206</v>
      </c>
      <c r="V27" s="76">
        <v>5</v>
      </c>
      <c r="W27" s="77">
        <v>0</v>
      </c>
      <c r="X27" s="76">
        <v>1</v>
      </c>
      <c r="Y27" s="77">
        <v>0</v>
      </c>
      <c r="Z27" s="75">
        <v>202</v>
      </c>
      <c r="AA27" s="76">
        <v>4</v>
      </c>
      <c r="AB27" s="77">
        <v>0</v>
      </c>
      <c r="AC27" s="76">
        <v>1</v>
      </c>
      <c r="AD27" s="77">
        <v>0</v>
      </c>
      <c r="AE27" s="75">
        <v>199</v>
      </c>
    </row>
    <row r="28" spans="2:31" s="52" customFormat="1" ht="15.75" customHeight="1">
      <c r="B28" s="74"/>
      <c r="C28" s="64"/>
      <c r="D28" s="63"/>
      <c r="E28" s="64" t="s">
        <v>104</v>
      </c>
      <c r="F28" s="75">
        <v>3635</v>
      </c>
      <c r="G28" s="76">
        <v>6</v>
      </c>
      <c r="H28" s="77">
        <v>10</v>
      </c>
      <c r="I28" s="76">
        <v>14</v>
      </c>
      <c r="J28" s="79">
        <v>10</v>
      </c>
      <c r="K28" s="75">
        <v>3643</v>
      </c>
      <c r="L28" s="76">
        <v>5</v>
      </c>
      <c r="M28" s="77">
        <v>8</v>
      </c>
      <c r="N28" s="76">
        <v>11</v>
      </c>
      <c r="O28" s="79">
        <v>8</v>
      </c>
      <c r="P28" s="75">
        <v>3649</v>
      </c>
      <c r="Q28" s="76">
        <v>18</v>
      </c>
      <c r="R28" s="77">
        <v>8</v>
      </c>
      <c r="S28" s="76">
        <v>13</v>
      </c>
      <c r="T28" s="79">
        <v>8</v>
      </c>
      <c r="U28" s="78">
        <v>3644</v>
      </c>
      <c r="V28" s="76">
        <v>10</v>
      </c>
      <c r="W28" s="77">
        <v>0</v>
      </c>
      <c r="X28" s="76">
        <v>10</v>
      </c>
      <c r="Y28" s="77">
        <v>0</v>
      </c>
      <c r="Z28" s="75">
        <v>3644</v>
      </c>
      <c r="AA28" s="76">
        <v>9</v>
      </c>
      <c r="AB28" s="77">
        <v>0</v>
      </c>
      <c r="AC28" s="76">
        <v>10</v>
      </c>
      <c r="AD28" s="77">
        <v>0</v>
      </c>
      <c r="AE28" s="75">
        <v>3645</v>
      </c>
    </row>
    <row r="29" spans="2:31" s="52" customFormat="1" ht="15.75" customHeight="1">
      <c r="B29" s="74"/>
      <c r="C29" s="64"/>
      <c r="D29" s="63"/>
      <c r="E29" s="64" t="s">
        <v>105</v>
      </c>
      <c r="F29" s="75">
        <v>31144</v>
      </c>
      <c r="G29" s="76">
        <v>0</v>
      </c>
      <c r="H29" s="77">
        <v>511</v>
      </c>
      <c r="I29" s="76">
        <v>0</v>
      </c>
      <c r="J29" s="79">
        <v>640</v>
      </c>
      <c r="K29" s="75">
        <v>31273</v>
      </c>
      <c r="L29" s="76">
        <v>0</v>
      </c>
      <c r="M29" s="77">
        <v>0</v>
      </c>
      <c r="N29" s="76">
        <v>0</v>
      </c>
      <c r="O29" s="79">
        <v>0</v>
      </c>
      <c r="P29" s="75">
        <v>31273</v>
      </c>
      <c r="Q29" s="76">
        <v>0</v>
      </c>
      <c r="R29" s="77">
        <v>0</v>
      </c>
      <c r="S29" s="76">
        <v>0</v>
      </c>
      <c r="T29" s="79">
        <v>103</v>
      </c>
      <c r="U29" s="78">
        <v>31376</v>
      </c>
      <c r="V29" s="76">
        <v>0</v>
      </c>
      <c r="W29" s="77">
        <v>0</v>
      </c>
      <c r="X29" s="76">
        <v>0</v>
      </c>
      <c r="Y29" s="77">
        <v>0</v>
      </c>
      <c r="Z29" s="75">
        <v>31376</v>
      </c>
      <c r="AA29" s="76">
        <v>0</v>
      </c>
      <c r="AB29" s="77">
        <v>0</v>
      </c>
      <c r="AC29" s="76">
        <v>0</v>
      </c>
      <c r="AD29" s="77">
        <v>0</v>
      </c>
      <c r="AE29" s="75">
        <v>31376</v>
      </c>
    </row>
    <row r="30" spans="2:31" s="52" customFormat="1" ht="15.75" customHeight="1">
      <c r="B30" s="74"/>
      <c r="C30" s="64"/>
      <c r="D30" s="63"/>
      <c r="E30" s="64" t="s">
        <v>106</v>
      </c>
      <c r="F30" s="75">
        <v>2813</v>
      </c>
      <c r="G30" s="76">
        <v>20</v>
      </c>
      <c r="H30" s="77">
        <v>0</v>
      </c>
      <c r="I30" s="76">
        <v>0</v>
      </c>
      <c r="J30" s="79">
        <v>0</v>
      </c>
      <c r="K30" s="75">
        <v>2793</v>
      </c>
      <c r="L30" s="76">
        <v>36</v>
      </c>
      <c r="M30" s="77">
        <v>0</v>
      </c>
      <c r="N30" s="76">
        <v>0</v>
      </c>
      <c r="O30" s="79">
        <v>0</v>
      </c>
      <c r="P30" s="75">
        <v>2757</v>
      </c>
      <c r="Q30" s="76">
        <v>41</v>
      </c>
      <c r="R30" s="77">
        <v>0</v>
      </c>
      <c r="S30" s="76">
        <v>0</v>
      </c>
      <c r="T30" s="79">
        <v>0</v>
      </c>
      <c r="U30" s="78">
        <v>2716</v>
      </c>
      <c r="V30" s="76">
        <v>32</v>
      </c>
      <c r="W30" s="77">
        <v>0</v>
      </c>
      <c r="X30" s="76">
        <v>0</v>
      </c>
      <c r="Y30" s="77">
        <v>0</v>
      </c>
      <c r="Z30" s="75">
        <v>2684</v>
      </c>
      <c r="AA30" s="76">
        <v>31</v>
      </c>
      <c r="AB30" s="77">
        <v>0</v>
      </c>
      <c r="AC30" s="76">
        <v>0</v>
      </c>
      <c r="AD30" s="77">
        <v>0</v>
      </c>
      <c r="AE30" s="75">
        <v>2653</v>
      </c>
    </row>
    <row r="31" spans="2:31" s="52" customFormat="1" ht="15.75" customHeight="1" thickBot="1">
      <c r="B31" s="85"/>
      <c r="C31" s="86"/>
      <c r="D31" s="86"/>
      <c r="E31" s="86"/>
      <c r="F31" s="87"/>
      <c r="G31" s="88"/>
      <c r="H31" s="89"/>
      <c r="I31" s="88"/>
      <c r="J31" s="90"/>
      <c r="K31" s="91"/>
      <c r="L31" s="88"/>
      <c r="M31" s="89"/>
      <c r="N31" s="88"/>
      <c r="O31" s="90"/>
      <c r="P31" s="91"/>
      <c r="Q31" s="88"/>
      <c r="R31" s="89"/>
      <c r="S31" s="88"/>
      <c r="T31" s="90"/>
      <c r="U31" s="92"/>
      <c r="V31" s="88"/>
      <c r="W31" s="89"/>
      <c r="X31" s="88"/>
      <c r="Y31" s="89"/>
      <c r="Z31" s="91"/>
      <c r="AA31" s="88"/>
      <c r="AB31" s="89"/>
      <c r="AC31" s="88"/>
      <c r="AD31" s="89"/>
      <c r="AE31" s="91"/>
    </row>
    <row r="32" spans="2:31" s="52" customFormat="1" ht="15.75" customHeight="1">
      <c r="B32" s="93"/>
      <c r="C32" s="94" t="s">
        <v>107</v>
      </c>
      <c r="D32" s="94"/>
      <c r="E32" s="95"/>
      <c r="F32" s="80"/>
      <c r="G32" s="81"/>
      <c r="H32" s="82"/>
      <c r="I32" s="81"/>
      <c r="J32" s="83"/>
      <c r="K32" s="80"/>
      <c r="L32" s="81"/>
      <c r="M32" s="82"/>
      <c r="N32" s="81"/>
      <c r="O32" s="83"/>
      <c r="P32" s="80"/>
      <c r="Q32" s="81"/>
      <c r="R32" s="82"/>
      <c r="S32" s="81"/>
      <c r="T32" s="83"/>
      <c r="U32" s="84"/>
      <c r="V32" s="81"/>
      <c r="W32" s="82"/>
      <c r="X32" s="81"/>
      <c r="Y32" s="82"/>
      <c r="Z32" s="80"/>
      <c r="AA32" s="81"/>
      <c r="AB32" s="82"/>
      <c r="AC32" s="81"/>
      <c r="AD32" s="82"/>
      <c r="AE32" s="80"/>
    </row>
    <row r="33" spans="2:31" s="52" customFormat="1" ht="15.75" customHeight="1">
      <c r="B33" s="74"/>
      <c r="C33" s="64"/>
      <c r="D33" s="63" t="s">
        <v>90</v>
      </c>
      <c r="E33" s="64"/>
      <c r="F33" s="80"/>
      <c r="G33" s="81"/>
      <c r="H33" s="82"/>
      <c r="I33" s="81"/>
      <c r="J33" s="83"/>
      <c r="K33" s="80"/>
      <c r="L33" s="81"/>
      <c r="M33" s="82"/>
      <c r="N33" s="81"/>
      <c r="O33" s="83"/>
      <c r="P33" s="80"/>
      <c r="Q33" s="81"/>
      <c r="R33" s="82"/>
      <c r="S33" s="81"/>
      <c r="T33" s="83"/>
      <c r="U33" s="84"/>
      <c r="V33" s="81"/>
      <c r="W33" s="82"/>
      <c r="X33" s="81"/>
      <c r="Y33" s="82"/>
      <c r="Z33" s="80"/>
      <c r="AA33" s="81"/>
      <c r="AB33" s="82"/>
      <c r="AC33" s="81"/>
      <c r="AD33" s="82"/>
      <c r="AE33" s="80"/>
    </row>
    <row r="34" spans="2:31" s="52" customFormat="1" ht="15.75" customHeight="1">
      <c r="B34" s="74"/>
      <c r="C34" s="64"/>
      <c r="D34" s="63"/>
      <c r="E34" s="64" t="s">
        <v>108</v>
      </c>
      <c r="F34" s="75">
        <v>12254</v>
      </c>
      <c r="G34" s="76">
        <v>0</v>
      </c>
      <c r="H34" s="77">
        <v>52</v>
      </c>
      <c r="I34" s="76">
        <v>0</v>
      </c>
      <c r="J34" s="79">
        <v>32</v>
      </c>
      <c r="K34" s="75">
        <v>12234</v>
      </c>
      <c r="L34" s="76">
        <v>0</v>
      </c>
      <c r="M34" s="77">
        <v>89</v>
      </c>
      <c r="N34" s="76">
        <v>0</v>
      </c>
      <c r="O34" s="79">
        <v>77</v>
      </c>
      <c r="P34" s="75">
        <v>12222</v>
      </c>
      <c r="Q34" s="76">
        <v>0</v>
      </c>
      <c r="R34" s="77">
        <v>79</v>
      </c>
      <c r="S34" s="76">
        <v>0</v>
      </c>
      <c r="T34" s="79">
        <v>64</v>
      </c>
      <c r="U34" s="78">
        <v>12207</v>
      </c>
      <c r="V34" s="76">
        <v>0</v>
      </c>
      <c r="W34" s="77">
        <v>55</v>
      </c>
      <c r="X34" s="76">
        <v>0</v>
      </c>
      <c r="Y34" s="77">
        <v>55</v>
      </c>
      <c r="Z34" s="75">
        <v>12207</v>
      </c>
      <c r="AA34" s="76">
        <v>0</v>
      </c>
      <c r="AB34" s="77">
        <v>55</v>
      </c>
      <c r="AC34" s="76">
        <v>0</v>
      </c>
      <c r="AD34" s="77">
        <v>55</v>
      </c>
      <c r="AE34" s="75">
        <v>12207</v>
      </c>
    </row>
    <row r="35" spans="2:31" s="52" customFormat="1" ht="15.75" customHeight="1">
      <c r="B35" s="74"/>
      <c r="C35" s="64"/>
      <c r="D35" s="63"/>
      <c r="E35" s="64" t="s">
        <v>109</v>
      </c>
      <c r="F35" s="75">
        <v>0</v>
      </c>
      <c r="G35" s="76">
        <v>0</v>
      </c>
      <c r="H35" s="77">
        <v>0</v>
      </c>
      <c r="I35" s="76">
        <v>0</v>
      </c>
      <c r="J35" s="79">
        <v>0</v>
      </c>
      <c r="K35" s="75">
        <v>0</v>
      </c>
      <c r="L35" s="76">
        <v>0</v>
      </c>
      <c r="M35" s="77">
        <v>0</v>
      </c>
      <c r="N35" s="76">
        <v>0</v>
      </c>
      <c r="O35" s="79">
        <v>0</v>
      </c>
      <c r="P35" s="75">
        <v>0</v>
      </c>
      <c r="Q35" s="76">
        <v>0</v>
      </c>
      <c r="R35" s="77">
        <v>0</v>
      </c>
      <c r="S35" s="76">
        <v>0</v>
      </c>
      <c r="T35" s="79">
        <v>0</v>
      </c>
      <c r="U35" s="78">
        <v>0</v>
      </c>
      <c r="V35" s="76">
        <v>0</v>
      </c>
      <c r="W35" s="77">
        <v>0</v>
      </c>
      <c r="X35" s="76">
        <v>0</v>
      </c>
      <c r="Y35" s="77">
        <v>0</v>
      </c>
      <c r="Z35" s="75">
        <v>0</v>
      </c>
      <c r="AA35" s="76">
        <v>0</v>
      </c>
      <c r="AB35" s="77">
        <v>0</v>
      </c>
      <c r="AC35" s="76">
        <v>0</v>
      </c>
      <c r="AD35" s="77">
        <v>0</v>
      </c>
      <c r="AE35" s="75">
        <v>0</v>
      </c>
    </row>
    <row r="36" spans="2:31" s="52" customFormat="1" ht="15.75" customHeight="1">
      <c r="B36" s="74"/>
      <c r="C36" s="64"/>
      <c r="D36" s="64"/>
      <c r="E36" s="64" t="s">
        <v>110</v>
      </c>
      <c r="F36" s="75">
        <v>0</v>
      </c>
      <c r="G36" s="76">
        <v>0</v>
      </c>
      <c r="H36" s="77">
        <v>0</v>
      </c>
      <c r="I36" s="76">
        <v>0</v>
      </c>
      <c r="J36" s="79">
        <v>0</v>
      </c>
      <c r="K36" s="75">
        <v>0</v>
      </c>
      <c r="L36" s="76">
        <v>0</v>
      </c>
      <c r="M36" s="77">
        <v>0</v>
      </c>
      <c r="N36" s="76">
        <v>0</v>
      </c>
      <c r="O36" s="79">
        <v>0</v>
      </c>
      <c r="P36" s="75">
        <v>0</v>
      </c>
      <c r="Q36" s="76">
        <v>0</v>
      </c>
      <c r="R36" s="77">
        <v>0</v>
      </c>
      <c r="S36" s="76">
        <v>0</v>
      </c>
      <c r="T36" s="79">
        <v>0</v>
      </c>
      <c r="U36" s="78">
        <v>0</v>
      </c>
      <c r="V36" s="76">
        <v>0</v>
      </c>
      <c r="W36" s="77">
        <v>0</v>
      </c>
      <c r="X36" s="76">
        <v>0</v>
      </c>
      <c r="Y36" s="77">
        <v>0</v>
      </c>
      <c r="Z36" s="75">
        <v>0</v>
      </c>
      <c r="AA36" s="76">
        <v>0</v>
      </c>
      <c r="AB36" s="77">
        <v>0</v>
      </c>
      <c r="AC36" s="76">
        <v>0</v>
      </c>
      <c r="AD36" s="77">
        <v>0</v>
      </c>
      <c r="AE36" s="75">
        <v>0</v>
      </c>
    </row>
    <row r="37" spans="2:31" s="52" customFormat="1" ht="15.75" customHeight="1">
      <c r="B37" s="74"/>
      <c r="C37" s="64"/>
      <c r="D37" s="64"/>
      <c r="E37" s="64" t="s">
        <v>111</v>
      </c>
      <c r="F37" s="75">
        <v>0</v>
      </c>
      <c r="G37" s="76">
        <v>0</v>
      </c>
      <c r="H37" s="77">
        <v>0</v>
      </c>
      <c r="I37" s="76">
        <v>0</v>
      </c>
      <c r="J37" s="79">
        <v>0</v>
      </c>
      <c r="K37" s="75">
        <v>0</v>
      </c>
      <c r="L37" s="76">
        <v>0</v>
      </c>
      <c r="M37" s="77">
        <v>0</v>
      </c>
      <c r="N37" s="76">
        <v>0</v>
      </c>
      <c r="O37" s="79">
        <v>0</v>
      </c>
      <c r="P37" s="75">
        <v>0</v>
      </c>
      <c r="Q37" s="76">
        <v>0</v>
      </c>
      <c r="R37" s="77">
        <v>0</v>
      </c>
      <c r="S37" s="76">
        <v>0</v>
      </c>
      <c r="T37" s="79">
        <v>0</v>
      </c>
      <c r="U37" s="78">
        <v>0</v>
      </c>
      <c r="V37" s="76">
        <v>0</v>
      </c>
      <c r="W37" s="77">
        <v>0</v>
      </c>
      <c r="X37" s="76">
        <v>0</v>
      </c>
      <c r="Y37" s="77">
        <v>0</v>
      </c>
      <c r="Z37" s="75">
        <v>0</v>
      </c>
      <c r="AA37" s="76">
        <v>0</v>
      </c>
      <c r="AB37" s="77">
        <v>0</v>
      </c>
      <c r="AC37" s="76">
        <v>0</v>
      </c>
      <c r="AD37" s="77">
        <v>0</v>
      </c>
      <c r="AE37" s="75">
        <v>0</v>
      </c>
    </row>
    <row r="38" spans="2:31" s="52" customFormat="1" ht="15.75" customHeight="1">
      <c r="B38" s="74"/>
      <c r="C38" s="64"/>
      <c r="D38" s="64"/>
      <c r="E38" s="64"/>
      <c r="F38" s="80"/>
      <c r="G38" s="81"/>
      <c r="H38" s="82"/>
      <c r="I38" s="81"/>
      <c r="J38" s="83"/>
      <c r="K38" s="80"/>
      <c r="L38" s="81"/>
      <c r="M38" s="82"/>
      <c r="N38" s="81"/>
      <c r="O38" s="83"/>
      <c r="P38" s="80"/>
      <c r="Q38" s="81"/>
      <c r="R38" s="82"/>
      <c r="S38" s="81"/>
      <c r="T38" s="83"/>
      <c r="U38" s="84"/>
      <c r="V38" s="81"/>
      <c r="W38" s="82"/>
      <c r="X38" s="81"/>
      <c r="Y38" s="82"/>
      <c r="Z38" s="80"/>
      <c r="AA38" s="81"/>
      <c r="AB38" s="82"/>
      <c r="AC38" s="81"/>
      <c r="AD38" s="82"/>
      <c r="AE38" s="80"/>
    </row>
    <row r="39" spans="2:31" s="52" customFormat="1" ht="15.75" customHeight="1">
      <c r="B39" s="74"/>
      <c r="C39" s="64"/>
      <c r="D39" s="63" t="s">
        <v>93</v>
      </c>
      <c r="E39" s="64"/>
      <c r="F39" s="80"/>
      <c r="G39" s="81"/>
      <c r="H39" s="82"/>
      <c r="I39" s="81"/>
      <c r="J39" s="83"/>
      <c r="K39" s="80"/>
      <c r="L39" s="81"/>
      <c r="M39" s="82"/>
      <c r="N39" s="81"/>
      <c r="O39" s="83"/>
      <c r="P39" s="80"/>
      <c r="Q39" s="81"/>
      <c r="R39" s="82"/>
      <c r="S39" s="81"/>
      <c r="T39" s="83"/>
      <c r="U39" s="84"/>
      <c r="V39" s="81"/>
      <c r="W39" s="82"/>
      <c r="X39" s="81"/>
      <c r="Y39" s="82"/>
      <c r="Z39" s="80"/>
      <c r="AA39" s="81"/>
      <c r="AB39" s="82"/>
      <c r="AC39" s="81"/>
      <c r="AD39" s="82"/>
      <c r="AE39" s="80"/>
    </row>
    <row r="40" spans="2:31" s="52" customFormat="1" ht="15.75" customHeight="1">
      <c r="B40" s="74"/>
      <c r="C40" s="64"/>
      <c r="D40" s="95"/>
      <c r="E40" s="64" t="s">
        <v>112</v>
      </c>
      <c r="F40" s="75">
        <v>163307</v>
      </c>
      <c r="G40" s="76">
        <v>0</v>
      </c>
      <c r="H40" s="77">
        <v>1809</v>
      </c>
      <c r="I40" s="76">
        <v>0</v>
      </c>
      <c r="J40" s="79">
        <v>1678</v>
      </c>
      <c r="K40" s="75">
        <v>163176</v>
      </c>
      <c r="L40" s="76">
        <v>0</v>
      </c>
      <c r="M40" s="77">
        <v>2035</v>
      </c>
      <c r="N40" s="76">
        <v>0</v>
      </c>
      <c r="O40" s="79">
        <v>1912</v>
      </c>
      <c r="P40" s="75">
        <v>163053</v>
      </c>
      <c r="Q40" s="76">
        <v>0</v>
      </c>
      <c r="R40" s="77">
        <v>2381</v>
      </c>
      <c r="S40" s="76">
        <v>0</v>
      </c>
      <c r="T40" s="79">
        <v>1861</v>
      </c>
      <c r="U40" s="78">
        <v>162533</v>
      </c>
      <c r="V40" s="76">
        <v>0</v>
      </c>
      <c r="W40" s="77">
        <v>1582.5</v>
      </c>
      <c r="X40" s="76">
        <v>0</v>
      </c>
      <c r="Y40" s="77">
        <v>1582.5</v>
      </c>
      <c r="Z40" s="75">
        <v>162533</v>
      </c>
      <c r="AA40" s="76">
        <v>0</v>
      </c>
      <c r="AB40" s="77">
        <v>1582.5</v>
      </c>
      <c r="AC40" s="76">
        <v>0</v>
      </c>
      <c r="AD40" s="77">
        <v>1582.5</v>
      </c>
      <c r="AE40" s="75">
        <v>162533</v>
      </c>
    </row>
    <row r="41" spans="2:31" s="52" customFormat="1" ht="15.75" customHeight="1">
      <c r="B41" s="74"/>
      <c r="C41" s="64"/>
      <c r="D41" s="63"/>
      <c r="E41" s="64" t="s">
        <v>113</v>
      </c>
      <c r="F41" s="75">
        <v>0</v>
      </c>
      <c r="G41" s="76">
        <v>0</v>
      </c>
      <c r="H41" s="77">
        <v>0</v>
      </c>
      <c r="I41" s="76">
        <v>0</v>
      </c>
      <c r="J41" s="79">
        <v>0</v>
      </c>
      <c r="K41" s="75">
        <v>0</v>
      </c>
      <c r="L41" s="76">
        <v>0</v>
      </c>
      <c r="M41" s="77">
        <v>0</v>
      </c>
      <c r="N41" s="76">
        <v>0</v>
      </c>
      <c r="O41" s="79">
        <v>0</v>
      </c>
      <c r="P41" s="75">
        <v>0</v>
      </c>
      <c r="Q41" s="76">
        <v>0</v>
      </c>
      <c r="R41" s="77">
        <v>0</v>
      </c>
      <c r="S41" s="76">
        <v>0</v>
      </c>
      <c r="T41" s="79">
        <v>0</v>
      </c>
      <c r="U41" s="78">
        <v>0</v>
      </c>
      <c r="V41" s="76">
        <v>0</v>
      </c>
      <c r="W41" s="77">
        <v>0</v>
      </c>
      <c r="X41" s="76">
        <v>0</v>
      </c>
      <c r="Y41" s="77">
        <v>0</v>
      </c>
      <c r="Z41" s="75">
        <v>0</v>
      </c>
      <c r="AA41" s="76">
        <v>0</v>
      </c>
      <c r="AB41" s="77">
        <v>0</v>
      </c>
      <c r="AC41" s="76">
        <v>0</v>
      </c>
      <c r="AD41" s="77">
        <v>0</v>
      </c>
      <c r="AE41" s="75">
        <v>0</v>
      </c>
    </row>
    <row r="42" spans="2:31" s="52" customFormat="1" ht="15.75" customHeight="1">
      <c r="B42" s="74"/>
      <c r="C42" s="64"/>
      <c r="D42" s="64"/>
      <c r="E42" s="64"/>
      <c r="F42" s="80"/>
      <c r="G42" s="81"/>
      <c r="H42" s="82"/>
      <c r="I42" s="81"/>
      <c r="J42" s="83"/>
      <c r="K42" s="80"/>
      <c r="L42" s="81"/>
      <c r="M42" s="82"/>
      <c r="N42" s="81"/>
      <c r="O42" s="83"/>
      <c r="P42" s="80"/>
      <c r="Q42" s="81"/>
      <c r="R42" s="82"/>
      <c r="S42" s="81"/>
      <c r="T42" s="83"/>
      <c r="U42" s="84"/>
      <c r="V42" s="81"/>
      <c r="W42" s="82"/>
      <c r="X42" s="81"/>
      <c r="Y42" s="82"/>
      <c r="Z42" s="80"/>
      <c r="AA42" s="81"/>
      <c r="AB42" s="82"/>
      <c r="AC42" s="81"/>
      <c r="AD42" s="82"/>
      <c r="AE42" s="80"/>
    </row>
    <row r="43" spans="2:31" s="52" customFormat="1" ht="15.75" customHeight="1">
      <c r="B43" s="74"/>
      <c r="C43" s="64"/>
      <c r="D43" s="63" t="s">
        <v>114</v>
      </c>
      <c r="E43" s="64"/>
      <c r="F43" s="80"/>
      <c r="G43" s="81"/>
      <c r="H43" s="82"/>
      <c r="I43" s="81"/>
      <c r="J43" s="83"/>
      <c r="K43" s="80"/>
      <c r="L43" s="81"/>
      <c r="M43" s="82"/>
      <c r="N43" s="81"/>
      <c r="O43" s="83"/>
      <c r="P43" s="80"/>
      <c r="Q43" s="81"/>
      <c r="R43" s="82"/>
      <c r="S43" s="81"/>
      <c r="T43" s="83"/>
      <c r="U43" s="84"/>
      <c r="V43" s="81"/>
      <c r="W43" s="82"/>
      <c r="X43" s="81"/>
      <c r="Y43" s="82"/>
      <c r="Z43" s="80"/>
      <c r="AA43" s="81"/>
      <c r="AB43" s="82"/>
      <c r="AC43" s="81"/>
      <c r="AD43" s="82"/>
      <c r="AE43" s="80"/>
    </row>
    <row r="44" spans="2:31" s="52" customFormat="1" ht="15.75" customHeight="1">
      <c r="B44" s="74"/>
      <c r="C44" s="64"/>
      <c r="D44" s="63"/>
      <c r="E44" s="64" t="s">
        <v>115</v>
      </c>
      <c r="F44" s="75">
        <v>5119.7</v>
      </c>
      <c r="G44" s="76">
        <v>0</v>
      </c>
      <c r="H44" s="77">
        <v>0</v>
      </c>
      <c r="I44" s="76">
        <v>120</v>
      </c>
      <c r="J44" s="79">
        <v>0</v>
      </c>
      <c r="K44" s="75">
        <v>5239.7</v>
      </c>
      <c r="L44" s="76">
        <v>0</v>
      </c>
      <c r="M44" s="77">
        <v>11</v>
      </c>
      <c r="N44" s="76">
        <v>54.8</v>
      </c>
      <c r="O44" s="79">
        <v>11</v>
      </c>
      <c r="P44" s="75">
        <v>5294.5</v>
      </c>
      <c r="Q44" s="76">
        <v>0</v>
      </c>
      <c r="R44" s="77">
        <v>4.7</v>
      </c>
      <c r="S44" s="76">
        <v>66.900000000000006</v>
      </c>
      <c r="T44" s="79">
        <v>5</v>
      </c>
      <c r="U44" s="78">
        <v>5361.7</v>
      </c>
      <c r="V44" s="76">
        <v>0</v>
      </c>
      <c r="W44" s="77">
        <v>0</v>
      </c>
      <c r="X44" s="76">
        <v>51</v>
      </c>
      <c r="Y44" s="77">
        <v>0</v>
      </c>
      <c r="Z44" s="75">
        <v>5412.7</v>
      </c>
      <c r="AA44" s="76">
        <v>0</v>
      </c>
      <c r="AB44" s="77">
        <v>0</v>
      </c>
      <c r="AC44" s="76">
        <v>49</v>
      </c>
      <c r="AD44" s="77">
        <v>0</v>
      </c>
      <c r="AE44" s="75">
        <v>5461.7</v>
      </c>
    </row>
    <row r="45" spans="2:31" s="52" customFormat="1" ht="15.75" customHeight="1">
      <c r="B45" s="74"/>
      <c r="C45" s="64"/>
      <c r="D45" s="63"/>
      <c r="E45" s="64" t="s">
        <v>116</v>
      </c>
      <c r="F45" s="75">
        <v>0</v>
      </c>
      <c r="G45" s="76">
        <v>0</v>
      </c>
      <c r="H45" s="77">
        <v>0</v>
      </c>
      <c r="I45" s="76" t="s">
        <v>986</v>
      </c>
      <c r="J45" s="79">
        <v>0</v>
      </c>
      <c r="K45" s="75">
        <v>0</v>
      </c>
      <c r="L45" s="76">
        <v>0</v>
      </c>
      <c r="M45" s="77">
        <v>0</v>
      </c>
      <c r="N45" s="76" t="s">
        <v>986</v>
      </c>
      <c r="O45" s="79">
        <v>0</v>
      </c>
      <c r="P45" s="75">
        <v>0</v>
      </c>
      <c r="Q45" s="76">
        <v>0</v>
      </c>
      <c r="R45" s="77">
        <v>0</v>
      </c>
      <c r="S45" s="76" t="s">
        <v>986</v>
      </c>
      <c r="T45" s="79">
        <v>0</v>
      </c>
      <c r="U45" s="78">
        <v>0</v>
      </c>
      <c r="V45" s="76">
        <v>0</v>
      </c>
      <c r="W45" s="77">
        <v>0</v>
      </c>
      <c r="X45" s="76">
        <v>0</v>
      </c>
      <c r="Y45" s="77">
        <v>0</v>
      </c>
      <c r="Z45" s="75">
        <v>0</v>
      </c>
      <c r="AA45" s="76">
        <v>0</v>
      </c>
      <c r="AB45" s="77">
        <v>0</v>
      </c>
      <c r="AC45" s="76">
        <v>0</v>
      </c>
      <c r="AD45" s="77">
        <v>0</v>
      </c>
      <c r="AE45" s="75">
        <v>0</v>
      </c>
    </row>
    <row r="46" spans="2:31" s="52" customFormat="1" ht="15.75" customHeight="1">
      <c r="B46" s="74"/>
      <c r="C46" s="64"/>
      <c r="D46" s="63"/>
      <c r="E46" s="64"/>
      <c r="F46" s="80"/>
      <c r="G46" s="81"/>
      <c r="H46" s="82"/>
      <c r="I46" s="81"/>
      <c r="J46" s="83"/>
      <c r="K46" s="80"/>
      <c r="L46" s="81"/>
      <c r="M46" s="82"/>
      <c r="N46" s="81"/>
      <c r="O46" s="83"/>
      <c r="P46" s="80"/>
      <c r="Q46" s="81"/>
      <c r="R46" s="82"/>
      <c r="S46" s="81"/>
      <c r="T46" s="83"/>
      <c r="U46" s="84"/>
      <c r="V46" s="81"/>
      <c r="W46" s="82"/>
      <c r="X46" s="81"/>
      <c r="Y46" s="82"/>
      <c r="Z46" s="80"/>
      <c r="AA46" s="81"/>
      <c r="AB46" s="82"/>
      <c r="AC46" s="81"/>
      <c r="AD46" s="82"/>
      <c r="AE46" s="80"/>
    </row>
    <row r="47" spans="2:31" s="52" customFormat="1" ht="15.75" customHeight="1">
      <c r="B47" s="74"/>
      <c r="C47" s="64"/>
      <c r="D47" s="63" t="s">
        <v>117</v>
      </c>
      <c r="E47" s="64"/>
      <c r="F47" s="80"/>
      <c r="G47" s="81"/>
      <c r="H47" s="82"/>
      <c r="I47" s="81"/>
      <c r="J47" s="83"/>
      <c r="K47" s="80"/>
      <c r="L47" s="81"/>
      <c r="M47" s="82"/>
      <c r="N47" s="81"/>
      <c r="O47" s="83"/>
      <c r="P47" s="80"/>
      <c r="Q47" s="81"/>
      <c r="R47" s="82"/>
      <c r="S47" s="81"/>
      <c r="T47" s="83"/>
      <c r="U47" s="84"/>
      <c r="V47" s="81"/>
      <c r="W47" s="82"/>
      <c r="X47" s="81"/>
      <c r="Y47" s="82"/>
      <c r="Z47" s="80"/>
      <c r="AA47" s="81"/>
      <c r="AB47" s="82"/>
      <c r="AC47" s="81"/>
      <c r="AD47" s="82"/>
      <c r="AE47" s="80"/>
    </row>
    <row r="48" spans="2:31" s="52" customFormat="1" ht="15.75" customHeight="1">
      <c r="B48" s="74"/>
      <c r="C48" s="64"/>
      <c r="D48" s="63"/>
      <c r="E48" s="64" t="s">
        <v>118</v>
      </c>
      <c r="F48" s="75">
        <v>5</v>
      </c>
      <c r="G48" s="76">
        <v>0</v>
      </c>
      <c r="H48" s="77">
        <v>0</v>
      </c>
      <c r="I48" s="76" t="s">
        <v>986</v>
      </c>
      <c r="J48" s="79">
        <v>0</v>
      </c>
      <c r="K48" s="75">
        <v>5</v>
      </c>
      <c r="L48" s="76">
        <v>0</v>
      </c>
      <c r="M48" s="77">
        <v>0</v>
      </c>
      <c r="N48" s="76" t="s">
        <v>986</v>
      </c>
      <c r="O48" s="79">
        <v>0</v>
      </c>
      <c r="P48" s="75">
        <v>5</v>
      </c>
      <c r="Q48" s="76">
        <v>0</v>
      </c>
      <c r="R48" s="77">
        <v>0</v>
      </c>
      <c r="S48" s="76" t="s">
        <v>986</v>
      </c>
      <c r="T48" s="79">
        <v>0</v>
      </c>
      <c r="U48" s="78">
        <v>5</v>
      </c>
      <c r="V48" s="76">
        <v>0</v>
      </c>
      <c r="W48" s="77">
        <v>0</v>
      </c>
      <c r="X48" s="76">
        <v>0</v>
      </c>
      <c r="Y48" s="77">
        <v>0</v>
      </c>
      <c r="Z48" s="75">
        <v>5</v>
      </c>
      <c r="AA48" s="76">
        <v>0</v>
      </c>
      <c r="AB48" s="77">
        <v>0</v>
      </c>
      <c r="AC48" s="76">
        <v>0</v>
      </c>
      <c r="AD48" s="77">
        <v>0</v>
      </c>
      <c r="AE48" s="75">
        <v>5</v>
      </c>
    </row>
    <row r="49" spans="2:31" s="52" customFormat="1" ht="15.75" customHeight="1">
      <c r="B49" s="74"/>
      <c r="C49" s="64"/>
      <c r="D49" s="63"/>
      <c r="E49" s="64"/>
      <c r="F49" s="80"/>
      <c r="G49" s="81"/>
      <c r="H49" s="82"/>
      <c r="I49" s="81"/>
      <c r="J49" s="83"/>
      <c r="K49" s="80"/>
      <c r="L49" s="81"/>
      <c r="M49" s="82"/>
      <c r="N49" s="81"/>
      <c r="O49" s="83"/>
      <c r="P49" s="80"/>
      <c r="Q49" s="81"/>
      <c r="R49" s="82"/>
      <c r="S49" s="81"/>
      <c r="T49" s="83"/>
      <c r="U49" s="84"/>
      <c r="V49" s="81"/>
      <c r="W49" s="82"/>
      <c r="X49" s="81"/>
      <c r="Y49" s="82"/>
      <c r="Z49" s="80"/>
      <c r="AA49" s="81"/>
      <c r="AB49" s="82"/>
      <c r="AC49" s="81"/>
      <c r="AD49" s="82"/>
      <c r="AE49" s="80"/>
    </row>
    <row r="50" spans="2:31" s="52" customFormat="1" ht="15.75" customHeight="1">
      <c r="B50" s="74"/>
      <c r="C50" s="64"/>
      <c r="D50" s="63" t="s">
        <v>100</v>
      </c>
      <c r="E50" s="64"/>
      <c r="F50" s="80"/>
      <c r="G50" s="81"/>
      <c r="H50" s="82"/>
      <c r="I50" s="81"/>
      <c r="J50" s="83"/>
      <c r="K50" s="80"/>
      <c r="L50" s="81"/>
      <c r="M50" s="82"/>
      <c r="N50" s="81"/>
      <c r="O50" s="83"/>
      <c r="P50" s="80"/>
      <c r="Q50" s="81"/>
      <c r="R50" s="82"/>
      <c r="S50" s="81"/>
      <c r="T50" s="83"/>
      <c r="U50" s="84"/>
      <c r="V50" s="81"/>
      <c r="W50" s="82"/>
      <c r="X50" s="81"/>
      <c r="Y50" s="82"/>
      <c r="Z50" s="80"/>
      <c r="AA50" s="81"/>
      <c r="AB50" s="82"/>
      <c r="AC50" s="81"/>
      <c r="AD50" s="82"/>
      <c r="AE50" s="80"/>
    </row>
    <row r="51" spans="2:31" s="52" customFormat="1" ht="15.75" customHeight="1">
      <c r="B51" s="74"/>
      <c r="C51" s="64"/>
      <c r="D51" s="63"/>
      <c r="E51" s="64" t="s">
        <v>119</v>
      </c>
      <c r="F51" s="75">
        <v>615</v>
      </c>
      <c r="G51" s="76">
        <v>0</v>
      </c>
      <c r="H51" s="77">
        <v>48</v>
      </c>
      <c r="I51" s="76">
        <v>0</v>
      </c>
      <c r="J51" s="79">
        <v>196</v>
      </c>
      <c r="K51" s="75">
        <v>763</v>
      </c>
      <c r="L51" s="76">
        <v>0</v>
      </c>
      <c r="M51" s="77">
        <v>55</v>
      </c>
      <c r="N51" s="76">
        <v>0</v>
      </c>
      <c r="O51" s="79">
        <v>119</v>
      </c>
      <c r="P51" s="75">
        <v>827</v>
      </c>
      <c r="Q51" s="76">
        <v>0</v>
      </c>
      <c r="R51" s="77">
        <v>64</v>
      </c>
      <c r="S51" s="76">
        <v>0</v>
      </c>
      <c r="T51" s="79">
        <v>150</v>
      </c>
      <c r="U51" s="78">
        <v>913</v>
      </c>
      <c r="V51" s="76">
        <v>0</v>
      </c>
      <c r="W51" s="77">
        <v>100</v>
      </c>
      <c r="X51" s="76">
        <v>0</v>
      </c>
      <c r="Y51" s="77">
        <v>100</v>
      </c>
      <c r="Z51" s="75">
        <v>913</v>
      </c>
      <c r="AA51" s="76">
        <v>0</v>
      </c>
      <c r="AB51" s="77">
        <v>43</v>
      </c>
      <c r="AC51" s="76">
        <v>0</v>
      </c>
      <c r="AD51" s="77">
        <v>43</v>
      </c>
      <c r="AE51" s="75">
        <v>913</v>
      </c>
    </row>
    <row r="52" spans="2:31" s="52" customFormat="1" ht="15.75" customHeight="1">
      <c r="B52" s="74"/>
      <c r="C52" s="64"/>
      <c r="D52" s="63"/>
      <c r="E52" s="64" t="s">
        <v>120</v>
      </c>
      <c r="F52" s="75">
        <v>2940</v>
      </c>
      <c r="G52" s="76">
        <v>0</v>
      </c>
      <c r="H52" s="77">
        <v>24</v>
      </c>
      <c r="I52" s="76">
        <v>15</v>
      </c>
      <c r="J52" s="79">
        <v>36</v>
      </c>
      <c r="K52" s="75">
        <v>2967</v>
      </c>
      <c r="L52" s="76">
        <v>7</v>
      </c>
      <c r="M52" s="77">
        <v>43</v>
      </c>
      <c r="N52" s="76">
        <v>22</v>
      </c>
      <c r="O52" s="79">
        <v>33</v>
      </c>
      <c r="P52" s="75">
        <v>2972</v>
      </c>
      <c r="Q52" s="76">
        <v>0</v>
      </c>
      <c r="R52" s="77">
        <v>43</v>
      </c>
      <c r="S52" s="76">
        <v>13</v>
      </c>
      <c r="T52" s="79">
        <v>50</v>
      </c>
      <c r="U52" s="78">
        <v>2992</v>
      </c>
      <c r="V52" s="76">
        <v>3</v>
      </c>
      <c r="W52" s="77">
        <v>50</v>
      </c>
      <c r="X52" s="76">
        <v>15</v>
      </c>
      <c r="Y52" s="77">
        <v>50</v>
      </c>
      <c r="Z52" s="75">
        <v>3004</v>
      </c>
      <c r="AA52" s="76">
        <v>3</v>
      </c>
      <c r="AB52" s="77">
        <v>50</v>
      </c>
      <c r="AC52" s="76">
        <v>14</v>
      </c>
      <c r="AD52" s="77">
        <v>50</v>
      </c>
      <c r="AE52" s="75">
        <v>3015</v>
      </c>
    </row>
    <row r="53" spans="2:31" s="52" customFormat="1" ht="15.75" customHeight="1">
      <c r="B53" s="74"/>
      <c r="C53" s="64"/>
      <c r="D53" s="63"/>
      <c r="E53" s="64" t="s">
        <v>121</v>
      </c>
      <c r="F53" s="75">
        <v>138</v>
      </c>
      <c r="G53" s="76">
        <v>0</v>
      </c>
      <c r="H53" s="77">
        <v>3</v>
      </c>
      <c r="I53" s="76">
        <v>0</v>
      </c>
      <c r="J53" s="79">
        <v>15</v>
      </c>
      <c r="K53" s="75">
        <v>150</v>
      </c>
      <c r="L53" s="76">
        <v>0</v>
      </c>
      <c r="M53" s="77">
        <v>2</v>
      </c>
      <c r="N53" s="76">
        <v>0</v>
      </c>
      <c r="O53" s="79">
        <v>14</v>
      </c>
      <c r="P53" s="75">
        <v>162</v>
      </c>
      <c r="Q53" s="76">
        <v>8</v>
      </c>
      <c r="R53" s="77">
        <v>3</v>
      </c>
      <c r="S53" s="76">
        <v>0</v>
      </c>
      <c r="T53" s="79">
        <v>3</v>
      </c>
      <c r="U53" s="78">
        <v>154</v>
      </c>
      <c r="V53" s="76">
        <v>3</v>
      </c>
      <c r="W53" s="77">
        <v>100</v>
      </c>
      <c r="X53" s="76">
        <v>0</v>
      </c>
      <c r="Y53" s="77">
        <v>100</v>
      </c>
      <c r="Z53" s="75">
        <v>151</v>
      </c>
      <c r="AA53" s="76">
        <v>3</v>
      </c>
      <c r="AB53" s="77">
        <v>43</v>
      </c>
      <c r="AC53" s="76">
        <v>0</v>
      </c>
      <c r="AD53" s="77">
        <v>43</v>
      </c>
      <c r="AE53" s="75">
        <v>148</v>
      </c>
    </row>
    <row r="54" spans="2:31" s="52" customFormat="1" ht="15.75" customHeight="1">
      <c r="B54" s="74"/>
      <c r="C54" s="64"/>
      <c r="D54" s="63"/>
      <c r="E54" s="64" t="s">
        <v>122</v>
      </c>
      <c r="F54" s="75">
        <v>2496</v>
      </c>
      <c r="G54" s="76">
        <v>14</v>
      </c>
      <c r="H54" s="77">
        <v>18</v>
      </c>
      <c r="I54" s="76">
        <v>4</v>
      </c>
      <c r="J54" s="79">
        <v>18</v>
      </c>
      <c r="K54" s="75">
        <v>2486</v>
      </c>
      <c r="L54" s="76">
        <v>48</v>
      </c>
      <c r="M54" s="77">
        <v>26</v>
      </c>
      <c r="N54" s="76">
        <v>5</v>
      </c>
      <c r="O54" s="79">
        <v>25</v>
      </c>
      <c r="P54" s="75">
        <v>2442</v>
      </c>
      <c r="Q54" s="76">
        <v>50</v>
      </c>
      <c r="R54" s="77">
        <v>26</v>
      </c>
      <c r="S54" s="76">
        <v>8</v>
      </c>
      <c r="T54" s="79">
        <v>26</v>
      </c>
      <c r="U54" s="78">
        <v>2400</v>
      </c>
      <c r="V54" s="76">
        <v>41</v>
      </c>
      <c r="W54" s="77">
        <v>25</v>
      </c>
      <c r="X54" s="76">
        <v>6</v>
      </c>
      <c r="Y54" s="77">
        <v>25</v>
      </c>
      <c r="Z54" s="75">
        <v>2365</v>
      </c>
      <c r="AA54" s="76">
        <v>40</v>
      </c>
      <c r="AB54" s="77">
        <v>50</v>
      </c>
      <c r="AC54" s="76">
        <v>5</v>
      </c>
      <c r="AD54" s="77">
        <v>50</v>
      </c>
      <c r="AE54" s="75">
        <v>2330</v>
      </c>
    </row>
    <row r="55" spans="2:31" s="52" customFormat="1" ht="15.75" customHeight="1">
      <c r="B55" s="74"/>
      <c r="C55" s="64"/>
      <c r="D55" s="63"/>
      <c r="E55" s="64" t="s">
        <v>123</v>
      </c>
      <c r="F55" s="75">
        <v>7060</v>
      </c>
      <c r="G55" s="76">
        <v>0</v>
      </c>
      <c r="H55" s="77">
        <v>49</v>
      </c>
      <c r="I55" s="76">
        <v>83</v>
      </c>
      <c r="J55" s="79">
        <v>72</v>
      </c>
      <c r="K55" s="75">
        <v>7166</v>
      </c>
      <c r="L55" s="76">
        <v>0</v>
      </c>
      <c r="M55" s="77">
        <v>72</v>
      </c>
      <c r="N55" s="76">
        <v>87</v>
      </c>
      <c r="O55" s="79">
        <v>73</v>
      </c>
      <c r="P55" s="75">
        <v>7254</v>
      </c>
      <c r="Q55" s="76">
        <v>5</v>
      </c>
      <c r="R55" s="77">
        <v>100</v>
      </c>
      <c r="S55" s="76">
        <v>114</v>
      </c>
      <c r="T55" s="79">
        <v>100</v>
      </c>
      <c r="U55" s="78">
        <v>7363</v>
      </c>
      <c r="V55" s="76">
        <v>2</v>
      </c>
      <c r="W55" s="77">
        <v>225</v>
      </c>
      <c r="X55" s="76">
        <v>85</v>
      </c>
      <c r="Y55" s="77">
        <v>225</v>
      </c>
      <c r="Z55" s="75">
        <v>7446</v>
      </c>
      <c r="AA55" s="76">
        <v>2</v>
      </c>
      <c r="AB55" s="77">
        <v>160</v>
      </c>
      <c r="AC55" s="76">
        <v>82</v>
      </c>
      <c r="AD55" s="77">
        <v>160</v>
      </c>
      <c r="AE55" s="75">
        <v>7526</v>
      </c>
    </row>
    <row r="56" spans="2:31" s="52" customFormat="1" ht="15.75" customHeight="1">
      <c r="B56" s="74"/>
      <c r="C56" s="64"/>
      <c r="D56" s="63"/>
      <c r="E56" s="64" t="s">
        <v>124</v>
      </c>
      <c r="F56" s="75">
        <v>5011</v>
      </c>
      <c r="G56" s="76">
        <v>0</v>
      </c>
      <c r="H56" s="77">
        <v>93</v>
      </c>
      <c r="I56" s="76">
        <v>21</v>
      </c>
      <c r="J56" s="79">
        <v>252</v>
      </c>
      <c r="K56" s="75">
        <v>5191</v>
      </c>
      <c r="L56" s="76">
        <v>0</v>
      </c>
      <c r="M56" s="77">
        <v>36</v>
      </c>
      <c r="N56" s="76">
        <v>24</v>
      </c>
      <c r="O56" s="79">
        <v>305</v>
      </c>
      <c r="P56" s="75">
        <v>5484</v>
      </c>
      <c r="Q56" s="76">
        <v>0</v>
      </c>
      <c r="R56" s="77">
        <v>65</v>
      </c>
      <c r="S56" s="76">
        <v>20</v>
      </c>
      <c r="T56" s="79">
        <v>227</v>
      </c>
      <c r="U56" s="78">
        <v>5666</v>
      </c>
      <c r="V56" s="76">
        <v>0</v>
      </c>
      <c r="W56" s="77">
        <v>0</v>
      </c>
      <c r="X56" s="76">
        <v>18</v>
      </c>
      <c r="Y56" s="77">
        <v>0</v>
      </c>
      <c r="Z56" s="75">
        <v>5684</v>
      </c>
      <c r="AA56" s="76">
        <v>0</v>
      </c>
      <c r="AB56" s="77">
        <v>0</v>
      </c>
      <c r="AC56" s="76">
        <v>18</v>
      </c>
      <c r="AD56" s="77">
        <v>0</v>
      </c>
      <c r="AE56" s="75">
        <v>5702</v>
      </c>
    </row>
    <row r="57" spans="2:31" s="52" customFormat="1" ht="15.75" customHeight="1">
      <c r="B57" s="74"/>
      <c r="C57" s="64"/>
      <c r="D57" s="63"/>
      <c r="E57" s="64" t="s">
        <v>125</v>
      </c>
      <c r="F57" s="75">
        <v>1</v>
      </c>
      <c r="G57" s="76">
        <v>0</v>
      </c>
      <c r="H57" s="77">
        <v>0</v>
      </c>
      <c r="I57" s="76">
        <v>0</v>
      </c>
      <c r="J57" s="79">
        <v>0</v>
      </c>
      <c r="K57" s="75">
        <v>1</v>
      </c>
      <c r="L57" s="76">
        <v>0</v>
      </c>
      <c r="M57" s="77">
        <v>0</v>
      </c>
      <c r="N57" s="76">
        <v>0</v>
      </c>
      <c r="O57" s="79">
        <v>0</v>
      </c>
      <c r="P57" s="75">
        <v>1</v>
      </c>
      <c r="Q57" s="76">
        <v>0</v>
      </c>
      <c r="R57" s="77">
        <v>0</v>
      </c>
      <c r="S57" s="76">
        <v>0</v>
      </c>
      <c r="T57" s="79">
        <v>0</v>
      </c>
      <c r="U57" s="78">
        <v>1</v>
      </c>
      <c r="V57" s="76">
        <v>0</v>
      </c>
      <c r="W57" s="77">
        <v>0</v>
      </c>
      <c r="X57" s="76">
        <v>0</v>
      </c>
      <c r="Y57" s="77">
        <v>0</v>
      </c>
      <c r="Z57" s="75">
        <v>1</v>
      </c>
      <c r="AA57" s="76">
        <v>0</v>
      </c>
      <c r="AB57" s="77">
        <v>0</v>
      </c>
      <c r="AC57" s="76">
        <v>0</v>
      </c>
      <c r="AD57" s="77">
        <v>0</v>
      </c>
      <c r="AE57" s="75">
        <v>1</v>
      </c>
    </row>
    <row r="58" spans="2:31" s="52" customFormat="1" ht="15.75" customHeight="1">
      <c r="B58" s="74"/>
      <c r="C58" s="64"/>
      <c r="D58" s="64"/>
      <c r="E58" s="64" t="s">
        <v>126</v>
      </c>
      <c r="F58" s="75">
        <v>0</v>
      </c>
      <c r="G58" s="76">
        <v>0</v>
      </c>
      <c r="H58" s="77">
        <v>0</v>
      </c>
      <c r="I58" s="76">
        <v>0</v>
      </c>
      <c r="J58" s="79">
        <v>0</v>
      </c>
      <c r="K58" s="75">
        <v>0</v>
      </c>
      <c r="L58" s="76">
        <v>0</v>
      </c>
      <c r="M58" s="77">
        <v>0</v>
      </c>
      <c r="N58" s="76">
        <v>0</v>
      </c>
      <c r="O58" s="79">
        <v>0</v>
      </c>
      <c r="P58" s="75">
        <v>0</v>
      </c>
      <c r="Q58" s="76">
        <v>0</v>
      </c>
      <c r="R58" s="77">
        <v>0</v>
      </c>
      <c r="S58" s="76">
        <v>0</v>
      </c>
      <c r="T58" s="79">
        <v>0</v>
      </c>
      <c r="U58" s="78">
        <v>0</v>
      </c>
      <c r="V58" s="76">
        <v>0</v>
      </c>
      <c r="W58" s="77">
        <v>0</v>
      </c>
      <c r="X58" s="76">
        <v>0</v>
      </c>
      <c r="Y58" s="77">
        <v>0</v>
      </c>
      <c r="Z58" s="75">
        <v>0</v>
      </c>
      <c r="AA58" s="76">
        <v>0</v>
      </c>
      <c r="AB58" s="77">
        <v>0</v>
      </c>
      <c r="AC58" s="76">
        <v>0</v>
      </c>
      <c r="AD58" s="77">
        <v>0</v>
      </c>
      <c r="AE58" s="75">
        <v>0</v>
      </c>
    </row>
    <row r="59" spans="2:31" s="52" customFormat="1" ht="15.75" customHeight="1">
      <c r="B59" s="74"/>
      <c r="C59" s="64"/>
      <c r="D59" s="64"/>
      <c r="E59" s="64" t="s">
        <v>127</v>
      </c>
      <c r="F59" s="75">
        <v>0</v>
      </c>
      <c r="G59" s="76">
        <v>0</v>
      </c>
      <c r="H59" s="77">
        <v>0</v>
      </c>
      <c r="I59" s="76">
        <v>0</v>
      </c>
      <c r="J59" s="79">
        <v>0</v>
      </c>
      <c r="K59" s="75">
        <v>0</v>
      </c>
      <c r="L59" s="76">
        <v>0</v>
      </c>
      <c r="M59" s="77">
        <v>0</v>
      </c>
      <c r="N59" s="76">
        <v>0</v>
      </c>
      <c r="O59" s="79">
        <v>0</v>
      </c>
      <c r="P59" s="75">
        <v>0</v>
      </c>
      <c r="Q59" s="76">
        <v>0</v>
      </c>
      <c r="R59" s="77">
        <v>0</v>
      </c>
      <c r="S59" s="76">
        <v>0</v>
      </c>
      <c r="T59" s="79">
        <v>0</v>
      </c>
      <c r="U59" s="78">
        <v>0</v>
      </c>
      <c r="V59" s="76">
        <v>0</v>
      </c>
      <c r="W59" s="77">
        <v>0</v>
      </c>
      <c r="X59" s="76">
        <v>0</v>
      </c>
      <c r="Y59" s="77">
        <v>0</v>
      </c>
      <c r="Z59" s="75">
        <v>0</v>
      </c>
      <c r="AA59" s="76">
        <v>0</v>
      </c>
      <c r="AB59" s="77">
        <v>0</v>
      </c>
      <c r="AC59" s="76">
        <v>0</v>
      </c>
      <c r="AD59" s="77">
        <v>0</v>
      </c>
      <c r="AE59" s="75">
        <v>0</v>
      </c>
    </row>
    <row r="60" spans="2:31" s="52" customFormat="1" ht="15.75" customHeight="1">
      <c r="B60" s="74"/>
      <c r="C60" s="64"/>
      <c r="D60" s="63"/>
      <c r="E60" s="64" t="s">
        <v>128</v>
      </c>
      <c r="F60" s="75">
        <v>0</v>
      </c>
      <c r="G60" s="76">
        <v>0</v>
      </c>
      <c r="H60" s="77">
        <v>0</v>
      </c>
      <c r="I60" s="76">
        <v>0</v>
      </c>
      <c r="J60" s="79">
        <v>0</v>
      </c>
      <c r="K60" s="75">
        <v>0</v>
      </c>
      <c r="L60" s="76">
        <v>0</v>
      </c>
      <c r="M60" s="77">
        <v>0</v>
      </c>
      <c r="N60" s="76">
        <v>0</v>
      </c>
      <c r="O60" s="79">
        <v>0</v>
      </c>
      <c r="P60" s="75">
        <v>0</v>
      </c>
      <c r="Q60" s="76">
        <v>0</v>
      </c>
      <c r="R60" s="77">
        <v>0</v>
      </c>
      <c r="S60" s="76">
        <v>0</v>
      </c>
      <c r="T60" s="79">
        <v>0</v>
      </c>
      <c r="U60" s="78">
        <v>0</v>
      </c>
      <c r="V60" s="76">
        <v>0</v>
      </c>
      <c r="W60" s="77">
        <v>0</v>
      </c>
      <c r="X60" s="76">
        <v>0</v>
      </c>
      <c r="Y60" s="77">
        <v>0</v>
      </c>
      <c r="Z60" s="75">
        <v>0</v>
      </c>
      <c r="AA60" s="76">
        <v>0</v>
      </c>
      <c r="AB60" s="77">
        <v>0</v>
      </c>
      <c r="AC60" s="76">
        <v>0</v>
      </c>
      <c r="AD60" s="77">
        <v>0</v>
      </c>
      <c r="AE60" s="75">
        <v>0</v>
      </c>
    </row>
    <row r="61" spans="2:31" s="52" customFormat="1" ht="15.75" customHeight="1">
      <c r="B61" s="74"/>
      <c r="C61" s="64"/>
      <c r="D61" s="63"/>
      <c r="E61" s="64" t="s">
        <v>129</v>
      </c>
      <c r="F61" s="75">
        <v>0</v>
      </c>
      <c r="G61" s="76">
        <v>0</v>
      </c>
      <c r="H61" s="77">
        <v>0</v>
      </c>
      <c r="I61" s="76">
        <v>0</v>
      </c>
      <c r="J61" s="79">
        <v>0</v>
      </c>
      <c r="K61" s="75">
        <v>0</v>
      </c>
      <c r="L61" s="76">
        <v>0</v>
      </c>
      <c r="M61" s="77">
        <v>0</v>
      </c>
      <c r="N61" s="76">
        <v>0</v>
      </c>
      <c r="O61" s="79">
        <v>0</v>
      </c>
      <c r="P61" s="75">
        <v>0</v>
      </c>
      <c r="Q61" s="76">
        <v>0</v>
      </c>
      <c r="R61" s="77">
        <v>0</v>
      </c>
      <c r="S61" s="76">
        <v>0</v>
      </c>
      <c r="T61" s="79">
        <v>0</v>
      </c>
      <c r="U61" s="78">
        <v>0</v>
      </c>
      <c r="V61" s="76">
        <v>0</v>
      </c>
      <c r="W61" s="77">
        <v>0</v>
      </c>
      <c r="X61" s="76">
        <v>0</v>
      </c>
      <c r="Y61" s="77">
        <v>0</v>
      </c>
      <c r="Z61" s="75">
        <v>0</v>
      </c>
      <c r="AA61" s="76">
        <v>0</v>
      </c>
      <c r="AB61" s="77">
        <v>0</v>
      </c>
      <c r="AC61" s="76">
        <v>0</v>
      </c>
      <c r="AD61" s="77">
        <v>0</v>
      </c>
      <c r="AE61" s="75">
        <v>0</v>
      </c>
    </row>
    <row r="62" spans="2:31" s="52" customFormat="1" ht="15.75" customHeight="1">
      <c r="B62" s="74"/>
      <c r="C62" s="64"/>
      <c r="D62" s="63"/>
      <c r="E62" s="64" t="s">
        <v>130</v>
      </c>
      <c r="F62" s="75">
        <v>0</v>
      </c>
      <c r="G62" s="76">
        <v>0</v>
      </c>
      <c r="H62" s="77">
        <v>0</v>
      </c>
      <c r="I62" s="76">
        <v>0</v>
      </c>
      <c r="J62" s="79">
        <v>0</v>
      </c>
      <c r="K62" s="75">
        <v>0</v>
      </c>
      <c r="L62" s="76">
        <v>0</v>
      </c>
      <c r="M62" s="77">
        <v>0</v>
      </c>
      <c r="N62" s="76">
        <v>0</v>
      </c>
      <c r="O62" s="79">
        <v>0</v>
      </c>
      <c r="P62" s="75">
        <v>0</v>
      </c>
      <c r="Q62" s="76">
        <v>0</v>
      </c>
      <c r="R62" s="77">
        <v>0</v>
      </c>
      <c r="S62" s="76">
        <v>0</v>
      </c>
      <c r="T62" s="79">
        <v>0</v>
      </c>
      <c r="U62" s="78">
        <v>0</v>
      </c>
      <c r="V62" s="76">
        <v>0</v>
      </c>
      <c r="W62" s="77">
        <v>0</v>
      </c>
      <c r="X62" s="76">
        <v>0</v>
      </c>
      <c r="Y62" s="77">
        <v>0</v>
      </c>
      <c r="Z62" s="75">
        <v>0</v>
      </c>
      <c r="AA62" s="76">
        <v>0</v>
      </c>
      <c r="AB62" s="77">
        <v>0</v>
      </c>
      <c r="AC62" s="76">
        <v>0</v>
      </c>
      <c r="AD62" s="77">
        <v>0</v>
      </c>
      <c r="AE62" s="75">
        <v>0</v>
      </c>
    </row>
    <row r="63" spans="2:31" s="52" customFormat="1" ht="15.75" customHeight="1">
      <c r="B63" s="74"/>
      <c r="C63" s="64"/>
      <c r="D63" s="63"/>
      <c r="E63" s="64" t="s">
        <v>131</v>
      </c>
      <c r="F63" s="75">
        <v>0</v>
      </c>
      <c r="G63" s="76">
        <v>0</v>
      </c>
      <c r="H63" s="77">
        <v>0</v>
      </c>
      <c r="I63" s="76">
        <v>0</v>
      </c>
      <c r="J63" s="79">
        <v>0</v>
      </c>
      <c r="K63" s="75">
        <v>0</v>
      </c>
      <c r="L63" s="76">
        <v>0</v>
      </c>
      <c r="M63" s="77">
        <v>0</v>
      </c>
      <c r="N63" s="76">
        <v>0</v>
      </c>
      <c r="O63" s="79">
        <v>0</v>
      </c>
      <c r="P63" s="75">
        <v>0</v>
      </c>
      <c r="Q63" s="76">
        <v>0</v>
      </c>
      <c r="R63" s="77">
        <v>0</v>
      </c>
      <c r="S63" s="76">
        <v>0</v>
      </c>
      <c r="T63" s="79">
        <v>0</v>
      </c>
      <c r="U63" s="78">
        <v>0</v>
      </c>
      <c r="V63" s="76">
        <v>0</v>
      </c>
      <c r="W63" s="77">
        <v>0</v>
      </c>
      <c r="X63" s="76">
        <v>0</v>
      </c>
      <c r="Y63" s="77">
        <v>0</v>
      </c>
      <c r="Z63" s="75">
        <v>0</v>
      </c>
      <c r="AA63" s="76">
        <v>0</v>
      </c>
      <c r="AB63" s="77">
        <v>0</v>
      </c>
      <c r="AC63" s="76">
        <v>0</v>
      </c>
      <c r="AD63" s="77">
        <v>0</v>
      </c>
      <c r="AE63" s="75">
        <v>0</v>
      </c>
    </row>
    <row r="64" spans="2:31" s="52" customFormat="1" ht="15.75" customHeight="1">
      <c r="B64" s="74"/>
      <c r="C64" s="64"/>
      <c r="D64" s="63"/>
      <c r="E64" s="64" t="s">
        <v>132</v>
      </c>
      <c r="F64" s="75">
        <v>0</v>
      </c>
      <c r="G64" s="76">
        <v>0</v>
      </c>
      <c r="H64" s="77">
        <v>0</v>
      </c>
      <c r="I64" s="76">
        <v>0</v>
      </c>
      <c r="J64" s="79">
        <v>0</v>
      </c>
      <c r="K64" s="75">
        <v>0</v>
      </c>
      <c r="L64" s="76">
        <v>0</v>
      </c>
      <c r="M64" s="77">
        <v>0</v>
      </c>
      <c r="N64" s="76">
        <v>0</v>
      </c>
      <c r="O64" s="79">
        <v>0</v>
      </c>
      <c r="P64" s="75">
        <v>0</v>
      </c>
      <c r="Q64" s="76">
        <v>0</v>
      </c>
      <c r="R64" s="77">
        <v>0</v>
      </c>
      <c r="S64" s="76">
        <v>0</v>
      </c>
      <c r="T64" s="79">
        <v>0</v>
      </c>
      <c r="U64" s="78">
        <v>0</v>
      </c>
      <c r="V64" s="76">
        <v>0</v>
      </c>
      <c r="W64" s="77">
        <v>0</v>
      </c>
      <c r="X64" s="76">
        <v>0</v>
      </c>
      <c r="Y64" s="77">
        <v>0</v>
      </c>
      <c r="Z64" s="75">
        <v>0</v>
      </c>
      <c r="AA64" s="76">
        <v>0</v>
      </c>
      <c r="AB64" s="77">
        <v>0</v>
      </c>
      <c r="AC64" s="76">
        <v>0</v>
      </c>
      <c r="AD64" s="77">
        <v>0</v>
      </c>
      <c r="AE64" s="75">
        <v>0</v>
      </c>
    </row>
    <row r="65" spans="2:31" s="52" customFormat="1" ht="15.75" customHeight="1">
      <c r="B65" s="74"/>
      <c r="C65" s="64"/>
      <c r="D65" s="63"/>
      <c r="E65" s="64"/>
      <c r="F65" s="80"/>
      <c r="G65" s="81"/>
      <c r="H65" s="82"/>
      <c r="I65" s="81"/>
      <c r="J65" s="83"/>
      <c r="K65" s="80"/>
      <c r="L65" s="81"/>
      <c r="M65" s="82"/>
      <c r="N65" s="81"/>
      <c r="O65" s="83"/>
      <c r="P65" s="80"/>
      <c r="Q65" s="81"/>
      <c r="R65" s="82"/>
      <c r="S65" s="81"/>
      <c r="T65" s="83"/>
      <c r="U65" s="84"/>
      <c r="V65" s="81"/>
      <c r="W65" s="82"/>
      <c r="X65" s="81"/>
      <c r="Y65" s="82"/>
      <c r="Z65" s="80"/>
      <c r="AA65" s="81"/>
      <c r="AB65" s="82"/>
      <c r="AC65" s="81"/>
      <c r="AD65" s="82"/>
      <c r="AE65" s="80"/>
    </row>
    <row r="66" spans="2:31" s="52" customFormat="1" ht="15.75" customHeight="1">
      <c r="B66" s="74"/>
      <c r="C66" s="64"/>
      <c r="D66" s="63" t="s">
        <v>133</v>
      </c>
      <c r="E66" s="64"/>
      <c r="F66" s="80"/>
      <c r="G66" s="81"/>
      <c r="H66" s="82"/>
      <c r="I66" s="81"/>
      <c r="J66" s="83"/>
      <c r="K66" s="80"/>
      <c r="L66" s="81"/>
      <c r="M66" s="82"/>
      <c r="N66" s="81"/>
      <c r="O66" s="83"/>
      <c r="P66" s="80"/>
      <c r="Q66" s="81"/>
      <c r="R66" s="82"/>
      <c r="S66" s="81"/>
      <c r="T66" s="83"/>
      <c r="U66" s="84"/>
      <c r="V66" s="81"/>
      <c r="W66" s="82"/>
      <c r="X66" s="81"/>
      <c r="Y66" s="82"/>
      <c r="Z66" s="80"/>
      <c r="AA66" s="81"/>
      <c r="AB66" s="82"/>
      <c r="AC66" s="81"/>
      <c r="AD66" s="82"/>
      <c r="AE66" s="80"/>
    </row>
    <row r="67" spans="2:31" s="52" customFormat="1" ht="15.75" customHeight="1">
      <c r="B67" s="74"/>
      <c r="C67" s="64"/>
      <c r="D67" s="63"/>
      <c r="E67" s="64" t="s">
        <v>134</v>
      </c>
      <c r="F67" s="75">
        <v>31144</v>
      </c>
      <c r="G67" s="76">
        <v>0</v>
      </c>
      <c r="H67" s="77">
        <v>511</v>
      </c>
      <c r="I67" s="76">
        <v>127</v>
      </c>
      <c r="J67" s="79">
        <v>513</v>
      </c>
      <c r="K67" s="75">
        <v>31273</v>
      </c>
      <c r="L67" s="76">
        <v>60</v>
      </c>
      <c r="M67" s="77">
        <v>559</v>
      </c>
      <c r="N67" s="76">
        <v>140</v>
      </c>
      <c r="O67" s="79">
        <v>537</v>
      </c>
      <c r="P67" s="75">
        <v>31331</v>
      </c>
      <c r="Q67" s="76">
        <v>51</v>
      </c>
      <c r="R67" s="77">
        <v>559</v>
      </c>
      <c r="S67" s="76">
        <v>130</v>
      </c>
      <c r="T67" s="79">
        <v>559</v>
      </c>
      <c r="U67" s="78">
        <v>31410</v>
      </c>
      <c r="V67" s="76">
        <v>47</v>
      </c>
      <c r="W67" s="77">
        <v>182</v>
      </c>
      <c r="X67" s="76">
        <v>114</v>
      </c>
      <c r="Y67" s="77">
        <v>182</v>
      </c>
      <c r="Z67" s="75">
        <v>31477</v>
      </c>
      <c r="AA67" s="76">
        <v>45</v>
      </c>
      <c r="AB67" s="77">
        <v>343</v>
      </c>
      <c r="AC67" s="76">
        <v>109</v>
      </c>
      <c r="AD67" s="77">
        <v>343</v>
      </c>
      <c r="AE67" s="75">
        <v>31541</v>
      </c>
    </row>
    <row r="68" spans="2:31" s="52" customFormat="1" ht="15.75" customHeight="1">
      <c r="B68" s="74"/>
      <c r="C68" s="64"/>
      <c r="D68" s="63"/>
      <c r="E68" s="64" t="s">
        <v>135</v>
      </c>
      <c r="F68" s="75">
        <v>7770</v>
      </c>
      <c r="G68" s="76">
        <v>0</v>
      </c>
      <c r="H68" s="77">
        <v>46</v>
      </c>
      <c r="I68" s="76">
        <v>95</v>
      </c>
      <c r="J68" s="79">
        <v>69</v>
      </c>
      <c r="K68" s="75">
        <v>7888</v>
      </c>
      <c r="L68" s="76">
        <v>16</v>
      </c>
      <c r="M68" s="77">
        <v>87</v>
      </c>
      <c r="N68" s="76">
        <v>104</v>
      </c>
      <c r="O68" s="79">
        <v>72</v>
      </c>
      <c r="P68" s="75">
        <v>7961</v>
      </c>
      <c r="Q68" s="76">
        <v>21</v>
      </c>
      <c r="R68" s="77">
        <v>87</v>
      </c>
      <c r="S68" s="76">
        <v>114</v>
      </c>
      <c r="T68" s="79">
        <v>87</v>
      </c>
      <c r="U68" s="78">
        <v>8054</v>
      </c>
      <c r="V68" s="76">
        <v>16</v>
      </c>
      <c r="W68" s="77">
        <v>22</v>
      </c>
      <c r="X68" s="76">
        <v>92</v>
      </c>
      <c r="Y68" s="77">
        <v>22</v>
      </c>
      <c r="Z68" s="75">
        <v>8130</v>
      </c>
      <c r="AA68" s="76">
        <v>15</v>
      </c>
      <c r="AB68" s="77">
        <v>42</v>
      </c>
      <c r="AC68" s="76">
        <v>88</v>
      </c>
      <c r="AD68" s="77">
        <v>42</v>
      </c>
      <c r="AE68" s="75">
        <v>8203</v>
      </c>
    </row>
    <row r="69" spans="2:31" s="52" customFormat="1" ht="15.75" customHeight="1">
      <c r="B69" s="74"/>
      <c r="C69" s="64"/>
      <c r="D69" s="63"/>
      <c r="E69" s="64" t="s">
        <v>136</v>
      </c>
      <c r="F69" s="75">
        <v>0</v>
      </c>
      <c r="G69" s="76">
        <v>0</v>
      </c>
      <c r="H69" s="77">
        <v>0</v>
      </c>
      <c r="I69" s="76">
        <v>0</v>
      </c>
      <c r="J69" s="79">
        <v>0</v>
      </c>
      <c r="K69" s="75">
        <v>0</v>
      </c>
      <c r="L69" s="76">
        <v>0</v>
      </c>
      <c r="M69" s="77">
        <v>0</v>
      </c>
      <c r="N69" s="76">
        <v>0</v>
      </c>
      <c r="O69" s="79">
        <v>0</v>
      </c>
      <c r="P69" s="75">
        <v>0</v>
      </c>
      <c r="Q69" s="76">
        <v>0</v>
      </c>
      <c r="R69" s="77">
        <v>0</v>
      </c>
      <c r="S69" s="76">
        <v>0</v>
      </c>
      <c r="T69" s="79">
        <v>0</v>
      </c>
      <c r="U69" s="78">
        <v>0</v>
      </c>
      <c r="V69" s="76">
        <v>0</v>
      </c>
      <c r="W69" s="77">
        <v>0</v>
      </c>
      <c r="X69" s="76">
        <v>0</v>
      </c>
      <c r="Y69" s="77">
        <v>0</v>
      </c>
      <c r="Z69" s="75">
        <v>0</v>
      </c>
      <c r="AA69" s="76">
        <v>0</v>
      </c>
      <c r="AB69" s="77">
        <v>0</v>
      </c>
      <c r="AC69" s="76">
        <v>0</v>
      </c>
      <c r="AD69" s="77">
        <v>0</v>
      </c>
      <c r="AE69" s="75">
        <v>0</v>
      </c>
    </row>
    <row r="70" spans="2:31" s="52" customFormat="1" ht="15.75" customHeight="1">
      <c r="B70" s="74"/>
      <c r="C70" s="64"/>
      <c r="D70" s="63"/>
      <c r="E70" s="64" t="s">
        <v>137</v>
      </c>
      <c r="F70" s="75">
        <v>0</v>
      </c>
      <c r="G70" s="76">
        <v>0</v>
      </c>
      <c r="H70" s="77">
        <v>0</v>
      </c>
      <c r="I70" s="76">
        <v>0</v>
      </c>
      <c r="J70" s="79">
        <v>0</v>
      </c>
      <c r="K70" s="75">
        <v>0</v>
      </c>
      <c r="L70" s="76">
        <v>0</v>
      </c>
      <c r="M70" s="77">
        <v>0</v>
      </c>
      <c r="N70" s="76">
        <v>0</v>
      </c>
      <c r="O70" s="79">
        <v>0</v>
      </c>
      <c r="P70" s="75">
        <v>0</v>
      </c>
      <c r="Q70" s="76">
        <v>0</v>
      </c>
      <c r="R70" s="77">
        <v>0</v>
      </c>
      <c r="S70" s="76">
        <v>0</v>
      </c>
      <c r="T70" s="79">
        <v>0</v>
      </c>
      <c r="U70" s="78">
        <v>0</v>
      </c>
      <c r="V70" s="76">
        <v>0</v>
      </c>
      <c r="W70" s="77">
        <v>0</v>
      </c>
      <c r="X70" s="76">
        <v>0</v>
      </c>
      <c r="Y70" s="77">
        <v>0</v>
      </c>
      <c r="Z70" s="75">
        <v>0</v>
      </c>
      <c r="AA70" s="76">
        <v>0</v>
      </c>
      <c r="AB70" s="77">
        <v>0</v>
      </c>
      <c r="AC70" s="76">
        <v>0</v>
      </c>
      <c r="AD70" s="77">
        <v>0</v>
      </c>
      <c r="AE70" s="75">
        <v>0</v>
      </c>
    </row>
    <row r="71" spans="2:31" s="52" customFormat="1" ht="15.75" customHeight="1" thickBot="1">
      <c r="B71" s="85"/>
      <c r="C71" s="86"/>
      <c r="D71" s="86"/>
      <c r="E71" s="86"/>
      <c r="F71" s="87"/>
      <c r="G71" s="88"/>
      <c r="H71" s="89"/>
      <c r="I71" s="88"/>
      <c r="J71" s="90"/>
      <c r="K71" s="91"/>
      <c r="L71" s="88"/>
      <c r="M71" s="89"/>
      <c r="N71" s="88"/>
      <c r="O71" s="90"/>
      <c r="P71" s="91"/>
      <c r="Q71" s="88"/>
      <c r="R71" s="89"/>
      <c r="S71" s="88"/>
      <c r="T71" s="90"/>
      <c r="U71" s="92"/>
      <c r="V71" s="88"/>
      <c r="W71" s="89"/>
      <c r="X71" s="88"/>
      <c r="Y71" s="89"/>
      <c r="Z71" s="91"/>
      <c r="AA71" s="88"/>
      <c r="AB71" s="89"/>
      <c r="AC71" s="88"/>
      <c r="AD71" s="89"/>
      <c r="AE71" s="91"/>
    </row>
    <row r="72" spans="2:31" s="52" customFormat="1" ht="15.75" customHeight="1">
      <c r="B72" s="93"/>
      <c r="C72" s="94" t="s">
        <v>138</v>
      </c>
      <c r="D72" s="94"/>
      <c r="E72" s="95"/>
      <c r="F72" s="96"/>
      <c r="G72" s="97"/>
      <c r="H72" s="98"/>
      <c r="I72" s="97"/>
      <c r="J72" s="99"/>
      <c r="K72" s="96"/>
      <c r="L72" s="97"/>
      <c r="M72" s="98"/>
      <c r="N72" s="97"/>
      <c r="O72" s="99"/>
      <c r="P72" s="96"/>
      <c r="Q72" s="97"/>
      <c r="R72" s="98"/>
      <c r="S72" s="97"/>
      <c r="T72" s="99"/>
      <c r="U72" s="100"/>
      <c r="V72" s="97"/>
      <c r="W72" s="98"/>
      <c r="X72" s="97"/>
      <c r="Y72" s="98"/>
      <c r="Z72" s="96"/>
      <c r="AA72" s="97"/>
      <c r="AB72" s="98"/>
      <c r="AC72" s="97"/>
      <c r="AD72" s="98"/>
      <c r="AE72" s="96"/>
    </row>
    <row r="73" spans="2:31" s="52" customFormat="1" ht="15.75" customHeight="1">
      <c r="B73" s="74"/>
      <c r="C73" s="64"/>
      <c r="D73" s="63" t="s">
        <v>90</v>
      </c>
      <c r="E73" s="64"/>
      <c r="F73" s="80"/>
      <c r="G73" s="81"/>
      <c r="H73" s="82"/>
      <c r="I73" s="81"/>
      <c r="J73" s="83"/>
      <c r="K73" s="80"/>
      <c r="L73" s="81"/>
      <c r="M73" s="82"/>
      <c r="N73" s="81"/>
      <c r="O73" s="83"/>
      <c r="P73" s="80"/>
      <c r="Q73" s="81"/>
      <c r="R73" s="82"/>
      <c r="S73" s="81"/>
      <c r="T73" s="83"/>
      <c r="U73" s="84"/>
      <c r="V73" s="81"/>
      <c r="W73" s="82"/>
      <c r="X73" s="81"/>
      <c r="Y73" s="82"/>
      <c r="Z73" s="80"/>
      <c r="AA73" s="81"/>
      <c r="AB73" s="82"/>
      <c r="AC73" s="81"/>
      <c r="AD73" s="82"/>
      <c r="AE73" s="80"/>
    </row>
    <row r="74" spans="2:31" s="52" customFormat="1" ht="15.75" customHeight="1">
      <c r="B74" s="74"/>
      <c r="C74" s="64"/>
      <c r="D74" s="64"/>
      <c r="E74" s="64" t="s">
        <v>139</v>
      </c>
      <c r="F74" s="75">
        <v>1196</v>
      </c>
      <c r="G74" s="76">
        <v>0</v>
      </c>
      <c r="H74" s="77">
        <v>5</v>
      </c>
      <c r="I74" s="76">
        <v>0</v>
      </c>
      <c r="J74" s="79">
        <v>5</v>
      </c>
      <c r="K74" s="75">
        <v>1196</v>
      </c>
      <c r="L74" s="76">
        <v>0</v>
      </c>
      <c r="M74" s="77">
        <v>20</v>
      </c>
      <c r="N74" s="76">
        <v>0</v>
      </c>
      <c r="O74" s="79">
        <v>14</v>
      </c>
      <c r="P74" s="75">
        <v>1190</v>
      </c>
      <c r="Q74" s="76">
        <v>0</v>
      </c>
      <c r="R74" s="77">
        <v>25</v>
      </c>
      <c r="S74" s="76">
        <v>0</v>
      </c>
      <c r="T74" s="79">
        <v>21</v>
      </c>
      <c r="U74" s="78">
        <v>1186</v>
      </c>
      <c r="V74" s="76">
        <v>0</v>
      </c>
      <c r="W74" s="77">
        <v>0</v>
      </c>
      <c r="X74" s="76">
        <v>0</v>
      </c>
      <c r="Y74" s="77">
        <v>0</v>
      </c>
      <c r="Z74" s="75">
        <v>1186</v>
      </c>
      <c r="AA74" s="76">
        <v>0</v>
      </c>
      <c r="AB74" s="77">
        <v>0</v>
      </c>
      <c r="AC74" s="76">
        <v>0</v>
      </c>
      <c r="AD74" s="77">
        <v>0</v>
      </c>
      <c r="AE74" s="75">
        <v>1186</v>
      </c>
    </row>
    <row r="75" spans="2:31" s="52" customFormat="1" ht="15.75" customHeight="1">
      <c r="B75" s="74"/>
      <c r="C75" s="64"/>
      <c r="D75" s="63"/>
      <c r="E75" s="64" t="s">
        <v>140</v>
      </c>
      <c r="F75" s="75">
        <v>41</v>
      </c>
      <c r="G75" s="76">
        <v>0</v>
      </c>
      <c r="H75" s="77">
        <v>0</v>
      </c>
      <c r="I75" s="76">
        <v>0</v>
      </c>
      <c r="J75" s="79">
        <v>0</v>
      </c>
      <c r="K75" s="75">
        <v>41</v>
      </c>
      <c r="L75" s="76">
        <v>0</v>
      </c>
      <c r="M75" s="77">
        <v>0</v>
      </c>
      <c r="N75" s="76">
        <v>0</v>
      </c>
      <c r="O75" s="79">
        <v>0</v>
      </c>
      <c r="P75" s="75">
        <v>41</v>
      </c>
      <c r="Q75" s="76">
        <v>0</v>
      </c>
      <c r="R75" s="77">
        <v>0</v>
      </c>
      <c r="S75" s="76">
        <v>0</v>
      </c>
      <c r="T75" s="79">
        <v>0</v>
      </c>
      <c r="U75" s="78">
        <v>41</v>
      </c>
      <c r="V75" s="76">
        <v>0</v>
      </c>
      <c r="W75" s="77">
        <v>0</v>
      </c>
      <c r="X75" s="76">
        <v>0</v>
      </c>
      <c r="Y75" s="77">
        <v>0</v>
      </c>
      <c r="Z75" s="75">
        <v>41</v>
      </c>
      <c r="AA75" s="76">
        <v>0</v>
      </c>
      <c r="AB75" s="77">
        <v>0</v>
      </c>
      <c r="AC75" s="76">
        <v>0</v>
      </c>
      <c r="AD75" s="77">
        <v>0</v>
      </c>
      <c r="AE75" s="75">
        <v>41</v>
      </c>
    </row>
    <row r="76" spans="2:31" s="52" customFormat="1" ht="15.75" customHeight="1">
      <c r="B76" s="74"/>
      <c r="C76" s="64"/>
      <c r="D76" s="63"/>
      <c r="E76" s="64" t="s">
        <v>141</v>
      </c>
      <c r="F76" s="75">
        <v>329</v>
      </c>
      <c r="G76" s="76">
        <v>0</v>
      </c>
      <c r="H76" s="77">
        <v>0</v>
      </c>
      <c r="I76" s="76">
        <v>0</v>
      </c>
      <c r="J76" s="79">
        <v>0</v>
      </c>
      <c r="K76" s="75">
        <v>329</v>
      </c>
      <c r="L76" s="76">
        <v>0</v>
      </c>
      <c r="M76" s="77">
        <v>0</v>
      </c>
      <c r="N76" s="76">
        <v>0</v>
      </c>
      <c r="O76" s="79">
        <v>0</v>
      </c>
      <c r="P76" s="75">
        <v>329</v>
      </c>
      <c r="Q76" s="76">
        <v>0</v>
      </c>
      <c r="R76" s="77">
        <v>0</v>
      </c>
      <c r="S76" s="76">
        <v>0</v>
      </c>
      <c r="T76" s="79">
        <v>0</v>
      </c>
      <c r="U76" s="78">
        <v>329</v>
      </c>
      <c r="V76" s="76">
        <v>0</v>
      </c>
      <c r="W76" s="77">
        <v>0</v>
      </c>
      <c r="X76" s="76">
        <v>0</v>
      </c>
      <c r="Y76" s="77">
        <v>0</v>
      </c>
      <c r="Z76" s="75">
        <v>329</v>
      </c>
      <c r="AA76" s="76">
        <v>0</v>
      </c>
      <c r="AB76" s="77">
        <v>0</v>
      </c>
      <c r="AC76" s="76">
        <v>0</v>
      </c>
      <c r="AD76" s="77">
        <v>0</v>
      </c>
      <c r="AE76" s="75">
        <v>329</v>
      </c>
    </row>
    <row r="77" spans="2:31" s="52" customFormat="1" ht="15.75" customHeight="1">
      <c r="B77" s="74"/>
      <c r="C77" s="64"/>
      <c r="D77" s="63"/>
      <c r="E77" s="64" t="s">
        <v>142</v>
      </c>
      <c r="F77" s="75">
        <v>28</v>
      </c>
      <c r="G77" s="76">
        <v>0</v>
      </c>
      <c r="H77" s="77">
        <v>0</v>
      </c>
      <c r="I77" s="76">
        <v>0</v>
      </c>
      <c r="J77" s="79">
        <v>0</v>
      </c>
      <c r="K77" s="75">
        <v>28</v>
      </c>
      <c r="L77" s="76">
        <v>0</v>
      </c>
      <c r="M77" s="77">
        <v>0</v>
      </c>
      <c r="N77" s="76">
        <v>0</v>
      </c>
      <c r="O77" s="79">
        <v>0</v>
      </c>
      <c r="P77" s="75">
        <v>28</v>
      </c>
      <c r="Q77" s="76">
        <v>0</v>
      </c>
      <c r="R77" s="77">
        <v>0</v>
      </c>
      <c r="S77" s="76">
        <v>0</v>
      </c>
      <c r="T77" s="79">
        <v>0</v>
      </c>
      <c r="U77" s="78">
        <v>28</v>
      </c>
      <c r="V77" s="76">
        <v>0</v>
      </c>
      <c r="W77" s="77">
        <v>0</v>
      </c>
      <c r="X77" s="76">
        <v>0</v>
      </c>
      <c r="Y77" s="77">
        <v>0</v>
      </c>
      <c r="Z77" s="75">
        <v>28</v>
      </c>
      <c r="AA77" s="76">
        <v>0</v>
      </c>
      <c r="AB77" s="77">
        <v>0</v>
      </c>
      <c r="AC77" s="76">
        <v>0</v>
      </c>
      <c r="AD77" s="77">
        <v>0</v>
      </c>
      <c r="AE77" s="75">
        <v>28</v>
      </c>
    </row>
    <row r="78" spans="2:31" s="52" customFormat="1" ht="15.75" customHeight="1">
      <c r="B78" s="74"/>
      <c r="C78" s="64"/>
      <c r="D78" s="63"/>
      <c r="E78" s="64"/>
      <c r="F78" s="80"/>
      <c r="G78" s="81"/>
      <c r="H78" s="82"/>
      <c r="I78" s="81"/>
      <c r="J78" s="83"/>
      <c r="K78" s="80"/>
      <c r="L78" s="81"/>
      <c r="M78" s="82"/>
      <c r="N78" s="81"/>
      <c r="O78" s="83"/>
      <c r="P78" s="80"/>
      <c r="Q78" s="81"/>
      <c r="R78" s="82"/>
      <c r="S78" s="81"/>
      <c r="T78" s="83"/>
      <c r="U78" s="84"/>
      <c r="V78" s="81"/>
      <c r="W78" s="82"/>
      <c r="X78" s="81"/>
      <c r="Y78" s="82"/>
      <c r="Z78" s="80"/>
      <c r="AA78" s="81"/>
      <c r="AB78" s="82"/>
      <c r="AC78" s="81"/>
      <c r="AD78" s="82"/>
      <c r="AE78" s="80"/>
    </row>
    <row r="79" spans="2:31" s="52" customFormat="1" ht="15.75" customHeight="1">
      <c r="B79" s="74"/>
      <c r="C79" s="64"/>
      <c r="D79" s="63" t="s">
        <v>93</v>
      </c>
      <c r="E79" s="64"/>
      <c r="F79" s="80"/>
      <c r="G79" s="81"/>
      <c r="H79" s="82"/>
      <c r="I79" s="81"/>
      <c r="J79" s="83"/>
      <c r="K79" s="80"/>
      <c r="L79" s="81"/>
      <c r="M79" s="82"/>
      <c r="N79" s="81"/>
      <c r="O79" s="83"/>
      <c r="P79" s="80"/>
      <c r="Q79" s="81"/>
      <c r="R79" s="82"/>
      <c r="S79" s="81"/>
      <c r="T79" s="83"/>
      <c r="U79" s="84"/>
      <c r="V79" s="81"/>
      <c r="W79" s="82"/>
      <c r="X79" s="81"/>
      <c r="Y79" s="82"/>
      <c r="Z79" s="80"/>
      <c r="AA79" s="81"/>
      <c r="AB79" s="82"/>
      <c r="AC79" s="81"/>
      <c r="AD79" s="82"/>
      <c r="AE79" s="80"/>
    </row>
    <row r="80" spans="2:31" s="52" customFormat="1" ht="15.75" customHeight="1">
      <c r="B80" s="74"/>
      <c r="C80" s="64"/>
      <c r="D80" s="64"/>
      <c r="E80" s="64" t="s">
        <v>143</v>
      </c>
      <c r="F80" s="75">
        <v>15348</v>
      </c>
      <c r="G80" s="76">
        <v>0</v>
      </c>
      <c r="H80" s="77">
        <v>138</v>
      </c>
      <c r="I80" s="76">
        <v>0</v>
      </c>
      <c r="J80" s="79">
        <v>138</v>
      </c>
      <c r="K80" s="75">
        <v>15348</v>
      </c>
      <c r="L80" s="76">
        <v>0</v>
      </c>
      <c r="M80" s="77">
        <v>285</v>
      </c>
      <c r="N80" s="76">
        <v>0</v>
      </c>
      <c r="O80" s="79">
        <v>261</v>
      </c>
      <c r="P80" s="75">
        <v>15324</v>
      </c>
      <c r="Q80" s="76">
        <v>0</v>
      </c>
      <c r="R80" s="77">
        <v>366</v>
      </c>
      <c r="S80" s="76">
        <v>0</v>
      </c>
      <c r="T80" s="79">
        <v>366</v>
      </c>
      <c r="U80" s="78">
        <v>15324</v>
      </c>
      <c r="V80" s="76">
        <v>0</v>
      </c>
      <c r="W80" s="77">
        <v>350</v>
      </c>
      <c r="X80" s="76">
        <v>0</v>
      </c>
      <c r="Y80" s="77">
        <v>350</v>
      </c>
      <c r="Z80" s="75">
        <v>15324</v>
      </c>
      <c r="AA80" s="76">
        <v>0</v>
      </c>
      <c r="AB80" s="77">
        <v>350</v>
      </c>
      <c r="AC80" s="76">
        <v>0</v>
      </c>
      <c r="AD80" s="77">
        <v>350</v>
      </c>
      <c r="AE80" s="75">
        <v>15324</v>
      </c>
    </row>
    <row r="81" spans="2:31" s="52" customFormat="1" ht="15.75" customHeight="1">
      <c r="B81" s="74"/>
      <c r="C81" s="64"/>
      <c r="D81" s="64"/>
      <c r="E81" s="64" t="s">
        <v>144</v>
      </c>
      <c r="F81" s="75">
        <v>190</v>
      </c>
      <c r="G81" s="76">
        <v>0</v>
      </c>
      <c r="H81" s="77">
        <v>0</v>
      </c>
      <c r="I81" s="76">
        <v>0</v>
      </c>
      <c r="J81" s="79">
        <v>0</v>
      </c>
      <c r="K81" s="75">
        <v>190</v>
      </c>
      <c r="L81" s="76">
        <v>0</v>
      </c>
      <c r="M81" s="77">
        <v>0</v>
      </c>
      <c r="N81" s="76">
        <v>0</v>
      </c>
      <c r="O81" s="79">
        <v>0</v>
      </c>
      <c r="P81" s="75">
        <v>190</v>
      </c>
      <c r="Q81" s="76">
        <v>0</v>
      </c>
      <c r="R81" s="77">
        <v>0</v>
      </c>
      <c r="S81" s="76">
        <v>0</v>
      </c>
      <c r="T81" s="79">
        <v>0</v>
      </c>
      <c r="U81" s="78">
        <v>190</v>
      </c>
      <c r="V81" s="76">
        <v>0</v>
      </c>
      <c r="W81" s="77">
        <v>0</v>
      </c>
      <c r="X81" s="76">
        <v>0</v>
      </c>
      <c r="Y81" s="77">
        <v>0</v>
      </c>
      <c r="Z81" s="75">
        <v>190</v>
      </c>
      <c r="AA81" s="76">
        <v>0</v>
      </c>
      <c r="AB81" s="77">
        <v>0</v>
      </c>
      <c r="AC81" s="76">
        <v>0</v>
      </c>
      <c r="AD81" s="77">
        <v>0</v>
      </c>
      <c r="AE81" s="75">
        <v>190</v>
      </c>
    </row>
    <row r="82" spans="2:31" s="52" customFormat="1" ht="15.75" customHeight="1">
      <c r="B82" s="74"/>
      <c r="C82" s="64"/>
      <c r="D82" s="63"/>
      <c r="E82" s="64" t="s">
        <v>145</v>
      </c>
      <c r="F82" s="75">
        <v>4318</v>
      </c>
      <c r="G82" s="76">
        <v>0</v>
      </c>
      <c r="H82" s="77">
        <v>0</v>
      </c>
      <c r="I82" s="76">
        <v>0</v>
      </c>
      <c r="J82" s="79">
        <v>0</v>
      </c>
      <c r="K82" s="75">
        <v>4318</v>
      </c>
      <c r="L82" s="76">
        <v>0</v>
      </c>
      <c r="M82" s="77">
        <v>0</v>
      </c>
      <c r="N82" s="76">
        <v>0</v>
      </c>
      <c r="O82" s="79">
        <v>0</v>
      </c>
      <c r="P82" s="75">
        <v>4318</v>
      </c>
      <c r="Q82" s="76">
        <v>0</v>
      </c>
      <c r="R82" s="77">
        <v>0</v>
      </c>
      <c r="S82" s="76">
        <v>0</v>
      </c>
      <c r="T82" s="79">
        <v>0</v>
      </c>
      <c r="U82" s="78">
        <v>4318</v>
      </c>
      <c r="V82" s="76">
        <v>0</v>
      </c>
      <c r="W82" s="77">
        <v>0</v>
      </c>
      <c r="X82" s="76">
        <v>0</v>
      </c>
      <c r="Y82" s="77">
        <v>0</v>
      </c>
      <c r="Z82" s="75">
        <v>4318</v>
      </c>
      <c r="AA82" s="76">
        <v>0</v>
      </c>
      <c r="AB82" s="77">
        <v>0</v>
      </c>
      <c r="AC82" s="76">
        <v>0</v>
      </c>
      <c r="AD82" s="77">
        <v>0</v>
      </c>
      <c r="AE82" s="75">
        <v>4318</v>
      </c>
    </row>
    <row r="83" spans="2:31" s="52" customFormat="1" ht="15.75" customHeight="1">
      <c r="B83" s="74"/>
      <c r="C83" s="64"/>
      <c r="D83" s="63"/>
      <c r="E83" s="64" t="s">
        <v>146</v>
      </c>
      <c r="F83" s="75">
        <v>251</v>
      </c>
      <c r="G83" s="76">
        <v>0</v>
      </c>
      <c r="H83" s="77">
        <v>0</v>
      </c>
      <c r="I83" s="76">
        <v>0</v>
      </c>
      <c r="J83" s="79">
        <v>0</v>
      </c>
      <c r="K83" s="75">
        <v>251</v>
      </c>
      <c r="L83" s="76">
        <v>0</v>
      </c>
      <c r="M83" s="77">
        <v>0</v>
      </c>
      <c r="N83" s="76">
        <v>0</v>
      </c>
      <c r="O83" s="79">
        <v>0</v>
      </c>
      <c r="P83" s="75">
        <v>251</v>
      </c>
      <c r="Q83" s="76">
        <v>0</v>
      </c>
      <c r="R83" s="77">
        <v>0</v>
      </c>
      <c r="S83" s="76">
        <v>0</v>
      </c>
      <c r="T83" s="79">
        <v>0</v>
      </c>
      <c r="U83" s="78">
        <v>251</v>
      </c>
      <c r="V83" s="76">
        <v>0</v>
      </c>
      <c r="W83" s="77">
        <v>0</v>
      </c>
      <c r="X83" s="76">
        <v>0</v>
      </c>
      <c r="Y83" s="77">
        <v>0</v>
      </c>
      <c r="Z83" s="75">
        <v>251</v>
      </c>
      <c r="AA83" s="76">
        <v>0</v>
      </c>
      <c r="AB83" s="77">
        <v>0</v>
      </c>
      <c r="AC83" s="76">
        <v>0</v>
      </c>
      <c r="AD83" s="77">
        <v>0</v>
      </c>
      <c r="AE83" s="75">
        <v>251</v>
      </c>
    </row>
    <row r="84" spans="2:31" s="52" customFormat="1" ht="15.75" customHeight="1">
      <c r="B84" s="74"/>
      <c r="C84" s="64"/>
      <c r="D84" s="64"/>
      <c r="E84" s="64"/>
      <c r="F84" s="80"/>
      <c r="G84" s="81"/>
      <c r="H84" s="82"/>
      <c r="I84" s="81"/>
      <c r="J84" s="83"/>
      <c r="K84" s="80"/>
      <c r="L84" s="81"/>
      <c r="M84" s="82"/>
      <c r="N84" s="81"/>
      <c r="O84" s="83"/>
      <c r="P84" s="80"/>
      <c r="Q84" s="81"/>
      <c r="R84" s="82"/>
      <c r="S84" s="81"/>
      <c r="T84" s="83"/>
      <c r="U84" s="84"/>
      <c r="V84" s="81"/>
      <c r="W84" s="82"/>
      <c r="X84" s="81"/>
      <c r="Y84" s="82"/>
      <c r="Z84" s="80"/>
      <c r="AA84" s="81"/>
      <c r="AB84" s="82"/>
      <c r="AC84" s="81"/>
      <c r="AD84" s="82"/>
      <c r="AE84" s="80"/>
    </row>
    <row r="85" spans="2:31" s="52" customFormat="1" ht="15.75" customHeight="1">
      <c r="B85" s="62"/>
      <c r="C85" s="64"/>
      <c r="D85" s="63" t="s">
        <v>114</v>
      </c>
      <c r="E85" s="64"/>
      <c r="F85" s="80"/>
      <c r="G85" s="81"/>
      <c r="H85" s="82"/>
      <c r="I85" s="81"/>
      <c r="J85" s="83"/>
      <c r="K85" s="80"/>
      <c r="L85" s="81"/>
      <c r="M85" s="82"/>
      <c r="N85" s="81"/>
      <c r="O85" s="83"/>
      <c r="P85" s="80"/>
      <c r="Q85" s="81"/>
      <c r="R85" s="82"/>
      <c r="S85" s="81"/>
      <c r="T85" s="83"/>
      <c r="U85" s="84"/>
      <c r="V85" s="81"/>
      <c r="W85" s="82"/>
      <c r="X85" s="81"/>
      <c r="Y85" s="82"/>
      <c r="Z85" s="80"/>
      <c r="AA85" s="81"/>
      <c r="AB85" s="82"/>
      <c r="AC85" s="81"/>
      <c r="AD85" s="82"/>
      <c r="AE85" s="80"/>
    </row>
    <row r="86" spans="2:31" s="52" customFormat="1" ht="15.75" customHeight="1">
      <c r="B86" s="62"/>
      <c r="C86" s="64"/>
      <c r="D86" s="63"/>
      <c r="E86" s="64" t="s">
        <v>147</v>
      </c>
      <c r="F86" s="75">
        <v>364.14</v>
      </c>
      <c r="G86" s="76">
        <v>0</v>
      </c>
      <c r="H86" s="77">
        <v>0</v>
      </c>
      <c r="I86" s="76">
        <v>1</v>
      </c>
      <c r="J86" s="79">
        <v>0</v>
      </c>
      <c r="K86" s="75">
        <v>365.14</v>
      </c>
      <c r="L86" s="76">
        <v>0</v>
      </c>
      <c r="M86" s="77">
        <v>0</v>
      </c>
      <c r="N86" s="76">
        <v>12.9</v>
      </c>
      <c r="O86" s="79">
        <v>0</v>
      </c>
      <c r="P86" s="75">
        <v>378.04</v>
      </c>
      <c r="Q86" s="76">
        <v>0</v>
      </c>
      <c r="R86" s="77">
        <v>0</v>
      </c>
      <c r="S86" s="76">
        <v>0.4</v>
      </c>
      <c r="T86" s="79">
        <v>0.4</v>
      </c>
      <c r="U86" s="78">
        <v>378.84</v>
      </c>
      <c r="V86" s="76">
        <v>0</v>
      </c>
      <c r="W86" s="77">
        <v>0</v>
      </c>
      <c r="X86" s="76">
        <v>2</v>
      </c>
      <c r="Y86" s="77">
        <v>0</v>
      </c>
      <c r="Z86" s="75">
        <v>380.84</v>
      </c>
      <c r="AA86" s="76">
        <v>0</v>
      </c>
      <c r="AB86" s="77">
        <v>0</v>
      </c>
      <c r="AC86" s="76">
        <v>6</v>
      </c>
      <c r="AD86" s="77">
        <v>0</v>
      </c>
      <c r="AE86" s="75">
        <v>386.84</v>
      </c>
    </row>
    <row r="87" spans="2:31" s="52" customFormat="1" ht="15.75" customHeight="1">
      <c r="B87" s="62"/>
      <c r="C87" s="64"/>
      <c r="D87" s="63"/>
      <c r="E87" s="64" t="s">
        <v>148</v>
      </c>
      <c r="F87" s="75">
        <v>0</v>
      </c>
      <c r="G87" s="76">
        <v>0</v>
      </c>
      <c r="H87" s="77">
        <v>0</v>
      </c>
      <c r="I87" s="76">
        <v>0</v>
      </c>
      <c r="J87" s="79">
        <v>0</v>
      </c>
      <c r="K87" s="75">
        <v>0</v>
      </c>
      <c r="L87" s="76">
        <v>0</v>
      </c>
      <c r="M87" s="77">
        <v>0</v>
      </c>
      <c r="N87" s="76">
        <v>0</v>
      </c>
      <c r="O87" s="79">
        <v>0</v>
      </c>
      <c r="P87" s="75">
        <v>0</v>
      </c>
      <c r="Q87" s="76">
        <v>0</v>
      </c>
      <c r="R87" s="77">
        <v>0</v>
      </c>
      <c r="S87" s="76">
        <v>0</v>
      </c>
      <c r="T87" s="79">
        <v>0</v>
      </c>
      <c r="U87" s="78">
        <v>0</v>
      </c>
      <c r="V87" s="76">
        <v>0</v>
      </c>
      <c r="W87" s="77">
        <v>0</v>
      </c>
      <c r="X87" s="76">
        <v>0</v>
      </c>
      <c r="Y87" s="77">
        <v>0</v>
      </c>
      <c r="Z87" s="75">
        <v>0</v>
      </c>
      <c r="AA87" s="76">
        <v>0</v>
      </c>
      <c r="AB87" s="77">
        <v>0</v>
      </c>
      <c r="AC87" s="76">
        <v>0</v>
      </c>
      <c r="AD87" s="77">
        <v>0</v>
      </c>
      <c r="AE87" s="75">
        <v>0</v>
      </c>
    </row>
    <row r="88" spans="2:31" s="52" customFormat="1" ht="15.75" customHeight="1">
      <c r="B88" s="62"/>
      <c r="C88" s="64"/>
      <c r="D88" s="63"/>
      <c r="E88" s="64" t="s">
        <v>149</v>
      </c>
      <c r="F88" s="75">
        <v>8.1240000000000006</v>
      </c>
      <c r="G88" s="76">
        <v>0</v>
      </c>
      <c r="H88" s="77">
        <v>0</v>
      </c>
      <c r="I88" s="76">
        <v>0</v>
      </c>
      <c r="J88" s="79">
        <v>0</v>
      </c>
      <c r="K88" s="75">
        <v>8.1240000000000006</v>
      </c>
      <c r="L88" s="76">
        <v>0</v>
      </c>
      <c r="M88" s="77">
        <v>0</v>
      </c>
      <c r="N88" s="76">
        <v>0</v>
      </c>
      <c r="O88" s="79">
        <v>0</v>
      </c>
      <c r="P88" s="75">
        <v>8.1240000000000006</v>
      </c>
      <c r="Q88" s="76">
        <v>0</v>
      </c>
      <c r="R88" s="77">
        <v>0</v>
      </c>
      <c r="S88" s="76">
        <v>0</v>
      </c>
      <c r="T88" s="79">
        <v>0</v>
      </c>
      <c r="U88" s="78">
        <v>8.1240000000000006</v>
      </c>
      <c r="V88" s="76">
        <v>0</v>
      </c>
      <c r="W88" s="77">
        <v>0</v>
      </c>
      <c r="X88" s="76">
        <v>0</v>
      </c>
      <c r="Y88" s="77">
        <v>0</v>
      </c>
      <c r="Z88" s="75">
        <v>8.1240000000000006</v>
      </c>
      <c r="AA88" s="76">
        <v>0</v>
      </c>
      <c r="AB88" s="77">
        <v>0</v>
      </c>
      <c r="AC88" s="76">
        <v>0</v>
      </c>
      <c r="AD88" s="77">
        <v>0</v>
      </c>
      <c r="AE88" s="75">
        <v>8.1240000000000006</v>
      </c>
    </row>
    <row r="89" spans="2:31" s="52" customFormat="1" ht="15.75" customHeight="1">
      <c r="B89" s="62"/>
      <c r="C89" s="64"/>
      <c r="D89" s="63"/>
      <c r="E89" s="64" t="s">
        <v>150</v>
      </c>
      <c r="F89" s="75">
        <v>6</v>
      </c>
      <c r="G89" s="76">
        <v>0</v>
      </c>
      <c r="H89" s="77">
        <v>0</v>
      </c>
      <c r="I89" s="76">
        <v>0</v>
      </c>
      <c r="J89" s="79">
        <v>0</v>
      </c>
      <c r="K89" s="75">
        <v>6</v>
      </c>
      <c r="L89" s="76">
        <v>0</v>
      </c>
      <c r="M89" s="77">
        <v>0</v>
      </c>
      <c r="N89" s="76">
        <v>0</v>
      </c>
      <c r="O89" s="79">
        <v>0</v>
      </c>
      <c r="P89" s="75">
        <v>6</v>
      </c>
      <c r="Q89" s="76">
        <v>0</v>
      </c>
      <c r="R89" s="77">
        <v>0</v>
      </c>
      <c r="S89" s="76">
        <v>0</v>
      </c>
      <c r="T89" s="79">
        <v>0</v>
      </c>
      <c r="U89" s="78">
        <v>6</v>
      </c>
      <c r="V89" s="76">
        <v>0</v>
      </c>
      <c r="W89" s="77">
        <v>0</v>
      </c>
      <c r="X89" s="76">
        <v>0</v>
      </c>
      <c r="Y89" s="77">
        <v>0</v>
      </c>
      <c r="Z89" s="75">
        <v>6</v>
      </c>
      <c r="AA89" s="76">
        <v>0</v>
      </c>
      <c r="AB89" s="77">
        <v>0</v>
      </c>
      <c r="AC89" s="76">
        <v>0</v>
      </c>
      <c r="AD89" s="77">
        <v>0</v>
      </c>
      <c r="AE89" s="75">
        <v>6</v>
      </c>
    </row>
    <row r="90" spans="2:31" s="52" customFormat="1" ht="15.75" customHeight="1">
      <c r="B90" s="62"/>
      <c r="C90" s="64"/>
      <c r="D90" s="63"/>
      <c r="E90" s="64" t="s">
        <v>151</v>
      </c>
      <c r="F90" s="75">
        <v>2</v>
      </c>
      <c r="G90" s="76">
        <v>0</v>
      </c>
      <c r="H90" s="77">
        <v>0</v>
      </c>
      <c r="I90" s="76">
        <v>0</v>
      </c>
      <c r="J90" s="79">
        <v>0</v>
      </c>
      <c r="K90" s="75">
        <v>2</v>
      </c>
      <c r="L90" s="76">
        <v>0</v>
      </c>
      <c r="M90" s="77">
        <v>0</v>
      </c>
      <c r="N90" s="76">
        <v>0</v>
      </c>
      <c r="O90" s="79">
        <v>0</v>
      </c>
      <c r="P90" s="75">
        <v>2</v>
      </c>
      <c r="Q90" s="76">
        <v>0</v>
      </c>
      <c r="R90" s="77">
        <v>0</v>
      </c>
      <c r="S90" s="76">
        <v>0</v>
      </c>
      <c r="T90" s="79">
        <v>0</v>
      </c>
      <c r="U90" s="78">
        <v>2</v>
      </c>
      <c r="V90" s="76">
        <v>0</v>
      </c>
      <c r="W90" s="77">
        <v>0</v>
      </c>
      <c r="X90" s="76">
        <v>0</v>
      </c>
      <c r="Y90" s="77">
        <v>0</v>
      </c>
      <c r="Z90" s="75">
        <v>2</v>
      </c>
      <c r="AA90" s="76">
        <v>0</v>
      </c>
      <c r="AB90" s="77">
        <v>0</v>
      </c>
      <c r="AC90" s="76">
        <v>0</v>
      </c>
      <c r="AD90" s="77">
        <v>0</v>
      </c>
      <c r="AE90" s="75">
        <v>2</v>
      </c>
    </row>
    <row r="91" spans="2:31" s="52" customFormat="1" ht="15.75" customHeight="1">
      <c r="B91" s="62"/>
      <c r="C91" s="64"/>
      <c r="D91" s="63"/>
      <c r="E91" s="64" t="s">
        <v>152</v>
      </c>
      <c r="F91" s="75">
        <v>1</v>
      </c>
      <c r="G91" s="76">
        <v>0</v>
      </c>
      <c r="H91" s="77">
        <v>0</v>
      </c>
      <c r="I91" s="76">
        <v>0</v>
      </c>
      <c r="J91" s="79">
        <v>0</v>
      </c>
      <c r="K91" s="75">
        <v>1</v>
      </c>
      <c r="L91" s="76">
        <v>0</v>
      </c>
      <c r="M91" s="77">
        <v>0</v>
      </c>
      <c r="N91" s="76">
        <v>0</v>
      </c>
      <c r="O91" s="79">
        <v>0</v>
      </c>
      <c r="P91" s="75">
        <v>1</v>
      </c>
      <c r="Q91" s="76">
        <v>0</v>
      </c>
      <c r="R91" s="77">
        <v>0</v>
      </c>
      <c r="S91" s="76">
        <v>0</v>
      </c>
      <c r="T91" s="79">
        <v>0</v>
      </c>
      <c r="U91" s="78">
        <v>1</v>
      </c>
      <c r="V91" s="76">
        <v>0</v>
      </c>
      <c r="W91" s="77">
        <v>0</v>
      </c>
      <c r="X91" s="76">
        <v>0</v>
      </c>
      <c r="Y91" s="77">
        <v>0</v>
      </c>
      <c r="Z91" s="75">
        <v>1</v>
      </c>
      <c r="AA91" s="76">
        <v>0</v>
      </c>
      <c r="AB91" s="77">
        <v>0</v>
      </c>
      <c r="AC91" s="76">
        <v>0</v>
      </c>
      <c r="AD91" s="77">
        <v>0</v>
      </c>
      <c r="AE91" s="75">
        <v>1</v>
      </c>
    </row>
    <row r="92" spans="2:31" s="52" customFormat="1" ht="15.75" customHeight="1">
      <c r="B92" s="62"/>
      <c r="C92" s="64"/>
      <c r="D92" s="64"/>
      <c r="E92" s="64"/>
      <c r="F92" s="80"/>
      <c r="G92" s="81"/>
      <c r="H92" s="82"/>
      <c r="I92" s="81"/>
      <c r="J92" s="83"/>
      <c r="K92" s="80"/>
      <c r="L92" s="81"/>
      <c r="M92" s="82"/>
      <c r="N92" s="81"/>
      <c r="O92" s="83"/>
      <c r="P92" s="80"/>
      <c r="Q92" s="81"/>
      <c r="R92" s="82"/>
      <c r="S92" s="81"/>
      <c r="T92" s="83"/>
      <c r="U92" s="84"/>
      <c r="V92" s="81"/>
      <c r="W92" s="82"/>
      <c r="X92" s="81"/>
      <c r="Y92" s="82"/>
      <c r="Z92" s="80"/>
      <c r="AA92" s="81"/>
      <c r="AB92" s="82"/>
      <c r="AC92" s="81"/>
      <c r="AD92" s="82"/>
      <c r="AE92" s="80"/>
    </row>
    <row r="93" spans="2:31" s="52" customFormat="1" ht="15.75" customHeight="1">
      <c r="B93" s="62"/>
      <c r="C93" s="64"/>
      <c r="D93" s="63" t="s">
        <v>117</v>
      </c>
      <c r="E93" s="64"/>
      <c r="F93" s="80"/>
      <c r="G93" s="81"/>
      <c r="H93" s="82"/>
      <c r="I93" s="81"/>
      <c r="J93" s="83"/>
      <c r="K93" s="80"/>
      <c r="L93" s="81"/>
      <c r="M93" s="82"/>
      <c r="N93" s="81"/>
      <c r="O93" s="83"/>
      <c r="P93" s="80"/>
      <c r="Q93" s="81"/>
      <c r="R93" s="82"/>
      <c r="S93" s="81"/>
      <c r="T93" s="83"/>
      <c r="U93" s="84"/>
      <c r="V93" s="81"/>
      <c r="W93" s="82"/>
      <c r="X93" s="81"/>
      <c r="Y93" s="82"/>
      <c r="Z93" s="80"/>
      <c r="AA93" s="81"/>
      <c r="AB93" s="82"/>
      <c r="AC93" s="81"/>
      <c r="AD93" s="82"/>
      <c r="AE93" s="80"/>
    </row>
    <row r="94" spans="2:31" s="52" customFormat="1" ht="15.75" customHeight="1">
      <c r="B94" s="62"/>
      <c r="C94" s="64"/>
      <c r="D94" s="64"/>
      <c r="E94" s="64" t="s">
        <v>153</v>
      </c>
      <c r="F94" s="75">
        <v>1.3</v>
      </c>
      <c r="G94" s="76">
        <v>0</v>
      </c>
      <c r="H94" s="77">
        <v>0</v>
      </c>
      <c r="I94" s="76" t="s">
        <v>986</v>
      </c>
      <c r="J94" s="79">
        <v>0</v>
      </c>
      <c r="K94" s="75">
        <v>1.3</v>
      </c>
      <c r="L94" s="76">
        <v>0</v>
      </c>
      <c r="M94" s="77">
        <v>0</v>
      </c>
      <c r="N94" s="76" t="s">
        <v>986</v>
      </c>
      <c r="O94" s="79">
        <v>0</v>
      </c>
      <c r="P94" s="75">
        <v>1.3</v>
      </c>
      <c r="Q94" s="76">
        <v>0</v>
      </c>
      <c r="R94" s="77">
        <v>0</v>
      </c>
      <c r="S94" s="76" t="s">
        <v>986</v>
      </c>
      <c r="T94" s="79">
        <v>0</v>
      </c>
      <c r="U94" s="78">
        <v>1.3</v>
      </c>
      <c r="V94" s="76">
        <v>0</v>
      </c>
      <c r="W94" s="77">
        <v>0</v>
      </c>
      <c r="X94" s="76">
        <v>0</v>
      </c>
      <c r="Y94" s="77">
        <v>0</v>
      </c>
      <c r="Z94" s="75">
        <v>1.3</v>
      </c>
      <c r="AA94" s="76">
        <v>0</v>
      </c>
      <c r="AB94" s="77">
        <v>0</v>
      </c>
      <c r="AC94" s="76">
        <v>0</v>
      </c>
      <c r="AD94" s="77">
        <v>0</v>
      </c>
      <c r="AE94" s="75">
        <v>1.3</v>
      </c>
    </row>
    <row r="95" spans="2:31" s="52" customFormat="1" ht="15.75" customHeight="1">
      <c r="B95" s="62"/>
      <c r="C95" s="64"/>
      <c r="D95" s="63"/>
      <c r="E95" s="64"/>
      <c r="F95" s="80"/>
      <c r="G95" s="81"/>
      <c r="H95" s="82"/>
      <c r="I95" s="81"/>
      <c r="J95" s="83"/>
      <c r="K95" s="80"/>
      <c r="L95" s="81"/>
      <c r="M95" s="82"/>
      <c r="N95" s="81"/>
      <c r="O95" s="83"/>
      <c r="P95" s="80"/>
      <c r="Q95" s="81"/>
      <c r="R95" s="82"/>
      <c r="S95" s="81"/>
      <c r="T95" s="83"/>
      <c r="U95" s="84"/>
      <c r="V95" s="81"/>
      <c r="W95" s="82"/>
      <c r="X95" s="81"/>
      <c r="Y95" s="82"/>
      <c r="Z95" s="80"/>
      <c r="AA95" s="81"/>
      <c r="AB95" s="82"/>
      <c r="AC95" s="81"/>
      <c r="AD95" s="82"/>
      <c r="AE95" s="80"/>
    </row>
    <row r="96" spans="2:31" s="52" customFormat="1" ht="15.75" customHeight="1">
      <c r="B96" s="62"/>
      <c r="C96" s="64"/>
      <c r="D96" s="63" t="s">
        <v>100</v>
      </c>
      <c r="E96" s="64"/>
      <c r="F96" s="80"/>
      <c r="G96" s="81"/>
      <c r="H96" s="82"/>
      <c r="I96" s="81"/>
      <c r="J96" s="83"/>
      <c r="K96" s="80"/>
      <c r="L96" s="81"/>
      <c r="M96" s="82"/>
      <c r="N96" s="81"/>
      <c r="O96" s="83"/>
      <c r="P96" s="80"/>
      <c r="Q96" s="81"/>
      <c r="R96" s="82"/>
      <c r="S96" s="81"/>
      <c r="T96" s="83"/>
      <c r="U96" s="84"/>
      <c r="V96" s="81"/>
      <c r="W96" s="82"/>
      <c r="X96" s="81"/>
      <c r="Y96" s="82"/>
      <c r="Z96" s="80"/>
      <c r="AA96" s="81"/>
      <c r="AB96" s="82"/>
      <c r="AC96" s="81"/>
      <c r="AD96" s="82"/>
      <c r="AE96" s="80"/>
    </row>
    <row r="97" spans="2:31" s="52" customFormat="1" ht="15.75" customHeight="1">
      <c r="B97" s="62"/>
      <c r="C97" s="64"/>
      <c r="D97" s="63"/>
      <c r="E97" s="95" t="s">
        <v>154</v>
      </c>
      <c r="F97" s="75">
        <v>295</v>
      </c>
      <c r="G97" s="76">
        <v>0</v>
      </c>
      <c r="H97" s="77">
        <v>0</v>
      </c>
      <c r="I97" s="76">
        <v>0</v>
      </c>
      <c r="J97" s="79">
        <v>0</v>
      </c>
      <c r="K97" s="75">
        <v>295</v>
      </c>
      <c r="L97" s="76">
        <v>0</v>
      </c>
      <c r="M97" s="77">
        <v>0</v>
      </c>
      <c r="N97" s="76">
        <v>0</v>
      </c>
      <c r="O97" s="79">
        <v>7</v>
      </c>
      <c r="P97" s="75">
        <v>302</v>
      </c>
      <c r="Q97" s="76">
        <v>0</v>
      </c>
      <c r="R97" s="77">
        <v>0</v>
      </c>
      <c r="S97" s="76">
        <v>1</v>
      </c>
      <c r="T97" s="79">
        <v>6</v>
      </c>
      <c r="U97" s="78">
        <v>309</v>
      </c>
      <c r="V97" s="76">
        <v>0</v>
      </c>
      <c r="W97" s="77">
        <v>6</v>
      </c>
      <c r="X97" s="76">
        <v>1</v>
      </c>
      <c r="Y97" s="77">
        <v>6</v>
      </c>
      <c r="Z97" s="75">
        <v>310</v>
      </c>
      <c r="AA97" s="76">
        <v>0</v>
      </c>
      <c r="AB97" s="77">
        <v>6</v>
      </c>
      <c r="AC97" s="76">
        <v>1</v>
      </c>
      <c r="AD97" s="77">
        <v>6</v>
      </c>
      <c r="AE97" s="75">
        <v>311</v>
      </c>
    </row>
    <row r="98" spans="2:31" s="52" customFormat="1" ht="15.75" customHeight="1">
      <c r="B98" s="62"/>
      <c r="C98" s="64"/>
      <c r="D98" s="63"/>
      <c r="E98" s="95" t="s">
        <v>155</v>
      </c>
      <c r="F98" s="75">
        <v>294</v>
      </c>
      <c r="G98" s="76">
        <v>10</v>
      </c>
      <c r="H98" s="77">
        <v>5</v>
      </c>
      <c r="I98" s="76">
        <v>0</v>
      </c>
      <c r="J98" s="79">
        <v>5</v>
      </c>
      <c r="K98" s="75">
        <v>284</v>
      </c>
      <c r="L98" s="76">
        <v>2</v>
      </c>
      <c r="M98" s="77">
        <v>2</v>
      </c>
      <c r="N98" s="76">
        <v>0</v>
      </c>
      <c r="O98" s="79">
        <v>2</v>
      </c>
      <c r="P98" s="75">
        <v>282</v>
      </c>
      <c r="Q98" s="76">
        <v>6</v>
      </c>
      <c r="R98" s="77">
        <v>30</v>
      </c>
      <c r="S98" s="76">
        <v>0</v>
      </c>
      <c r="T98" s="79">
        <v>30</v>
      </c>
      <c r="U98" s="78">
        <v>276</v>
      </c>
      <c r="V98" s="76">
        <v>2</v>
      </c>
      <c r="W98" s="77">
        <v>4</v>
      </c>
      <c r="X98" s="76">
        <v>1</v>
      </c>
      <c r="Y98" s="77">
        <v>4</v>
      </c>
      <c r="Z98" s="75">
        <v>275</v>
      </c>
      <c r="AA98" s="76">
        <v>2</v>
      </c>
      <c r="AB98" s="77">
        <v>4</v>
      </c>
      <c r="AC98" s="76">
        <v>1</v>
      </c>
      <c r="AD98" s="77">
        <v>4</v>
      </c>
      <c r="AE98" s="75">
        <v>274</v>
      </c>
    </row>
    <row r="99" spans="2:31" s="52" customFormat="1" ht="15.75" customHeight="1">
      <c r="B99" s="62"/>
      <c r="C99" s="64"/>
      <c r="D99" s="63"/>
      <c r="E99" s="95" t="s">
        <v>156</v>
      </c>
      <c r="F99" s="75">
        <v>16</v>
      </c>
      <c r="G99" s="76">
        <v>0</v>
      </c>
      <c r="H99" s="77">
        <v>0</v>
      </c>
      <c r="I99" s="76">
        <v>0</v>
      </c>
      <c r="J99" s="79">
        <v>0</v>
      </c>
      <c r="K99" s="75">
        <v>16</v>
      </c>
      <c r="L99" s="76">
        <v>0</v>
      </c>
      <c r="M99" s="77">
        <v>0</v>
      </c>
      <c r="N99" s="76">
        <v>0</v>
      </c>
      <c r="O99" s="79">
        <v>0</v>
      </c>
      <c r="P99" s="75">
        <v>16</v>
      </c>
      <c r="Q99" s="76">
        <v>0</v>
      </c>
      <c r="R99" s="77">
        <v>0</v>
      </c>
      <c r="S99" s="76">
        <v>0</v>
      </c>
      <c r="T99" s="79">
        <v>0</v>
      </c>
      <c r="U99" s="78">
        <v>16</v>
      </c>
      <c r="V99" s="76">
        <v>0</v>
      </c>
      <c r="W99" s="77">
        <v>0</v>
      </c>
      <c r="X99" s="76">
        <v>0</v>
      </c>
      <c r="Y99" s="77">
        <v>0</v>
      </c>
      <c r="Z99" s="75">
        <v>16</v>
      </c>
      <c r="AA99" s="76">
        <v>0</v>
      </c>
      <c r="AB99" s="77">
        <v>0</v>
      </c>
      <c r="AC99" s="76">
        <v>0</v>
      </c>
      <c r="AD99" s="77">
        <v>0</v>
      </c>
      <c r="AE99" s="75">
        <v>16</v>
      </c>
    </row>
    <row r="100" spans="2:31" s="52" customFormat="1" ht="15.75" customHeight="1">
      <c r="B100" s="62"/>
      <c r="C100" s="64"/>
      <c r="D100" s="63"/>
      <c r="E100" s="95" t="s">
        <v>157</v>
      </c>
      <c r="F100" s="75">
        <v>0</v>
      </c>
      <c r="G100" s="76">
        <v>0</v>
      </c>
      <c r="H100" s="77">
        <v>0</v>
      </c>
      <c r="I100" s="76">
        <v>0</v>
      </c>
      <c r="J100" s="79">
        <v>0</v>
      </c>
      <c r="K100" s="75">
        <v>0</v>
      </c>
      <c r="L100" s="76">
        <v>0</v>
      </c>
      <c r="M100" s="77">
        <v>0</v>
      </c>
      <c r="N100" s="76">
        <v>0</v>
      </c>
      <c r="O100" s="79">
        <v>0</v>
      </c>
      <c r="P100" s="75">
        <v>0</v>
      </c>
      <c r="Q100" s="76">
        <v>0</v>
      </c>
      <c r="R100" s="77">
        <v>0</v>
      </c>
      <c r="S100" s="76">
        <v>0</v>
      </c>
      <c r="T100" s="79">
        <v>0</v>
      </c>
      <c r="U100" s="78">
        <v>0</v>
      </c>
      <c r="V100" s="76">
        <v>0</v>
      </c>
      <c r="W100" s="77">
        <v>0</v>
      </c>
      <c r="X100" s="76">
        <v>0</v>
      </c>
      <c r="Y100" s="77">
        <v>0</v>
      </c>
      <c r="Z100" s="75">
        <v>0</v>
      </c>
      <c r="AA100" s="76">
        <v>0</v>
      </c>
      <c r="AB100" s="77">
        <v>0</v>
      </c>
      <c r="AC100" s="76">
        <v>0</v>
      </c>
      <c r="AD100" s="77">
        <v>0</v>
      </c>
      <c r="AE100" s="75">
        <v>0</v>
      </c>
    </row>
    <row r="101" spans="2:31" s="52" customFormat="1" ht="15.75" customHeight="1">
      <c r="B101" s="62"/>
      <c r="C101" s="64"/>
      <c r="D101" s="63"/>
      <c r="E101" s="95" t="s">
        <v>158</v>
      </c>
      <c r="F101" s="75">
        <v>0</v>
      </c>
      <c r="G101" s="76">
        <v>0</v>
      </c>
      <c r="H101" s="77">
        <v>0</v>
      </c>
      <c r="I101" s="76">
        <v>0</v>
      </c>
      <c r="J101" s="79">
        <v>0</v>
      </c>
      <c r="K101" s="75">
        <v>0</v>
      </c>
      <c r="L101" s="76">
        <v>0</v>
      </c>
      <c r="M101" s="77">
        <v>0</v>
      </c>
      <c r="N101" s="76">
        <v>0</v>
      </c>
      <c r="O101" s="79">
        <v>0</v>
      </c>
      <c r="P101" s="75">
        <v>0</v>
      </c>
      <c r="Q101" s="76">
        <v>0</v>
      </c>
      <c r="R101" s="77">
        <v>0</v>
      </c>
      <c r="S101" s="76">
        <v>0</v>
      </c>
      <c r="T101" s="79">
        <v>0</v>
      </c>
      <c r="U101" s="78">
        <v>0</v>
      </c>
      <c r="V101" s="76">
        <v>0</v>
      </c>
      <c r="W101" s="77">
        <v>0</v>
      </c>
      <c r="X101" s="76">
        <v>0</v>
      </c>
      <c r="Y101" s="77">
        <v>0</v>
      </c>
      <c r="Z101" s="75">
        <v>0</v>
      </c>
      <c r="AA101" s="76">
        <v>0</v>
      </c>
      <c r="AB101" s="77">
        <v>0</v>
      </c>
      <c r="AC101" s="76">
        <v>0</v>
      </c>
      <c r="AD101" s="77">
        <v>0</v>
      </c>
      <c r="AE101" s="75">
        <v>0</v>
      </c>
    </row>
    <row r="102" spans="2:31" s="52" customFormat="1" ht="15.75" customHeight="1">
      <c r="B102" s="62"/>
      <c r="C102" s="64"/>
      <c r="D102" s="63"/>
      <c r="E102" s="95" t="s">
        <v>159</v>
      </c>
      <c r="F102" s="75">
        <v>1117</v>
      </c>
      <c r="G102" s="76">
        <v>9</v>
      </c>
      <c r="H102" s="77">
        <v>10</v>
      </c>
      <c r="I102" s="76">
        <v>0</v>
      </c>
      <c r="J102" s="79">
        <v>10</v>
      </c>
      <c r="K102" s="75">
        <v>1108</v>
      </c>
      <c r="L102" s="76">
        <v>26</v>
      </c>
      <c r="M102" s="77">
        <v>1</v>
      </c>
      <c r="N102" s="76">
        <v>0</v>
      </c>
      <c r="O102" s="79">
        <v>1</v>
      </c>
      <c r="P102" s="75">
        <v>1082</v>
      </c>
      <c r="Q102" s="76">
        <v>4</v>
      </c>
      <c r="R102" s="77">
        <v>8</v>
      </c>
      <c r="S102" s="76">
        <v>0</v>
      </c>
      <c r="T102" s="79">
        <v>8</v>
      </c>
      <c r="U102" s="78">
        <v>1078</v>
      </c>
      <c r="V102" s="76">
        <v>4</v>
      </c>
      <c r="W102" s="77">
        <v>0</v>
      </c>
      <c r="X102" s="76">
        <v>2</v>
      </c>
      <c r="Y102" s="77">
        <v>0</v>
      </c>
      <c r="Z102" s="75">
        <v>1076</v>
      </c>
      <c r="AA102" s="76">
        <v>4</v>
      </c>
      <c r="AB102" s="77">
        <v>0</v>
      </c>
      <c r="AC102" s="76">
        <v>2</v>
      </c>
      <c r="AD102" s="77">
        <v>0</v>
      </c>
      <c r="AE102" s="75">
        <v>1074</v>
      </c>
    </row>
    <row r="103" spans="2:31" s="52" customFormat="1" ht="15.75" customHeight="1">
      <c r="B103" s="62"/>
      <c r="C103" s="64"/>
      <c r="D103" s="63"/>
      <c r="E103" s="95" t="s">
        <v>160</v>
      </c>
      <c r="F103" s="75">
        <v>53</v>
      </c>
      <c r="G103" s="76">
        <v>0</v>
      </c>
      <c r="H103" s="77">
        <v>0</v>
      </c>
      <c r="I103" s="76">
        <v>0</v>
      </c>
      <c r="J103" s="79">
        <v>0</v>
      </c>
      <c r="K103" s="75">
        <v>53</v>
      </c>
      <c r="L103" s="76">
        <v>0</v>
      </c>
      <c r="M103" s="77">
        <v>0</v>
      </c>
      <c r="N103" s="76">
        <v>0</v>
      </c>
      <c r="O103" s="79">
        <v>0</v>
      </c>
      <c r="P103" s="75">
        <v>53</v>
      </c>
      <c r="Q103" s="76">
        <v>0</v>
      </c>
      <c r="R103" s="77">
        <v>0</v>
      </c>
      <c r="S103" s="76">
        <v>0</v>
      </c>
      <c r="T103" s="79">
        <v>0</v>
      </c>
      <c r="U103" s="78">
        <v>53</v>
      </c>
      <c r="V103" s="76">
        <v>0</v>
      </c>
      <c r="W103" s="77">
        <v>1</v>
      </c>
      <c r="X103" s="76">
        <v>0</v>
      </c>
      <c r="Y103" s="77">
        <v>1</v>
      </c>
      <c r="Z103" s="75">
        <v>53</v>
      </c>
      <c r="AA103" s="76">
        <v>0</v>
      </c>
      <c r="AB103" s="77">
        <v>1</v>
      </c>
      <c r="AC103" s="76">
        <v>0</v>
      </c>
      <c r="AD103" s="77">
        <v>1</v>
      </c>
      <c r="AE103" s="75">
        <v>53</v>
      </c>
    </row>
    <row r="104" spans="2:31" s="52" customFormat="1" ht="15.75" customHeight="1">
      <c r="B104" s="62"/>
      <c r="C104" s="64"/>
      <c r="D104" s="63"/>
      <c r="E104" s="95" t="s">
        <v>161</v>
      </c>
      <c r="F104" s="75">
        <v>233</v>
      </c>
      <c r="G104" s="76">
        <v>0</v>
      </c>
      <c r="H104" s="77">
        <v>0</v>
      </c>
      <c r="I104" s="76">
        <v>0</v>
      </c>
      <c r="J104" s="79">
        <v>0</v>
      </c>
      <c r="K104" s="75">
        <v>233</v>
      </c>
      <c r="L104" s="76">
        <v>0</v>
      </c>
      <c r="M104" s="77">
        <v>0</v>
      </c>
      <c r="N104" s="76">
        <v>0</v>
      </c>
      <c r="O104" s="79">
        <v>0</v>
      </c>
      <c r="P104" s="75">
        <v>233</v>
      </c>
      <c r="Q104" s="76">
        <v>2</v>
      </c>
      <c r="R104" s="77">
        <v>0</v>
      </c>
      <c r="S104" s="76">
        <v>0</v>
      </c>
      <c r="T104" s="79">
        <v>0</v>
      </c>
      <c r="U104" s="78">
        <v>231</v>
      </c>
      <c r="V104" s="76">
        <v>0</v>
      </c>
      <c r="W104" s="77">
        <v>0</v>
      </c>
      <c r="X104" s="76">
        <v>2</v>
      </c>
      <c r="Y104" s="77">
        <v>0</v>
      </c>
      <c r="Z104" s="75">
        <v>233</v>
      </c>
      <c r="AA104" s="76">
        <v>0</v>
      </c>
      <c r="AB104" s="77">
        <v>0</v>
      </c>
      <c r="AC104" s="76">
        <v>0</v>
      </c>
      <c r="AD104" s="77">
        <v>0</v>
      </c>
      <c r="AE104" s="75">
        <v>233</v>
      </c>
    </row>
    <row r="105" spans="2:31" s="52" customFormat="1" ht="15.75" customHeight="1">
      <c r="B105" s="62"/>
      <c r="C105" s="64"/>
      <c r="D105" s="63"/>
      <c r="E105" s="64"/>
      <c r="F105" s="80"/>
      <c r="G105" s="81"/>
      <c r="H105" s="82"/>
      <c r="I105" s="81"/>
      <c r="J105" s="83"/>
      <c r="K105" s="80"/>
      <c r="L105" s="81"/>
      <c r="M105" s="82"/>
      <c r="N105" s="81"/>
      <c r="O105" s="83"/>
      <c r="P105" s="80"/>
      <c r="Q105" s="81"/>
      <c r="R105" s="82"/>
      <c r="S105" s="81"/>
      <c r="T105" s="83"/>
      <c r="U105" s="84"/>
      <c r="V105" s="81"/>
      <c r="W105" s="82"/>
      <c r="X105" s="81"/>
      <c r="Y105" s="82"/>
      <c r="Z105" s="80"/>
      <c r="AA105" s="81"/>
      <c r="AB105" s="82"/>
      <c r="AC105" s="81"/>
      <c r="AD105" s="82"/>
      <c r="AE105" s="80"/>
    </row>
    <row r="106" spans="2:31" s="52" customFormat="1" ht="15.75" customHeight="1">
      <c r="B106" s="62"/>
      <c r="C106" s="64"/>
      <c r="D106" s="63" t="s">
        <v>133</v>
      </c>
      <c r="E106" s="64"/>
      <c r="F106" s="80"/>
      <c r="G106" s="81"/>
      <c r="H106" s="82"/>
      <c r="I106" s="81"/>
      <c r="J106" s="83"/>
      <c r="K106" s="80"/>
      <c r="L106" s="81"/>
      <c r="M106" s="82"/>
      <c r="N106" s="81"/>
      <c r="O106" s="83"/>
      <c r="P106" s="80"/>
      <c r="Q106" s="81"/>
      <c r="R106" s="82"/>
      <c r="S106" s="81"/>
      <c r="T106" s="83"/>
      <c r="U106" s="84"/>
      <c r="V106" s="81"/>
      <c r="W106" s="82"/>
      <c r="X106" s="81"/>
      <c r="Y106" s="82"/>
      <c r="Z106" s="80"/>
      <c r="AA106" s="81"/>
      <c r="AB106" s="82"/>
      <c r="AC106" s="81"/>
      <c r="AD106" s="82"/>
      <c r="AE106" s="80"/>
    </row>
    <row r="107" spans="2:31" s="52" customFormat="1" ht="15.75" customHeight="1">
      <c r="B107" s="62"/>
      <c r="C107" s="64"/>
      <c r="D107" s="64"/>
      <c r="E107" s="95" t="s">
        <v>162</v>
      </c>
      <c r="F107" s="75">
        <v>0</v>
      </c>
      <c r="G107" s="76">
        <v>0</v>
      </c>
      <c r="H107" s="77">
        <v>0</v>
      </c>
      <c r="I107" s="76">
        <v>0</v>
      </c>
      <c r="J107" s="79">
        <v>0</v>
      </c>
      <c r="K107" s="75">
        <v>0</v>
      </c>
      <c r="L107" s="76">
        <v>0</v>
      </c>
      <c r="M107" s="77">
        <v>0</v>
      </c>
      <c r="N107" s="76">
        <v>0</v>
      </c>
      <c r="O107" s="79">
        <v>0</v>
      </c>
      <c r="P107" s="75">
        <v>0</v>
      </c>
      <c r="Q107" s="76">
        <v>0</v>
      </c>
      <c r="R107" s="77">
        <v>0</v>
      </c>
      <c r="S107" s="76">
        <v>0</v>
      </c>
      <c r="T107" s="79">
        <v>0</v>
      </c>
      <c r="U107" s="78">
        <v>0</v>
      </c>
      <c r="V107" s="76">
        <v>0</v>
      </c>
      <c r="W107" s="77">
        <v>0</v>
      </c>
      <c r="X107" s="76">
        <v>0</v>
      </c>
      <c r="Y107" s="77">
        <v>0</v>
      </c>
      <c r="Z107" s="75">
        <v>0</v>
      </c>
      <c r="AA107" s="76">
        <v>0</v>
      </c>
      <c r="AB107" s="77">
        <v>0</v>
      </c>
      <c r="AC107" s="76">
        <v>0</v>
      </c>
      <c r="AD107" s="77">
        <v>0</v>
      </c>
      <c r="AE107" s="75">
        <v>0</v>
      </c>
    </row>
    <row r="108" spans="2:31" s="52" customFormat="1" ht="15.75" customHeight="1">
      <c r="B108" s="62"/>
      <c r="C108" s="64"/>
      <c r="D108" s="64"/>
      <c r="E108" s="95" t="s">
        <v>163</v>
      </c>
      <c r="F108" s="75">
        <v>247</v>
      </c>
      <c r="G108" s="76">
        <v>2</v>
      </c>
      <c r="H108" s="77">
        <v>0</v>
      </c>
      <c r="I108" s="76">
        <v>3</v>
      </c>
      <c r="J108" s="79">
        <v>0</v>
      </c>
      <c r="K108" s="75">
        <v>248</v>
      </c>
      <c r="L108" s="76">
        <v>0</v>
      </c>
      <c r="M108" s="77">
        <v>0</v>
      </c>
      <c r="N108" s="76">
        <v>3</v>
      </c>
      <c r="O108" s="79">
        <v>0</v>
      </c>
      <c r="P108" s="75">
        <v>251</v>
      </c>
      <c r="Q108" s="76">
        <v>5</v>
      </c>
      <c r="R108" s="77">
        <v>0</v>
      </c>
      <c r="S108" s="76">
        <v>1</v>
      </c>
      <c r="T108" s="79">
        <v>0</v>
      </c>
      <c r="U108" s="78">
        <v>247</v>
      </c>
      <c r="V108" s="76">
        <v>2</v>
      </c>
      <c r="W108" s="77">
        <v>2</v>
      </c>
      <c r="X108" s="76">
        <v>2</v>
      </c>
      <c r="Y108" s="77">
        <v>2</v>
      </c>
      <c r="Z108" s="75">
        <v>247</v>
      </c>
      <c r="AA108" s="76">
        <v>2</v>
      </c>
      <c r="AB108" s="77">
        <v>2</v>
      </c>
      <c r="AC108" s="76">
        <v>2</v>
      </c>
      <c r="AD108" s="77">
        <v>2</v>
      </c>
      <c r="AE108" s="75">
        <v>247</v>
      </c>
    </row>
    <row r="109" spans="2:31" s="52" customFormat="1" ht="15.75" customHeight="1">
      <c r="B109" s="62"/>
      <c r="C109" s="64"/>
      <c r="D109" s="64"/>
      <c r="E109" s="64" t="s">
        <v>164</v>
      </c>
      <c r="F109" s="75">
        <v>242</v>
      </c>
      <c r="G109" s="76">
        <v>0</v>
      </c>
      <c r="H109" s="77">
        <v>0</v>
      </c>
      <c r="I109" s="76">
        <v>0</v>
      </c>
      <c r="J109" s="79">
        <v>0</v>
      </c>
      <c r="K109" s="75">
        <v>242</v>
      </c>
      <c r="L109" s="76">
        <v>0</v>
      </c>
      <c r="M109" s="77">
        <v>0</v>
      </c>
      <c r="N109" s="76">
        <v>2</v>
      </c>
      <c r="O109" s="79">
        <v>0</v>
      </c>
      <c r="P109" s="75">
        <v>244</v>
      </c>
      <c r="Q109" s="76">
        <v>0</v>
      </c>
      <c r="R109" s="77">
        <v>0</v>
      </c>
      <c r="S109" s="76">
        <v>0</v>
      </c>
      <c r="T109" s="79">
        <v>0</v>
      </c>
      <c r="U109" s="78">
        <v>244</v>
      </c>
      <c r="V109" s="76">
        <v>0</v>
      </c>
      <c r="W109" s="77">
        <v>0</v>
      </c>
      <c r="X109" s="76">
        <v>0</v>
      </c>
      <c r="Y109" s="77">
        <v>0</v>
      </c>
      <c r="Z109" s="75">
        <v>244</v>
      </c>
      <c r="AA109" s="76">
        <v>0</v>
      </c>
      <c r="AB109" s="77">
        <v>0</v>
      </c>
      <c r="AC109" s="76">
        <v>0</v>
      </c>
      <c r="AD109" s="77">
        <v>0</v>
      </c>
      <c r="AE109" s="75">
        <v>244</v>
      </c>
    </row>
    <row r="110" spans="2:31" s="52" customFormat="1" ht="15.75" customHeight="1">
      <c r="B110" s="62"/>
      <c r="C110" s="64"/>
      <c r="D110" s="64"/>
      <c r="E110" s="95" t="s">
        <v>165</v>
      </c>
      <c r="F110" s="75">
        <v>30</v>
      </c>
      <c r="G110" s="76">
        <v>0</v>
      </c>
      <c r="H110" s="77">
        <v>0</v>
      </c>
      <c r="I110" s="76">
        <v>0</v>
      </c>
      <c r="J110" s="79">
        <v>0</v>
      </c>
      <c r="K110" s="75">
        <v>30</v>
      </c>
      <c r="L110" s="76">
        <v>0</v>
      </c>
      <c r="M110" s="77">
        <v>0</v>
      </c>
      <c r="N110" s="76">
        <v>0</v>
      </c>
      <c r="O110" s="79">
        <v>0</v>
      </c>
      <c r="P110" s="75">
        <v>30</v>
      </c>
      <c r="Q110" s="76">
        <v>0</v>
      </c>
      <c r="R110" s="77">
        <v>0</v>
      </c>
      <c r="S110" s="76">
        <v>0</v>
      </c>
      <c r="T110" s="79">
        <v>0</v>
      </c>
      <c r="U110" s="78">
        <v>30</v>
      </c>
      <c r="V110" s="76">
        <v>0</v>
      </c>
      <c r="W110" s="77">
        <v>2</v>
      </c>
      <c r="X110" s="76">
        <v>0</v>
      </c>
      <c r="Y110" s="77">
        <v>2</v>
      </c>
      <c r="Z110" s="75">
        <v>30</v>
      </c>
      <c r="AA110" s="76">
        <v>0</v>
      </c>
      <c r="AB110" s="77">
        <v>2</v>
      </c>
      <c r="AC110" s="76">
        <v>0</v>
      </c>
      <c r="AD110" s="77">
        <v>2</v>
      </c>
      <c r="AE110" s="75">
        <v>30</v>
      </c>
    </row>
    <row r="111" spans="2:31" s="52" customFormat="1" ht="15.75" customHeight="1">
      <c r="B111" s="62"/>
      <c r="C111" s="64"/>
      <c r="D111" s="63"/>
      <c r="E111" s="64" t="s">
        <v>166</v>
      </c>
      <c r="F111" s="75">
        <v>0</v>
      </c>
      <c r="G111" s="76">
        <v>0</v>
      </c>
      <c r="H111" s="77">
        <v>0</v>
      </c>
      <c r="I111" s="76">
        <v>0</v>
      </c>
      <c r="J111" s="79">
        <v>0</v>
      </c>
      <c r="K111" s="75">
        <v>0</v>
      </c>
      <c r="L111" s="76">
        <v>0</v>
      </c>
      <c r="M111" s="77">
        <v>0</v>
      </c>
      <c r="N111" s="76">
        <v>0</v>
      </c>
      <c r="O111" s="79">
        <v>0</v>
      </c>
      <c r="P111" s="75">
        <v>0</v>
      </c>
      <c r="Q111" s="76">
        <v>0</v>
      </c>
      <c r="R111" s="77">
        <v>0</v>
      </c>
      <c r="S111" s="76">
        <v>0</v>
      </c>
      <c r="T111" s="79">
        <v>0</v>
      </c>
      <c r="U111" s="78">
        <v>0</v>
      </c>
      <c r="V111" s="76">
        <v>0</v>
      </c>
      <c r="W111" s="77">
        <v>0</v>
      </c>
      <c r="X111" s="76">
        <v>0</v>
      </c>
      <c r="Y111" s="77">
        <v>0</v>
      </c>
      <c r="Z111" s="75">
        <v>0</v>
      </c>
      <c r="AA111" s="76">
        <v>0</v>
      </c>
      <c r="AB111" s="77">
        <v>0</v>
      </c>
      <c r="AC111" s="76">
        <v>0</v>
      </c>
      <c r="AD111" s="77">
        <v>0</v>
      </c>
      <c r="AE111" s="75">
        <v>0</v>
      </c>
    </row>
    <row r="112" spans="2:31" s="52" customFormat="1" ht="15.75" customHeight="1" thickBot="1">
      <c r="B112" s="85"/>
      <c r="C112" s="86"/>
      <c r="D112" s="86"/>
      <c r="E112" s="86"/>
      <c r="F112" s="87"/>
      <c r="G112" s="88"/>
      <c r="H112" s="89"/>
      <c r="I112" s="88"/>
      <c r="J112" s="90"/>
      <c r="K112" s="91"/>
      <c r="L112" s="88"/>
      <c r="M112" s="89"/>
      <c r="N112" s="88"/>
      <c r="O112" s="90"/>
      <c r="P112" s="91"/>
      <c r="Q112" s="88"/>
      <c r="R112" s="89"/>
      <c r="S112" s="88"/>
      <c r="T112" s="90"/>
      <c r="U112" s="92"/>
      <c r="V112" s="88"/>
      <c r="W112" s="89"/>
      <c r="X112" s="88"/>
      <c r="Y112" s="89"/>
      <c r="Z112" s="91"/>
      <c r="AA112" s="88"/>
      <c r="AB112" s="89"/>
      <c r="AC112" s="88"/>
      <c r="AD112" s="89"/>
      <c r="AE112" s="91"/>
    </row>
    <row r="113" spans="2:31" s="52" customFormat="1" ht="15.75" customHeight="1">
      <c r="B113" s="93"/>
      <c r="C113" s="94" t="s">
        <v>167</v>
      </c>
      <c r="D113" s="94"/>
      <c r="E113" s="95"/>
      <c r="F113" s="80"/>
      <c r="G113" s="81"/>
      <c r="H113" s="82"/>
      <c r="I113" s="81"/>
      <c r="J113" s="83"/>
      <c r="K113" s="80"/>
      <c r="L113" s="81"/>
      <c r="M113" s="82"/>
      <c r="N113" s="81"/>
      <c r="O113" s="83"/>
      <c r="P113" s="80"/>
      <c r="Q113" s="81"/>
      <c r="R113" s="82"/>
      <c r="S113" s="81"/>
      <c r="T113" s="83"/>
      <c r="U113" s="84"/>
      <c r="V113" s="81"/>
      <c r="W113" s="82"/>
      <c r="X113" s="81"/>
      <c r="Y113" s="82"/>
      <c r="Z113" s="80"/>
      <c r="AA113" s="81"/>
      <c r="AB113" s="82"/>
      <c r="AC113" s="81"/>
      <c r="AD113" s="82"/>
      <c r="AE113" s="80"/>
    </row>
    <row r="114" spans="2:31" s="52" customFormat="1" ht="15.75" customHeight="1">
      <c r="B114" s="62"/>
      <c r="C114" s="64"/>
      <c r="D114" s="63" t="s">
        <v>90</v>
      </c>
      <c r="E114" s="64"/>
      <c r="F114" s="80"/>
      <c r="G114" s="81"/>
      <c r="H114" s="82"/>
      <c r="I114" s="81"/>
      <c r="J114" s="83"/>
      <c r="K114" s="80"/>
      <c r="L114" s="81"/>
      <c r="M114" s="82"/>
      <c r="N114" s="81"/>
      <c r="O114" s="83"/>
      <c r="P114" s="80"/>
      <c r="Q114" s="81"/>
      <c r="R114" s="82"/>
      <c r="S114" s="81"/>
      <c r="T114" s="83"/>
      <c r="U114" s="84"/>
      <c r="V114" s="81"/>
      <c r="W114" s="82"/>
      <c r="X114" s="81"/>
      <c r="Y114" s="82"/>
      <c r="Z114" s="80"/>
      <c r="AA114" s="81"/>
      <c r="AB114" s="82"/>
      <c r="AC114" s="81"/>
      <c r="AD114" s="82"/>
      <c r="AE114" s="80"/>
    </row>
    <row r="115" spans="2:31" s="52" customFormat="1" ht="15.75" customHeight="1">
      <c r="B115" s="62"/>
      <c r="C115" s="64"/>
      <c r="D115" s="63"/>
      <c r="E115" s="64" t="s">
        <v>168</v>
      </c>
      <c r="F115" s="75">
        <v>91</v>
      </c>
      <c r="G115" s="76">
        <v>0</v>
      </c>
      <c r="H115" s="77">
        <v>0</v>
      </c>
      <c r="I115" s="76">
        <v>0</v>
      </c>
      <c r="J115" s="79">
        <v>0</v>
      </c>
      <c r="K115" s="75">
        <v>91</v>
      </c>
      <c r="L115" s="76">
        <v>0</v>
      </c>
      <c r="M115" s="77">
        <v>0</v>
      </c>
      <c r="N115" s="76">
        <v>0</v>
      </c>
      <c r="O115" s="79">
        <v>0</v>
      </c>
      <c r="P115" s="75">
        <v>91</v>
      </c>
      <c r="Q115" s="76">
        <v>0</v>
      </c>
      <c r="R115" s="77">
        <v>0</v>
      </c>
      <c r="S115" s="76">
        <v>0</v>
      </c>
      <c r="T115" s="79">
        <v>0</v>
      </c>
      <c r="U115" s="78">
        <v>91</v>
      </c>
      <c r="V115" s="76">
        <v>0</v>
      </c>
      <c r="W115" s="77">
        <v>0</v>
      </c>
      <c r="X115" s="76">
        <v>0</v>
      </c>
      <c r="Y115" s="77">
        <v>0</v>
      </c>
      <c r="Z115" s="75">
        <v>91</v>
      </c>
      <c r="AA115" s="76">
        <v>0</v>
      </c>
      <c r="AB115" s="77">
        <v>0</v>
      </c>
      <c r="AC115" s="76">
        <v>0</v>
      </c>
      <c r="AD115" s="77">
        <v>0</v>
      </c>
      <c r="AE115" s="75">
        <v>91</v>
      </c>
    </row>
    <row r="116" spans="2:31" s="52" customFormat="1" ht="15.75" customHeight="1">
      <c r="B116" s="62"/>
      <c r="C116" s="64"/>
      <c r="D116" s="63"/>
      <c r="E116" s="64" t="s">
        <v>169</v>
      </c>
      <c r="F116" s="75">
        <v>1089</v>
      </c>
      <c r="G116" s="76">
        <v>0</v>
      </c>
      <c r="H116" s="77">
        <v>0</v>
      </c>
      <c r="I116" s="76">
        <v>0</v>
      </c>
      <c r="J116" s="79">
        <v>0</v>
      </c>
      <c r="K116" s="75">
        <v>1089</v>
      </c>
      <c r="L116" s="76">
        <v>0</v>
      </c>
      <c r="M116" s="77">
        <v>0</v>
      </c>
      <c r="N116" s="76">
        <v>0</v>
      </c>
      <c r="O116" s="79">
        <v>0</v>
      </c>
      <c r="P116" s="75">
        <v>1089</v>
      </c>
      <c r="Q116" s="76">
        <v>0</v>
      </c>
      <c r="R116" s="77">
        <v>0</v>
      </c>
      <c r="S116" s="76">
        <v>0</v>
      </c>
      <c r="T116" s="79">
        <v>0</v>
      </c>
      <c r="U116" s="78">
        <v>1089</v>
      </c>
      <c r="V116" s="76">
        <v>0</v>
      </c>
      <c r="W116" s="77">
        <v>0</v>
      </c>
      <c r="X116" s="76">
        <v>0</v>
      </c>
      <c r="Y116" s="77">
        <v>0</v>
      </c>
      <c r="Z116" s="75">
        <v>1089</v>
      </c>
      <c r="AA116" s="76">
        <v>0</v>
      </c>
      <c r="AB116" s="77">
        <v>0</v>
      </c>
      <c r="AC116" s="76">
        <v>0</v>
      </c>
      <c r="AD116" s="77">
        <v>0</v>
      </c>
      <c r="AE116" s="75">
        <v>1089</v>
      </c>
    </row>
    <row r="117" spans="2:31" s="52" customFormat="1" ht="15.75" customHeight="1">
      <c r="B117" s="62"/>
      <c r="C117" s="64"/>
      <c r="D117" s="63"/>
      <c r="E117" s="95"/>
      <c r="F117" s="80"/>
      <c r="G117" s="81"/>
      <c r="H117" s="82"/>
      <c r="I117" s="81"/>
      <c r="J117" s="83"/>
      <c r="K117" s="80"/>
      <c r="L117" s="81"/>
      <c r="M117" s="82"/>
      <c r="N117" s="81"/>
      <c r="O117" s="83"/>
      <c r="P117" s="80"/>
      <c r="Q117" s="81"/>
      <c r="R117" s="82"/>
      <c r="S117" s="81"/>
      <c r="T117" s="83"/>
      <c r="U117" s="84"/>
      <c r="V117" s="81"/>
      <c r="W117" s="82"/>
      <c r="X117" s="81"/>
      <c r="Y117" s="82"/>
      <c r="Z117" s="80"/>
      <c r="AA117" s="81"/>
      <c r="AB117" s="82"/>
      <c r="AC117" s="81"/>
      <c r="AD117" s="82"/>
      <c r="AE117" s="80"/>
    </row>
    <row r="118" spans="2:31" s="52" customFormat="1" ht="15.75" customHeight="1">
      <c r="B118" s="62"/>
      <c r="C118" s="64"/>
      <c r="D118" s="63" t="s">
        <v>93</v>
      </c>
      <c r="E118" s="64"/>
      <c r="F118" s="80"/>
      <c r="G118" s="81"/>
      <c r="H118" s="82"/>
      <c r="I118" s="81"/>
      <c r="J118" s="83"/>
      <c r="K118" s="80"/>
      <c r="L118" s="81"/>
      <c r="M118" s="82"/>
      <c r="N118" s="81"/>
      <c r="O118" s="83"/>
      <c r="P118" s="80"/>
      <c r="Q118" s="81"/>
      <c r="R118" s="82"/>
      <c r="S118" s="81"/>
      <c r="T118" s="83"/>
      <c r="U118" s="84"/>
      <c r="V118" s="81"/>
      <c r="W118" s="82"/>
      <c r="X118" s="81"/>
      <c r="Y118" s="82"/>
      <c r="Z118" s="80"/>
      <c r="AA118" s="81"/>
      <c r="AB118" s="82"/>
      <c r="AC118" s="81"/>
      <c r="AD118" s="82"/>
      <c r="AE118" s="80"/>
    </row>
    <row r="119" spans="2:31" s="52" customFormat="1" ht="15.75" customHeight="1">
      <c r="B119" s="62"/>
      <c r="C119" s="64"/>
      <c r="D119" s="63"/>
      <c r="E119" s="64" t="s">
        <v>170</v>
      </c>
      <c r="F119" s="75">
        <v>835</v>
      </c>
      <c r="G119" s="76">
        <v>0</v>
      </c>
      <c r="H119" s="77">
        <v>0</v>
      </c>
      <c r="I119" s="76">
        <v>0</v>
      </c>
      <c r="J119" s="79">
        <v>0</v>
      </c>
      <c r="K119" s="75">
        <v>835</v>
      </c>
      <c r="L119" s="76">
        <v>0</v>
      </c>
      <c r="M119" s="77">
        <v>0</v>
      </c>
      <c r="N119" s="76">
        <v>0</v>
      </c>
      <c r="O119" s="79">
        <v>0</v>
      </c>
      <c r="P119" s="75">
        <v>835</v>
      </c>
      <c r="Q119" s="76">
        <v>0</v>
      </c>
      <c r="R119" s="77">
        <v>0</v>
      </c>
      <c r="S119" s="76">
        <v>0</v>
      </c>
      <c r="T119" s="79">
        <v>0</v>
      </c>
      <c r="U119" s="78">
        <v>835</v>
      </c>
      <c r="V119" s="76">
        <v>0</v>
      </c>
      <c r="W119" s="77">
        <v>10</v>
      </c>
      <c r="X119" s="76">
        <v>0</v>
      </c>
      <c r="Y119" s="77">
        <v>10</v>
      </c>
      <c r="Z119" s="75">
        <v>835</v>
      </c>
      <c r="AA119" s="76">
        <v>0</v>
      </c>
      <c r="AB119" s="77">
        <v>10</v>
      </c>
      <c r="AC119" s="76">
        <v>0</v>
      </c>
      <c r="AD119" s="77">
        <v>10</v>
      </c>
      <c r="AE119" s="75">
        <v>835</v>
      </c>
    </row>
    <row r="120" spans="2:31" s="52" customFormat="1" ht="15.75" customHeight="1">
      <c r="B120" s="62"/>
      <c r="C120" s="64"/>
      <c r="D120" s="63"/>
      <c r="E120" s="64" t="s">
        <v>171</v>
      </c>
      <c r="F120" s="75">
        <v>2354</v>
      </c>
      <c r="G120" s="76">
        <v>0</v>
      </c>
      <c r="H120" s="77">
        <v>0</v>
      </c>
      <c r="I120" s="76">
        <v>0</v>
      </c>
      <c r="J120" s="79">
        <v>0</v>
      </c>
      <c r="K120" s="75">
        <v>2354</v>
      </c>
      <c r="L120" s="76">
        <v>0</v>
      </c>
      <c r="M120" s="77">
        <v>0</v>
      </c>
      <c r="N120" s="76">
        <v>0</v>
      </c>
      <c r="O120" s="79">
        <v>0</v>
      </c>
      <c r="P120" s="75">
        <v>2354</v>
      </c>
      <c r="Q120" s="76">
        <v>0</v>
      </c>
      <c r="R120" s="77">
        <v>0</v>
      </c>
      <c r="S120" s="76">
        <v>0</v>
      </c>
      <c r="T120" s="79">
        <v>0</v>
      </c>
      <c r="U120" s="78">
        <v>2354</v>
      </c>
      <c r="V120" s="76">
        <v>0</v>
      </c>
      <c r="W120" s="77">
        <v>1</v>
      </c>
      <c r="X120" s="76">
        <v>0</v>
      </c>
      <c r="Y120" s="77">
        <v>1</v>
      </c>
      <c r="Z120" s="75">
        <v>2354</v>
      </c>
      <c r="AA120" s="76">
        <v>0</v>
      </c>
      <c r="AB120" s="77">
        <v>1</v>
      </c>
      <c r="AC120" s="76">
        <v>0</v>
      </c>
      <c r="AD120" s="77">
        <v>1</v>
      </c>
      <c r="AE120" s="75">
        <v>2354</v>
      </c>
    </row>
    <row r="121" spans="2:31" s="52" customFormat="1" ht="15.75" customHeight="1">
      <c r="B121" s="62"/>
      <c r="C121" s="64"/>
      <c r="D121" s="63"/>
      <c r="E121" s="95" t="s">
        <v>172</v>
      </c>
      <c r="F121" s="75">
        <v>4708</v>
      </c>
      <c r="G121" s="76">
        <v>0</v>
      </c>
      <c r="H121" s="77">
        <v>0</v>
      </c>
      <c r="I121" s="76">
        <v>0</v>
      </c>
      <c r="J121" s="79">
        <v>0</v>
      </c>
      <c r="K121" s="75">
        <v>4708</v>
      </c>
      <c r="L121" s="76">
        <v>0</v>
      </c>
      <c r="M121" s="77">
        <v>0</v>
      </c>
      <c r="N121" s="76">
        <v>0</v>
      </c>
      <c r="O121" s="79">
        <v>0</v>
      </c>
      <c r="P121" s="75">
        <v>4708</v>
      </c>
      <c r="Q121" s="76">
        <v>0</v>
      </c>
      <c r="R121" s="77">
        <v>0</v>
      </c>
      <c r="S121" s="76">
        <v>0</v>
      </c>
      <c r="T121" s="79">
        <v>0</v>
      </c>
      <c r="U121" s="78">
        <v>4708</v>
      </c>
      <c r="V121" s="76">
        <v>0</v>
      </c>
      <c r="W121" s="77">
        <v>0</v>
      </c>
      <c r="X121" s="76">
        <v>0</v>
      </c>
      <c r="Y121" s="77">
        <v>0</v>
      </c>
      <c r="Z121" s="75">
        <v>4708</v>
      </c>
      <c r="AA121" s="76">
        <v>0</v>
      </c>
      <c r="AB121" s="77">
        <v>0</v>
      </c>
      <c r="AC121" s="76">
        <v>0</v>
      </c>
      <c r="AD121" s="77">
        <v>0</v>
      </c>
      <c r="AE121" s="75">
        <v>4708</v>
      </c>
    </row>
    <row r="122" spans="2:31" s="52" customFormat="1" ht="15.75" customHeight="1">
      <c r="B122" s="62"/>
      <c r="C122" s="64"/>
      <c r="D122" s="64"/>
      <c r="E122" s="64"/>
      <c r="F122" s="80"/>
      <c r="G122" s="81"/>
      <c r="H122" s="82"/>
      <c r="I122" s="81"/>
      <c r="J122" s="83"/>
      <c r="K122" s="80"/>
      <c r="L122" s="81"/>
      <c r="M122" s="82"/>
      <c r="N122" s="81"/>
      <c r="O122" s="83"/>
      <c r="P122" s="80"/>
      <c r="Q122" s="81"/>
      <c r="R122" s="82"/>
      <c r="S122" s="81"/>
      <c r="T122" s="83"/>
      <c r="U122" s="84"/>
      <c r="V122" s="81"/>
      <c r="W122" s="82"/>
      <c r="X122" s="81"/>
      <c r="Y122" s="82"/>
      <c r="Z122" s="80"/>
      <c r="AA122" s="81"/>
      <c r="AB122" s="82"/>
      <c r="AC122" s="81"/>
      <c r="AD122" s="82"/>
      <c r="AE122" s="80"/>
    </row>
    <row r="123" spans="2:31" s="52" customFormat="1" ht="15.75" customHeight="1">
      <c r="B123" s="62"/>
      <c r="C123" s="64"/>
      <c r="D123" s="63" t="s">
        <v>114</v>
      </c>
      <c r="E123" s="64"/>
      <c r="F123" s="80"/>
      <c r="G123" s="81"/>
      <c r="H123" s="82"/>
      <c r="I123" s="81"/>
      <c r="J123" s="83"/>
      <c r="K123" s="80"/>
      <c r="L123" s="81"/>
      <c r="M123" s="82"/>
      <c r="N123" s="81"/>
      <c r="O123" s="83"/>
      <c r="P123" s="80"/>
      <c r="Q123" s="81"/>
      <c r="R123" s="82"/>
      <c r="S123" s="81"/>
      <c r="T123" s="83"/>
      <c r="U123" s="84"/>
      <c r="V123" s="81"/>
      <c r="W123" s="82"/>
      <c r="X123" s="81"/>
      <c r="Y123" s="82"/>
      <c r="Z123" s="80"/>
      <c r="AA123" s="81"/>
      <c r="AB123" s="82"/>
      <c r="AC123" s="81"/>
      <c r="AD123" s="82"/>
      <c r="AE123" s="80"/>
    </row>
    <row r="124" spans="2:31" s="52" customFormat="1" ht="15.75" customHeight="1">
      <c r="B124" s="62"/>
      <c r="C124" s="64"/>
      <c r="D124" s="64"/>
      <c r="E124" s="64" t="s">
        <v>173</v>
      </c>
      <c r="F124" s="75">
        <v>35</v>
      </c>
      <c r="G124" s="76">
        <v>0</v>
      </c>
      <c r="H124" s="77">
        <v>0</v>
      </c>
      <c r="I124" s="76">
        <v>0</v>
      </c>
      <c r="J124" s="79">
        <v>0</v>
      </c>
      <c r="K124" s="75">
        <v>35</v>
      </c>
      <c r="L124" s="76">
        <v>0</v>
      </c>
      <c r="M124" s="77">
        <v>0</v>
      </c>
      <c r="N124" s="76">
        <v>0.4</v>
      </c>
      <c r="O124" s="79">
        <v>0</v>
      </c>
      <c r="P124" s="75">
        <v>35.4</v>
      </c>
      <c r="Q124" s="76">
        <v>0</v>
      </c>
      <c r="R124" s="77">
        <v>0</v>
      </c>
      <c r="S124" s="76">
        <v>0</v>
      </c>
      <c r="T124" s="79">
        <v>0</v>
      </c>
      <c r="U124" s="78">
        <v>35.4</v>
      </c>
      <c r="V124" s="76">
        <v>0</v>
      </c>
      <c r="W124" s="77">
        <v>0</v>
      </c>
      <c r="X124" s="76">
        <v>0</v>
      </c>
      <c r="Y124" s="77">
        <v>0</v>
      </c>
      <c r="Z124" s="75">
        <v>35.4</v>
      </c>
      <c r="AA124" s="76">
        <v>0</v>
      </c>
      <c r="AB124" s="77">
        <v>0</v>
      </c>
      <c r="AC124" s="76">
        <v>0</v>
      </c>
      <c r="AD124" s="77">
        <v>0</v>
      </c>
      <c r="AE124" s="75">
        <v>35.4</v>
      </c>
    </row>
    <row r="125" spans="2:31" s="52" customFormat="1" ht="15.75" customHeight="1">
      <c r="B125" s="62"/>
      <c r="C125" s="64"/>
      <c r="D125" s="64"/>
      <c r="E125" s="64" t="s">
        <v>174</v>
      </c>
      <c r="F125" s="75">
        <v>58</v>
      </c>
      <c r="G125" s="76">
        <v>0</v>
      </c>
      <c r="H125" s="77">
        <v>0</v>
      </c>
      <c r="I125" s="76">
        <v>0</v>
      </c>
      <c r="J125" s="79">
        <v>0</v>
      </c>
      <c r="K125" s="75">
        <v>58</v>
      </c>
      <c r="L125" s="76">
        <v>0</v>
      </c>
      <c r="M125" s="77">
        <v>0</v>
      </c>
      <c r="N125" s="76">
        <v>0</v>
      </c>
      <c r="O125" s="79">
        <v>0</v>
      </c>
      <c r="P125" s="75">
        <v>58</v>
      </c>
      <c r="Q125" s="76">
        <v>0</v>
      </c>
      <c r="R125" s="77">
        <v>0</v>
      </c>
      <c r="S125" s="76">
        <v>0</v>
      </c>
      <c r="T125" s="79">
        <v>0</v>
      </c>
      <c r="U125" s="78">
        <v>58</v>
      </c>
      <c r="V125" s="76">
        <v>0</v>
      </c>
      <c r="W125" s="77">
        <v>0.1</v>
      </c>
      <c r="X125" s="76">
        <v>0</v>
      </c>
      <c r="Y125" s="77">
        <v>0.1</v>
      </c>
      <c r="Z125" s="75">
        <v>58</v>
      </c>
      <c r="AA125" s="76">
        <v>0</v>
      </c>
      <c r="AB125" s="77">
        <v>0.1</v>
      </c>
      <c r="AC125" s="76">
        <v>0</v>
      </c>
      <c r="AD125" s="77">
        <v>0.1</v>
      </c>
      <c r="AE125" s="75">
        <v>58</v>
      </c>
    </row>
    <row r="126" spans="2:31" s="52" customFormat="1" ht="15.75" customHeight="1">
      <c r="B126" s="62"/>
      <c r="C126" s="64"/>
      <c r="D126" s="64"/>
      <c r="E126" s="64" t="s">
        <v>175</v>
      </c>
      <c r="F126" s="75">
        <v>0</v>
      </c>
      <c r="G126" s="76">
        <v>0</v>
      </c>
      <c r="H126" s="77">
        <v>0</v>
      </c>
      <c r="I126" s="76">
        <v>0</v>
      </c>
      <c r="J126" s="79">
        <v>0</v>
      </c>
      <c r="K126" s="75">
        <v>0</v>
      </c>
      <c r="L126" s="76">
        <v>0</v>
      </c>
      <c r="M126" s="77">
        <v>0</v>
      </c>
      <c r="N126" s="76">
        <v>0</v>
      </c>
      <c r="O126" s="79">
        <v>0</v>
      </c>
      <c r="P126" s="75">
        <v>0</v>
      </c>
      <c r="Q126" s="76">
        <v>0</v>
      </c>
      <c r="R126" s="77">
        <v>0</v>
      </c>
      <c r="S126" s="76">
        <v>0</v>
      </c>
      <c r="T126" s="79">
        <v>0</v>
      </c>
      <c r="U126" s="78">
        <v>0</v>
      </c>
      <c r="V126" s="76">
        <v>0</v>
      </c>
      <c r="W126" s="77">
        <v>0</v>
      </c>
      <c r="X126" s="76">
        <v>0</v>
      </c>
      <c r="Y126" s="77">
        <v>0</v>
      </c>
      <c r="Z126" s="75">
        <v>0</v>
      </c>
      <c r="AA126" s="76">
        <v>0</v>
      </c>
      <c r="AB126" s="77">
        <v>0</v>
      </c>
      <c r="AC126" s="76">
        <v>0</v>
      </c>
      <c r="AD126" s="77">
        <v>0</v>
      </c>
      <c r="AE126" s="75">
        <v>0</v>
      </c>
    </row>
    <row r="127" spans="2:31" s="52" customFormat="1" ht="15.75" customHeight="1">
      <c r="B127" s="62"/>
      <c r="C127" s="64"/>
      <c r="D127" s="64"/>
      <c r="E127" s="64"/>
      <c r="F127" s="80"/>
      <c r="G127" s="81"/>
      <c r="H127" s="82"/>
      <c r="I127" s="81"/>
      <c r="J127" s="83"/>
      <c r="K127" s="80"/>
      <c r="L127" s="81"/>
      <c r="M127" s="82"/>
      <c r="N127" s="81"/>
      <c r="O127" s="83"/>
      <c r="P127" s="80"/>
      <c r="Q127" s="81"/>
      <c r="R127" s="82"/>
      <c r="S127" s="81"/>
      <c r="T127" s="83"/>
      <c r="U127" s="84"/>
      <c r="V127" s="81"/>
      <c r="W127" s="82"/>
      <c r="X127" s="81"/>
      <c r="Y127" s="82"/>
      <c r="Z127" s="80"/>
      <c r="AA127" s="81"/>
      <c r="AB127" s="82"/>
      <c r="AC127" s="81"/>
      <c r="AD127" s="82"/>
      <c r="AE127" s="80"/>
    </row>
    <row r="128" spans="2:31" s="52" customFormat="1" ht="15.75" customHeight="1">
      <c r="B128" s="62"/>
      <c r="C128" s="64"/>
      <c r="D128" s="63" t="s">
        <v>117</v>
      </c>
      <c r="E128" s="64"/>
      <c r="F128" s="80"/>
      <c r="G128" s="81"/>
      <c r="H128" s="82"/>
      <c r="I128" s="81"/>
      <c r="J128" s="83"/>
      <c r="K128" s="80"/>
      <c r="L128" s="81"/>
      <c r="M128" s="82"/>
      <c r="N128" s="81"/>
      <c r="O128" s="83"/>
      <c r="P128" s="80"/>
      <c r="Q128" s="81"/>
      <c r="R128" s="82"/>
      <c r="S128" s="81"/>
      <c r="T128" s="83"/>
      <c r="U128" s="84"/>
      <c r="V128" s="81"/>
      <c r="W128" s="82"/>
      <c r="X128" s="81"/>
      <c r="Y128" s="82"/>
      <c r="Z128" s="80"/>
      <c r="AA128" s="81"/>
      <c r="AB128" s="82"/>
      <c r="AC128" s="81"/>
      <c r="AD128" s="82"/>
      <c r="AE128" s="80"/>
    </row>
    <row r="129" spans="2:31" s="52" customFormat="1" ht="15.75" customHeight="1">
      <c r="B129" s="62"/>
      <c r="C129" s="64"/>
      <c r="D129" s="64"/>
      <c r="E129" s="95" t="s">
        <v>176</v>
      </c>
      <c r="F129" s="75">
        <v>0</v>
      </c>
      <c r="G129" s="76">
        <v>0</v>
      </c>
      <c r="H129" s="77">
        <v>0</v>
      </c>
      <c r="I129" s="76">
        <v>0</v>
      </c>
      <c r="J129" s="79">
        <v>0</v>
      </c>
      <c r="K129" s="75">
        <v>0</v>
      </c>
      <c r="L129" s="76">
        <v>0</v>
      </c>
      <c r="M129" s="77">
        <v>0</v>
      </c>
      <c r="N129" s="76">
        <v>0</v>
      </c>
      <c r="O129" s="79">
        <v>0</v>
      </c>
      <c r="P129" s="75">
        <v>0</v>
      </c>
      <c r="Q129" s="76">
        <v>0</v>
      </c>
      <c r="R129" s="77">
        <v>0</v>
      </c>
      <c r="S129" s="76">
        <v>0</v>
      </c>
      <c r="T129" s="79">
        <v>0</v>
      </c>
      <c r="U129" s="78">
        <v>0</v>
      </c>
      <c r="V129" s="76">
        <v>0</v>
      </c>
      <c r="W129" s="77">
        <v>0</v>
      </c>
      <c r="X129" s="76">
        <v>0</v>
      </c>
      <c r="Y129" s="77">
        <v>0</v>
      </c>
      <c r="Z129" s="75">
        <v>0</v>
      </c>
      <c r="AA129" s="76">
        <v>0</v>
      </c>
      <c r="AB129" s="77">
        <v>0</v>
      </c>
      <c r="AC129" s="76">
        <v>0</v>
      </c>
      <c r="AD129" s="77">
        <v>0</v>
      </c>
      <c r="AE129" s="75">
        <v>0</v>
      </c>
    </row>
    <row r="130" spans="2:31" s="52" customFormat="1" ht="15.75" customHeight="1">
      <c r="B130" s="62"/>
      <c r="C130" s="64"/>
      <c r="D130" s="64"/>
      <c r="E130" s="64"/>
      <c r="F130" s="80"/>
      <c r="G130" s="81"/>
      <c r="H130" s="82"/>
      <c r="I130" s="81"/>
      <c r="J130" s="83"/>
      <c r="K130" s="80"/>
      <c r="L130" s="81"/>
      <c r="M130" s="82"/>
      <c r="N130" s="81"/>
      <c r="O130" s="83"/>
      <c r="P130" s="80"/>
      <c r="Q130" s="81"/>
      <c r="R130" s="82"/>
      <c r="S130" s="81"/>
      <c r="T130" s="83"/>
      <c r="U130" s="84"/>
      <c r="V130" s="81"/>
      <c r="W130" s="82"/>
      <c r="X130" s="81"/>
      <c r="Y130" s="82"/>
      <c r="Z130" s="80"/>
      <c r="AA130" s="81"/>
      <c r="AB130" s="82"/>
      <c r="AC130" s="81"/>
      <c r="AD130" s="82"/>
      <c r="AE130" s="80"/>
    </row>
    <row r="131" spans="2:31" s="52" customFormat="1" ht="15.75" customHeight="1">
      <c r="B131" s="62"/>
      <c r="C131" s="64"/>
      <c r="D131" s="63" t="s">
        <v>100</v>
      </c>
      <c r="E131" s="64"/>
      <c r="F131" s="80"/>
      <c r="G131" s="81"/>
      <c r="H131" s="82"/>
      <c r="I131" s="81"/>
      <c r="J131" s="83"/>
      <c r="K131" s="80"/>
      <c r="L131" s="81"/>
      <c r="M131" s="82"/>
      <c r="N131" s="81"/>
      <c r="O131" s="83"/>
      <c r="P131" s="80"/>
      <c r="Q131" s="81"/>
      <c r="R131" s="82"/>
      <c r="S131" s="81"/>
      <c r="T131" s="83"/>
      <c r="U131" s="84"/>
      <c r="V131" s="81"/>
      <c r="W131" s="82"/>
      <c r="X131" s="81"/>
      <c r="Y131" s="82"/>
      <c r="Z131" s="80"/>
      <c r="AA131" s="81"/>
      <c r="AB131" s="82"/>
      <c r="AC131" s="81"/>
      <c r="AD131" s="82"/>
      <c r="AE131" s="80"/>
    </row>
    <row r="132" spans="2:31" s="52" customFormat="1" ht="15.75" customHeight="1">
      <c r="B132" s="62"/>
      <c r="C132" s="64"/>
      <c r="D132" s="64"/>
      <c r="E132" s="64" t="s">
        <v>177</v>
      </c>
      <c r="F132" s="75">
        <v>214</v>
      </c>
      <c r="G132" s="76">
        <v>2</v>
      </c>
      <c r="H132" s="77">
        <v>1</v>
      </c>
      <c r="I132" s="76">
        <v>2</v>
      </c>
      <c r="J132" s="79">
        <v>1</v>
      </c>
      <c r="K132" s="75">
        <v>214</v>
      </c>
      <c r="L132" s="76">
        <v>0</v>
      </c>
      <c r="M132" s="77">
        <v>0</v>
      </c>
      <c r="N132" s="76">
        <v>2</v>
      </c>
      <c r="O132" s="79">
        <v>1</v>
      </c>
      <c r="P132" s="75">
        <v>217</v>
      </c>
      <c r="Q132" s="76">
        <v>0</v>
      </c>
      <c r="R132" s="77">
        <v>0</v>
      </c>
      <c r="S132" s="76">
        <v>3</v>
      </c>
      <c r="T132" s="79">
        <v>2</v>
      </c>
      <c r="U132" s="78">
        <v>222</v>
      </c>
      <c r="V132" s="76">
        <v>0</v>
      </c>
      <c r="W132" s="77">
        <v>2</v>
      </c>
      <c r="X132" s="76">
        <v>0</v>
      </c>
      <c r="Y132" s="77">
        <v>2</v>
      </c>
      <c r="Z132" s="75">
        <v>222</v>
      </c>
      <c r="AA132" s="76">
        <v>0</v>
      </c>
      <c r="AB132" s="77">
        <v>2</v>
      </c>
      <c r="AC132" s="76">
        <v>0</v>
      </c>
      <c r="AD132" s="77">
        <v>2</v>
      </c>
      <c r="AE132" s="75">
        <v>222</v>
      </c>
    </row>
    <row r="133" spans="2:31" s="52" customFormat="1" ht="15.75" customHeight="1">
      <c r="B133" s="62"/>
      <c r="C133" s="64"/>
      <c r="D133" s="64"/>
      <c r="E133" s="64" t="s">
        <v>178</v>
      </c>
      <c r="F133" s="75">
        <v>730</v>
      </c>
      <c r="G133" s="76">
        <v>0</v>
      </c>
      <c r="H133" s="77">
        <v>0</v>
      </c>
      <c r="I133" s="76">
        <v>0</v>
      </c>
      <c r="J133" s="79">
        <v>0</v>
      </c>
      <c r="K133" s="75">
        <v>730</v>
      </c>
      <c r="L133" s="76">
        <v>7</v>
      </c>
      <c r="M133" s="77">
        <v>4</v>
      </c>
      <c r="N133" s="76">
        <v>0</v>
      </c>
      <c r="O133" s="79">
        <v>4</v>
      </c>
      <c r="P133" s="75">
        <v>723</v>
      </c>
      <c r="Q133" s="76">
        <v>0</v>
      </c>
      <c r="R133" s="77">
        <v>0</v>
      </c>
      <c r="S133" s="76">
        <v>2</v>
      </c>
      <c r="T133" s="79">
        <v>2</v>
      </c>
      <c r="U133" s="78">
        <v>727</v>
      </c>
      <c r="V133" s="76">
        <v>0</v>
      </c>
      <c r="W133" s="77">
        <v>0</v>
      </c>
      <c r="X133" s="76">
        <v>0</v>
      </c>
      <c r="Y133" s="77">
        <v>0</v>
      </c>
      <c r="Z133" s="75">
        <v>727</v>
      </c>
      <c r="AA133" s="76">
        <v>0</v>
      </c>
      <c r="AB133" s="77">
        <v>0</v>
      </c>
      <c r="AC133" s="76">
        <v>0</v>
      </c>
      <c r="AD133" s="77">
        <v>0</v>
      </c>
      <c r="AE133" s="75">
        <v>727</v>
      </c>
    </row>
    <row r="134" spans="2:31" s="52" customFormat="1" ht="15.75" customHeight="1">
      <c r="B134" s="62"/>
      <c r="C134" s="64"/>
      <c r="D134" s="64"/>
      <c r="E134" s="64"/>
      <c r="F134" s="80"/>
      <c r="G134" s="81"/>
      <c r="H134" s="82"/>
      <c r="I134" s="81"/>
      <c r="J134" s="83"/>
      <c r="K134" s="80"/>
      <c r="L134" s="81"/>
      <c r="M134" s="82"/>
      <c r="N134" s="81"/>
      <c r="O134" s="83"/>
      <c r="P134" s="80"/>
      <c r="Q134" s="81"/>
      <c r="R134" s="82"/>
      <c r="S134" s="81"/>
      <c r="T134" s="83"/>
      <c r="U134" s="84"/>
      <c r="V134" s="81"/>
      <c r="W134" s="82"/>
      <c r="X134" s="81"/>
      <c r="Y134" s="82"/>
      <c r="Z134" s="80"/>
      <c r="AA134" s="81"/>
      <c r="AB134" s="82"/>
      <c r="AC134" s="81"/>
      <c r="AD134" s="82"/>
      <c r="AE134" s="80"/>
    </row>
    <row r="135" spans="2:31" s="52" customFormat="1" ht="15.75" customHeight="1">
      <c r="B135" s="62"/>
      <c r="C135" s="64"/>
      <c r="D135" s="63" t="s">
        <v>133</v>
      </c>
      <c r="E135" s="64"/>
      <c r="F135" s="80"/>
      <c r="G135" s="81"/>
      <c r="H135" s="82"/>
      <c r="I135" s="81"/>
      <c r="J135" s="83"/>
      <c r="K135" s="80"/>
      <c r="L135" s="81"/>
      <c r="M135" s="82"/>
      <c r="N135" s="81"/>
      <c r="O135" s="83"/>
      <c r="P135" s="80"/>
      <c r="Q135" s="81"/>
      <c r="R135" s="82"/>
      <c r="S135" s="81"/>
      <c r="T135" s="83"/>
      <c r="U135" s="84"/>
      <c r="V135" s="81"/>
      <c r="W135" s="82"/>
      <c r="X135" s="81"/>
      <c r="Y135" s="82"/>
      <c r="Z135" s="80"/>
      <c r="AA135" s="81"/>
      <c r="AB135" s="82"/>
      <c r="AC135" s="81"/>
      <c r="AD135" s="82"/>
      <c r="AE135" s="80"/>
    </row>
    <row r="136" spans="2:31" s="52" customFormat="1" ht="15.75" customHeight="1">
      <c r="B136" s="62"/>
      <c r="C136" s="64"/>
      <c r="D136" s="64"/>
      <c r="E136" s="95" t="s">
        <v>179</v>
      </c>
      <c r="F136" s="75">
        <v>128</v>
      </c>
      <c r="G136" s="76">
        <v>0</v>
      </c>
      <c r="H136" s="77">
        <v>0</v>
      </c>
      <c r="I136" s="76">
        <v>0</v>
      </c>
      <c r="J136" s="79">
        <v>0</v>
      </c>
      <c r="K136" s="75">
        <v>128</v>
      </c>
      <c r="L136" s="76">
        <v>1</v>
      </c>
      <c r="M136" s="77">
        <v>0</v>
      </c>
      <c r="N136" s="76">
        <v>2</v>
      </c>
      <c r="O136" s="79">
        <v>0</v>
      </c>
      <c r="P136" s="75">
        <v>129</v>
      </c>
      <c r="Q136" s="76">
        <v>3</v>
      </c>
      <c r="R136" s="77">
        <v>4</v>
      </c>
      <c r="S136" s="76">
        <v>2</v>
      </c>
      <c r="T136" s="79">
        <v>4</v>
      </c>
      <c r="U136" s="78">
        <v>128</v>
      </c>
      <c r="V136" s="76">
        <v>1</v>
      </c>
      <c r="W136" s="77">
        <v>2</v>
      </c>
      <c r="X136" s="76">
        <v>1</v>
      </c>
      <c r="Y136" s="77">
        <v>2</v>
      </c>
      <c r="Z136" s="75">
        <v>128</v>
      </c>
      <c r="AA136" s="76">
        <v>0</v>
      </c>
      <c r="AB136" s="77">
        <v>2</v>
      </c>
      <c r="AC136" s="76">
        <v>3</v>
      </c>
      <c r="AD136" s="77">
        <v>2</v>
      </c>
      <c r="AE136" s="75">
        <v>131</v>
      </c>
    </row>
    <row r="137" spans="2:31" s="52" customFormat="1" ht="15.75" customHeight="1">
      <c r="B137" s="62"/>
      <c r="C137" s="64"/>
      <c r="D137" s="64"/>
      <c r="E137" s="95" t="s">
        <v>180</v>
      </c>
      <c r="F137" s="75">
        <v>133</v>
      </c>
      <c r="G137" s="76">
        <v>0</v>
      </c>
      <c r="H137" s="77">
        <v>0</v>
      </c>
      <c r="I137" s="76">
        <v>0</v>
      </c>
      <c r="J137" s="79">
        <v>0</v>
      </c>
      <c r="K137" s="75">
        <v>133</v>
      </c>
      <c r="L137" s="76">
        <v>1</v>
      </c>
      <c r="M137" s="77">
        <v>0</v>
      </c>
      <c r="N137" s="76">
        <v>2</v>
      </c>
      <c r="O137" s="79">
        <v>0</v>
      </c>
      <c r="P137" s="75">
        <v>134</v>
      </c>
      <c r="Q137" s="76">
        <v>0</v>
      </c>
      <c r="R137" s="77">
        <v>0</v>
      </c>
      <c r="S137" s="76">
        <v>0</v>
      </c>
      <c r="T137" s="79">
        <v>4</v>
      </c>
      <c r="U137" s="78">
        <v>138</v>
      </c>
      <c r="V137" s="76">
        <v>0</v>
      </c>
      <c r="W137" s="77">
        <v>0</v>
      </c>
      <c r="X137" s="76">
        <v>0</v>
      </c>
      <c r="Y137" s="77">
        <v>0</v>
      </c>
      <c r="Z137" s="75">
        <v>138</v>
      </c>
      <c r="AA137" s="76">
        <v>0</v>
      </c>
      <c r="AB137" s="77">
        <v>0</v>
      </c>
      <c r="AC137" s="76">
        <v>2</v>
      </c>
      <c r="AD137" s="77">
        <v>0</v>
      </c>
      <c r="AE137" s="75">
        <v>140</v>
      </c>
    </row>
    <row r="138" spans="2:31" s="52" customFormat="1" ht="15.75" customHeight="1" thickBot="1">
      <c r="B138" s="85"/>
      <c r="C138" s="86"/>
      <c r="D138" s="86"/>
      <c r="E138" s="86"/>
      <c r="F138" s="87"/>
      <c r="G138" s="88"/>
      <c r="H138" s="89"/>
      <c r="I138" s="88"/>
      <c r="J138" s="90"/>
      <c r="K138" s="91"/>
      <c r="L138" s="88"/>
      <c r="M138" s="89"/>
      <c r="N138" s="88"/>
      <c r="O138" s="90"/>
      <c r="P138" s="91"/>
      <c r="Q138" s="88"/>
      <c r="R138" s="89"/>
      <c r="S138" s="88"/>
      <c r="T138" s="90"/>
      <c r="U138" s="92"/>
      <c r="V138" s="88"/>
      <c r="W138" s="89"/>
      <c r="X138" s="88"/>
      <c r="Y138" s="89"/>
      <c r="Z138" s="91"/>
      <c r="AA138" s="88"/>
      <c r="AB138" s="89"/>
      <c r="AC138" s="88"/>
      <c r="AD138" s="89"/>
      <c r="AE138" s="91"/>
    </row>
    <row r="139" spans="2:31" s="52" customFormat="1" ht="15.75" customHeight="1">
      <c r="B139" s="93"/>
      <c r="C139" s="94" t="s">
        <v>181</v>
      </c>
      <c r="D139" s="94"/>
      <c r="E139" s="95"/>
      <c r="F139" s="80"/>
      <c r="G139" s="81"/>
      <c r="H139" s="82"/>
      <c r="I139" s="81"/>
      <c r="J139" s="83"/>
      <c r="K139" s="80"/>
      <c r="L139" s="81"/>
      <c r="M139" s="82"/>
      <c r="N139" s="81"/>
      <c r="O139" s="83"/>
      <c r="P139" s="80"/>
      <c r="Q139" s="81"/>
      <c r="R139" s="82"/>
      <c r="S139" s="81"/>
      <c r="T139" s="83"/>
      <c r="U139" s="84"/>
      <c r="V139" s="81"/>
      <c r="W139" s="82"/>
      <c r="X139" s="81"/>
      <c r="Y139" s="82"/>
      <c r="Z139" s="80"/>
      <c r="AA139" s="81"/>
      <c r="AB139" s="82"/>
      <c r="AC139" s="81"/>
      <c r="AD139" s="82"/>
      <c r="AE139" s="80"/>
    </row>
    <row r="140" spans="2:31" s="52" customFormat="1" ht="15.75" customHeight="1">
      <c r="B140" s="62"/>
      <c r="C140" s="64"/>
      <c r="D140" s="63" t="s">
        <v>182</v>
      </c>
      <c r="E140" s="64"/>
      <c r="F140" s="80"/>
      <c r="G140" s="81"/>
      <c r="H140" s="82"/>
      <c r="I140" s="81"/>
      <c r="J140" s="83"/>
      <c r="K140" s="80"/>
      <c r="L140" s="81"/>
      <c r="M140" s="82"/>
      <c r="N140" s="81"/>
      <c r="O140" s="83"/>
      <c r="P140" s="80"/>
      <c r="Q140" s="81"/>
      <c r="R140" s="82"/>
      <c r="S140" s="81"/>
      <c r="T140" s="83"/>
      <c r="U140" s="84"/>
      <c r="V140" s="81"/>
      <c r="W140" s="82"/>
      <c r="X140" s="81"/>
      <c r="Y140" s="82"/>
      <c r="Z140" s="80"/>
      <c r="AA140" s="81"/>
      <c r="AB140" s="82"/>
      <c r="AC140" s="81"/>
      <c r="AD140" s="82"/>
      <c r="AE140" s="80"/>
    </row>
    <row r="141" spans="2:31" s="52" customFormat="1" ht="15.75" customHeight="1">
      <c r="B141" s="62"/>
      <c r="C141" s="64"/>
      <c r="D141" s="64"/>
      <c r="E141" s="95" t="s">
        <v>183</v>
      </c>
      <c r="F141" s="75">
        <v>0</v>
      </c>
      <c r="G141" s="76">
        <v>0</v>
      </c>
      <c r="H141" s="77">
        <v>0</v>
      </c>
      <c r="I141" s="76">
        <v>0</v>
      </c>
      <c r="J141" s="79">
        <v>0</v>
      </c>
      <c r="K141" s="75">
        <v>0</v>
      </c>
      <c r="L141" s="76">
        <v>0</v>
      </c>
      <c r="M141" s="77">
        <v>0</v>
      </c>
      <c r="N141" s="76">
        <v>0</v>
      </c>
      <c r="O141" s="79">
        <v>0</v>
      </c>
      <c r="P141" s="75">
        <v>0</v>
      </c>
      <c r="Q141" s="76">
        <v>0</v>
      </c>
      <c r="R141" s="77">
        <v>0</v>
      </c>
      <c r="S141" s="76">
        <v>0</v>
      </c>
      <c r="T141" s="79">
        <v>0</v>
      </c>
      <c r="U141" s="78">
        <v>0</v>
      </c>
      <c r="V141" s="76">
        <v>0</v>
      </c>
      <c r="W141" s="77">
        <v>0</v>
      </c>
      <c r="X141" s="76">
        <v>0</v>
      </c>
      <c r="Y141" s="77">
        <v>0</v>
      </c>
      <c r="Z141" s="75">
        <v>0</v>
      </c>
      <c r="AA141" s="76">
        <v>0</v>
      </c>
      <c r="AB141" s="77">
        <v>0</v>
      </c>
      <c r="AC141" s="76">
        <v>1</v>
      </c>
      <c r="AD141" s="77">
        <v>0</v>
      </c>
      <c r="AE141" s="75">
        <v>1</v>
      </c>
    </row>
    <row r="142" spans="2:31" s="52" customFormat="1" ht="15.75" customHeight="1">
      <c r="B142" s="62"/>
      <c r="C142" s="64"/>
      <c r="D142" s="64"/>
      <c r="E142" s="95" t="s">
        <v>184</v>
      </c>
      <c r="F142" s="75">
        <v>272</v>
      </c>
      <c r="G142" s="76">
        <v>0</v>
      </c>
      <c r="H142" s="77">
        <v>0</v>
      </c>
      <c r="I142" s="76">
        <v>0</v>
      </c>
      <c r="J142" s="79">
        <v>0</v>
      </c>
      <c r="K142" s="75">
        <v>272</v>
      </c>
      <c r="L142" s="76">
        <v>0</v>
      </c>
      <c r="M142" s="77">
        <v>0</v>
      </c>
      <c r="N142" s="76">
        <v>0</v>
      </c>
      <c r="O142" s="79">
        <v>0</v>
      </c>
      <c r="P142" s="75">
        <v>272</v>
      </c>
      <c r="Q142" s="76">
        <v>0</v>
      </c>
      <c r="R142" s="77">
        <v>0</v>
      </c>
      <c r="S142" s="76">
        <v>0</v>
      </c>
      <c r="T142" s="79">
        <v>0</v>
      </c>
      <c r="U142" s="78">
        <v>272</v>
      </c>
      <c r="V142" s="76">
        <v>0</v>
      </c>
      <c r="W142" s="77">
        <v>0</v>
      </c>
      <c r="X142" s="76">
        <v>0</v>
      </c>
      <c r="Y142" s="77">
        <v>0</v>
      </c>
      <c r="Z142" s="75">
        <v>272</v>
      </c>
      <c r="AA142" s="76">
        <v>0</v>
      </c>
      <c r="AB142" s="77">
        <v>0</v>
      </c>
      <c r="AC142" s="76">
        <v>0</v>
      </c>
      <c r="AD142" s="77">
        <v>0</v>
      </c>
      <c r="AE142" s="75">
        <v>272</v>
      </c>
    </row>
    <row r="143" spans="2:31" s="52" customFormat="1" ht="15.75" customHeight="1">
      <c r="B143" s="62"/>
      <c r="C143" s="95"/>
      <c r="D143" s="63"/>
      <c r="E143" s="64"/>
      <c r="F143" s="80"/>
      <c r="G143" s="81"/>
      <c r="H143" s="82"/>
      <c r="I143" s="81"/>
      <c r="J143" s="83"/>
      <c r="K143" s="80"/>
      <c r="L143" s="81"/>
      <c r="M143" s="82"/>
      <c r="N143" s="81"/>
      <c r="O143" s="83"/>
      <c r="P143" s="80"/>
      <c r="Q143" s="81"/>
      <c r="R143" s="82"/>
      <c r="S143" s="81"/>
      <c r="T143" s="83"/>
      <c r="U143" s="84"/>
      <c r="V143" s="81"/>
      <c r="W143" s="82"/>
      <c r="X143" s="81"/>
      <c r="Y143" s="82"/>
      <c r="Z143" s="80"/>
      <c r="AA143" s="81"/>
      <c r="AB143" s="82"/>
      <c r="AC143" s="81"/>
      <c r="AD143" s="82"/>
      <c r="AE143" s="80"/>
    </row>
    <row r="144" spans="2:31" s="52" customFormat="1" ht="15.75" customHeight="1">
      <c r="B144" s="62"/>
      <c r="C144" s="64"/>
      <c r="D144" s="63" t="s">
        <v>185</v>
      </c>
      <c r="E144" s="64"/>
      <c r="F144" s="80"/>
      <c r="G144" s="81"/>
      <c r="H144" s="82"/>
      <c r="I144" s="81"/>
      <c r="J144" s="83"/>
      <c r="K144" s="80"/>
      <c r="L144" s="81"/>
      <c r="M144" s="82"/>
      <c r="N144" s="81"/>
      <c r="O144" s="83"/>
      <c r="P144" s="80"/>
      <c r="Q144" s="81"/>
      <c r="R144" s="82"/>
      <c r="S144" s="81"/>
      <c r="T144" s="83"/>
      <c r="U144" s="84"/>
      <c r="V144" s="81"/>
      <c r="W144" s="82"/>
      <c r="X144" s="81"/>
      <c r="Y144" s="82"/>
      <c r="Z144" s="80"/>
      <c r="AA144" s="81"/>
      <c r="AB144" s="82"/>
      <c r="AC144" s="81"/>
      <c r="AD144" s="82"/>
      <c r="AE144" s="80"/>
    </row>
    <row r="145" spans="2:31" s="52" customFormat="1" ht="15.75" customHeight="1">
      <c r="B145" s="62"/>
      <c r="C145" s="64"/>
      <c r="D145" s="64"/>
      <c r="E145" s="95" t="s">
        <v>186</v>
      </c>
      <c r="F145" s="75">
        <v>1244</v>
      </c>
      <c r="G145" s="76">
        <v>0</v>
      </c>
      <c r="H145" s="77">
        <v>0</v>
      </c>
      <c r="I145" s="76">
        <v>0</v>
      </c>
      <c r="J145" s="79">
        <v>0</v>
      </c>
      <c r="K145" s="75">
        <v>1244</v>
      </c>
      <c r="L145" s="76">
        <v>0</v>
      </c>
      <c r="M145" s="77">
        <v>0</v>
      </c>
      <c r="N145" s="76">
        <v>0</v>
      </c>
      <c r="O145" s="79">
        <v>0</v>
      </c>
      <c r="P145" s="75">
        <v>1244</v>
      </c>
      <c r="Q145" s="76">
        <v>0</v>
      </c>
      <c r="R145" s="77">
        <v>0</v>
      </c>
      <c r="S145" s="76">
        <v>0</v>
      </c>
      <c r="T145" s="79">
        <v>0</v>
      </c>
      <c r="U145" s="78">
        <v>1244</v>
      </c>
      <c r="V145" s="76">
        <v>0</v>
      </c>
      <c r="W145" s="77">
        <v>0</v>
      </c>
      <c r="X145" s="76">
        <v>1</v>
      </c>
      <c r="Y145" s="77">
        <v>0</v>
      </c>
      <c r="Z145" s="75">
        <v>1245</v>
      </c>
      <c r="AA145" s="76">
        <v>0</v>
      </c>
      <c r="AB145" s="77">
        <v>0</v>
      </c>
      <c r="AC145" s="76">
        <v>1</v>
      </c>
      <c r="AD145" s="77">
        <v>0</v>
      </c>
      <c r="AE145" s="75">
        <v>1246</v>
      </c>
    </row>
    <row r="146" spans="2:31" s="52" customFormat="1" ht="15.75" customHeight="1">
      <c r="B146" s="62"/>
      <c r="C146" s="64"/>
      <c r="D146" s="64"/>
      <c r="E146" s="95" t="s">
        <v>187</v>
      </c>
      <c r="F146" s="75">
        <v>143</v>
      </c>
      <c r="G146" s="76">
        <v>0</v>
      </c>
      <c r="H146" s="77">
        <v>0</v>
      </c>
      <c r="I146" s="76">
        <v>0</v>
      </c>
      <c r="J146" s="79">
        <v>0</v>
      </c>
      <c r="K146" s="75">
        <v>143</v>
      </c>
      <c r="L146" s="76">
        <v>0</v>
      </c>
      <c r="M146" s="77">
        <v>0</v>
      </c>
      <c r="N146" s="76">
        <v>0</v>
      </c>
      <c r="O146" s="79">
        <v>0</v>
      </c>
      <c r="P146" s="75">
        <v>143</v>
      </c>
      <c r="Q146" s="76">
        <v>0</v>
      </c>
      <c r="R146" s="77">
        <v>0</v>
      </c>
      <c r="S146" s="76">
        <v>0</v>
      </c>
      <c r="T146" s="79">
        <v>0</v>
      </c>
      <c r="U146" s="78">
        <v>143</v>
      </c>
      <c r="V146" s="76">
        <v>0</v>
      </c>
      <c r="W146" s="77">
        <v>0</v>
      </c>
      <c r="X146" s="76">
        <v>0</v>
      </c>
      <c r="Y146" s="77">
        <v>0</v>
      </c>
      <c r="Z146" s="75">
        <v>143</v>
      </c>
      <c r="AA146" s="76">
        <v>0</v>
      </c>
      <c r="AB146" s="77">
        <v>0</v>
      </c>
      <c r="AC146" s="76">
        <v>0</v>
      </c>
      <c r="AD146" s="77">
        <v>0</v>
      </c>
      <c r="AE146" s="75">
        <v>143</v>
      </c>
    </row>
    <row r="147" spans="2:31" s="52" customFormat="1" ht="15.75" customHeight="1" thickBot="1">
      <c r="B147" s="85"/>
      <c r="C147" s="86"/>
      <c r="D147" s="86"/>
      <c r="E147" s="86"/>
      <c r="F147" s="87"/>
      <c r="G147" s="88"/>
      <c r="H147" s="89"/>
      <c r="I147" s="88"/>
      <c r="J147" s="90"/>
      <c r="K147" s="91"/>
      <c r="L147" s="88"/>
      <c r="M147" s="89"/>
      <c r="N147" s="88"/>
      <c r="O147" s="90"/>
      <c r="P147" s="91"/>
      <c r="Q147" s="88"/>
      <c r="R147" s="89"/>
      <c r="S147" s="88"/>
      <c r="T147" s="90"/>
      <c r="U147" s="101"/>
      <c r="V147" s="88"/>
      <c r="W147" s="89"/>
      <c r="X147" s="88"/>
      <c r="Y147" s="89"/>
      <c r="Z147" s="91"/>
      <c r="AA147" s="88"/>
      <c r="AB147" s="89"/>
      <c r="AC147" s="88"/>
      <c r="AD147" s="89"/>
      <c r="AE147" s="91"/>
    </row>
  </sheetData>
  <mergeCells count="17">
    <mergeCell ref="B7:E9"/>
    <mergeCell ref="F7:F9"/>
    <mergeCell ref="G7:K7"/>
    <mergeCell ref="L7:P7"/>
    <mergeCell ref="Q7:U7"/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V7:Z7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2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5FFFF"/>
    <pageSetUpPr fitToPage="1"/>
  </sheetPr>
  <dimension ref="A1:T147"/>
  <sheetViews>
    <sheetView workbookViewId="0">
      <selection sqref="A1:XFD1048576"/>
    </sheetView>
  </sheetViews>
  <sheetFormatPr defaultColWidth="8.85546875" defaultRowHeight="12.75"/>
  <cols>
    <col min="1" max="1" width="8.85546875" style="52" customWidth="1"/>
    <col min="2" max="2" width="41.140625" style="52" customWidth="1"/>
    <col min="3" max="14" width="8.85546875" style="52"/>
    <col min="15" max="17" width="10.5703125" style="52" customWidth="1"/>
    <col min="18" max="18" width="8.85546875" style="52"/>
    <col min="19" max="20" width="10.42578125" style="52" customWidth="1"/>
    <col min="21" max="16384" width="8.85546875" style="52"/>
  </cols>
  <sheetData>
    <row r="1" spans="1:20" ht="15">
      <c r="A1" s="102" t="s">
        <v>74</v>
      </c>
      <c r="F1" s="103" t="s">
        <v>985</v>
      </c>
    </row>
    <row r="3" spans="1:20" s="104" customFormat="1" ht="15">
      <c r="A3" s="102" t="s">
        <v>188</v>
      </c>
    </row>
    <row r="4" spans="1:20" s="104" customFormat="1" ht="14.25"/>
    <row r="5" spans="1:20" s="104" customFormat="1" ht="14.25"/>
    <row r="6" spans="1:20" s="104" customFormat="1" ht="15">
      <c r="A6" s="105"/>
      <c r="B6" s="106" t="s">
        <v>189</v>
      </c>
      <c r="C6" s="107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8"/>
      <c r="S6" s="105"/>
      <c r="T6" s="105"/>
    </row>
    <row r="7" spans="1:20" s="104" customFormat="1" ht="15" thickBot="1">
      <c r="A7" s="105"/>
      <c r="B7" s="105"/>
      <c r="C7" s="107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8"/>
      <c r="S7" s="105"/>
      <c r="T7" s="105"/>
    </row>
    <row r="8" spans="1:20" s="104" customFormat="1" ht="15">
      <c r="A8" s="105"/>
      <c r="B8" s="1210"/>
      <c r="C8" s="1212" t="s">
        <v>190</v>
      </c>
      <c r="D8" s="109" t="s">
        <v>191</v>
      </c>
      <c r="E8" s="110"/>
      <c r="F8" s="110"/>
      <c r="G8" s="110"/>
      <c r="H8" s="111"/>
      <c r="I8" s="110" t="s">
        <v>192</v>
      </c>
      <c r="J8" s="112"/>
      <c r="K8" s="112"/>
      <c r="L8" s="112"/>
      <c r="M8" s="111"/>
      <c r="N8" s="105"/>
      <c r="O8" s="113" t="s">
        <v>191</v>
      </c>
      <c r="P8" s="114"/>
      <c r="Q8" s="115"/>
      <c r="R8" s="108"/>
      <c r="S8" s="113" t="s">
        <v>192</v>
      </c>
      <c r="T8" s="115"/>
    </row>
    <row r="9" spans="1:20" s="104" customFormat="1" ht="30">
      <c r="A9" s="105"/>
      <c r="B9" s="1211"/>
      <c r="C9" s="1213"/>
      <c r="D9" s="116" t="s">
        <v>79</v>
      </c>
      <c r="E9" s="117" t="s">
        <v>80</v>
      </c>
      <c r="F9" s="117" t="s">
        <v>81</v>
      </c>
      <c r="G9" s="117" t="s">
        <v>82</v>
      </c>
      <c r="H9" s="118" t="s">
        <v>44</v>
      </c>
      <c r="I9" s="119" t="s">
        <v>193</v>
      </c>
      <c r="J9" s="117" t="s">
        <v>194</v>
      </c>
      <c r="K9" s="117" t="s">
        <v>195</v>
      </c>
      <c r="L9" s="117" t="s">
        <v>196</v>
      </c>
      <c r="M9" s="118" t="s">
        <v>197</v>
      </c>
      <c r="N9" s="105"/>
      <c r="O9" s="120" t="s">
        <v>198</v>
      </c>
      <c r="P9" s="121" t="s">
        <v>199</v>
      </c>
      <c r="Q9" s="122" t="s">
        <v>200</v>
      </c>
      <c r="R9" s="108"/>
      <c r="S9" s="120" t="s">
        <v>199</v>
      </c>
      <c r="T9" s="122" t="s">
        <v>201</v>
      </c>
    </row>
    <row r="10" spans="1:20" s="104" customFormat="1" ht="14.25">
      <c r="A10" s="105"/>
      <c r="B10" s="123" t="s">
        <v>202</v>
      </c>
      <c r="C10" s="124" t="s">
        <v>203</v>
      </c>
      <c r="D10" s="125">
        <v>17.600000000000001</v>
      </c>
      <c r="E10" s="126">
        <v>18.100000000000001</v>
      </c>
      <c r="F10" s="126">
        <v>20.7</v>
      </c>
      <c r="G10" s="126">
        <v>15.3</v>
      </c>
      <c r="H10" s="127">
        <v>14.6</v>
      </c>
      <c r="I10" s="126">
        <v>13.4</v>
      </c>
      <c r="J10" s="128">
        <v>14.1</v>
      </c>
      <c r="K10" s="128">
        <v>13.1</v>
      </c>
      <c r="L10" s="128">
        <v>13.1</v>
      </c>
      <c r="M10" s="127">
        <v>13.8</v>
      </c>
      <c r="N10" s="129"/>
      <c r="O10" s="130">
        <v>56.4</v>
      </c>
      <c r="P10" s="131">
        <v>29.9</v>
      </c>
      <c r="Q10" s="132">
        <v>86.3</v>
      </c>
      <c r="R10" s="133"/>
      <c r="S10" s="130">
        <v>67.5</v>
      </c>
      <c r="T10" s="134">
        <v>-0.2178447276940905</v>
      </c>
    </row>
    <row r="11" spans="1:20" s="104" customFormat="1" ht="14.25">
      <c r="A11" s="105"/>
      <c r="B11" s="123" t="s">
        <v>204</v>
      </c>
      <c r="C11" s="124" t="s">
        <v>203</v>
      </c>
      <c r="D11" s="135">
        <v>17</v>
      </c>
      <c r="E11" s="136">
        <v>17.100000000000001</v>
      </c>
      <c r="F11" s="136">
        <v>19</v>
      </c>
      <c r="G11" s="136">
        <v>14.15</v>
      </c>
      <c r="H11" s="137">
        <v>13.5</v>
      </c>
      <c r="I11" s="136">
        <v>12.7</v>
      </c>
      <c r="J11" s="138">
        <v>13.15</v>
      </c>
      <c r="K11" s="138">
        <v>12.3</v>
      </c>
      <c r="L11" s="138">
        <v>12.3</v>
      </c>
      <c r="M11" s="137">
        <v>12.85</v>
      </c>
      <c r="N11" s="129"/>
      <c r="O11" s="130">
        <v>53.1</v>
      </c>
      <c r="P11" s="131">
        <v>27.65</v>
      </c>
      <c r="Q11" s="132">
        <v>80.75</v>
      </c>
      <c r="R11" s="133"/>
      <c r="S11" s="130">
        <v>63.3</v>
      </c>
      <c r="T11" s="134">
        <v>-0.21609907120743044</v>
      </c>
    </row>
    <row r="12" spans="1:20" s="104" customFormat="1" ht="28.5">
      <c r="A12" s="105"/>
      <c r="B12" s="139" t="s">
        <v>205</v>
      </c>
      <c r="C12" s="124" t="s">
        <v>203</v>
      </c>
      <c r="D12" s="140">
        <v>0.59999999999999787</v>
      </c>
      <c r="E12" s="141">
        <v>1</v>
      </c>
      <c r="F12" s="141">
        <v>1.7</v>
      </c>
      <c r="G12" s="141">
        <v>1.1499999999999999</v>
      </c>
      <c r="H12" s="142">
        <v>1.1000000000000001</v>
      </c>
      <c r="I12" s="143">
        <v>0.70000000000000107</v>
      </c>
      <c r="J12" s="141">
        <v>0.94999999999999929</v>
      </c>
      <c r="K12" s="141">
        <v>0.80000000000000071</v>
      </c>
      <c r="L12" s="141">
        <v>0.80000000000000071</v>
      </c>
      <c r="M12" s="142">
        <v>0.94999999999999929</v>
      </c>
      <c r="N12" s="129"/>
      <c r="O12" s="130">
        <v>3.2999999999999936</v>
      </c>
      <c r="P12" s="131">
        <v>2.25</v>
      </c>
      <c r="Q12" s="132">
        <v>5.5499999999999936</v>
      </c>
      <c r="R12" s="133"/>
      <c r="S12" s="130">
        <v>4.2</v>
      </c>
      <c r="T12" s="134">
        <v>-0.24324324324324217</v>
      </c>
    </row>
    <row r="13" spans="1:20" s="104" customFormat="1" ht="14.25">
      <c r="A13" s="105"/>
      <c r="B13" s="123" t="s">
        <v>206</v>
      </c>
      <c r="C13" s="124" t="s">
        <v>203</v>
      </c>
      <c r="D13" s="135">
        <v>-0.7</v>
      </c>
      <c r="E13" s="136">
        <v>3.8</v>
      </c>
      <c r="F13" s="136">
        <v>5.8</v>
      </c>
      <c r="G13" s="136">
        <v>5.4</v>
      </c>
      <c r="H13" s="137">
        <v>5.0999999999999996</v>
      </c>
      <c r="I13" s="136">
        <v>4.8</v>
      </c>
      <c r="J13" s="138">
        <v>5</v>
      </c>
      <c r="K13" s="138">
        <v>4.7</v>
      </c>
      <c r="L13" s="138">
        <v>4.7</v>
      </c>
      <c r="M13" s="137">
        <v>4.9000000000000004</v>
      </c>
      <c r="N13" s="129"/>
      <c r="O13" s="130">
        <v>8.9</v>
      </c>
      <c r="P13" s="131">
        <v>10.5</v>
      </c>
      <c r="Q13" s="132">
        <v>19.399999999999999</v>
      </c>
      <c r="R13" s="133"/>
      <c r="S13" s="130">
        <v>24.1</v>
      </c>
      <c r="T13" s="134">
        <v>0.24226804123711357</v>
      </c>
    </row>
    <row r="14" spans="1:20" s="104" customFormat="1" ht="29.25" thickBot="1">
      <c r="A14" s="105"/>
      <c r="B14" s="144" t="s">
        <v>207</v>
      </c>
      <c r="C14" s="145" t="s">
        <v>203</v>
      </c>
      <c r="D14" s="146">
        <v>1.3</v>
      </c>
      <c r="E14" s="147">
        <v>-2.8</v>
      </c>
      <c r="F14" s="147">
        <v>-4.0999999999999996</v>
      </c>
      <c r="G14" s="147">
        <v>-4.25</v>
      </c>
      <c r="H14" s="148">
        <v>-4</v>
      </c>
      <c r="I14" s="149">
        <v>-4.0999999999999996</v>
      </c>
      <c r="J14" s="147">
        <v>-4.05</v>
      </c>
      <c r="K14" s="147">
        <v>-3.9</v>
      </c>
      <c r="L14" s="147">
        <v>-3.9</v>
      </c>
      <c r="M14" s="148">
        <v>-3.95</v>
      </c>
      <c r="N14" s="129"/>
      <c r="O14" s="150">
        <v>-5.6000000000000059</v>
      </c>
      <c r="P14" s="151">
        <v>-8.25</v>
      </c>
      <c r="Q14" s="152">
        <v>-13.85</v>
      </c>
      <c r="R14" s="133"/>
      <c r="S14" s="150">
        <v>-19.899999999999999</v>
      </c>
      <c r="T14" s="153">
        <v>0.43682310469314001</v>
      </c>
    </row>
    <row r="15" spans="1:20" s="104" customFormat="1" ht="14.25">
      <c r="A15" s="105"/>
      <c r="B15" s="105"/>
      <c r="C15" s="107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33"/>
      <c r="S15" s="129"/>
      <c r="T15" s="129"/>
    </row>
    <row r="16" spans="1:20" s="104" customFormat="1" ht="15">
      <c r="A16" s="105"/>
      <c r="B16" s="106" t="s">
        <v>208</v>
      </c>
      <c r="C16" s="107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29"/>
      <c r="P16" s="129"/>
      <c r="Q16" s="129"/>
      <c r="R16" s="133"/>
      <c r="S16" s="154"/>
      <c r="T16" s="154"/>
    </row>
    <row r="17" spans="1:20" s="104" customFormat="1" ht="15.75" thickBot="1">
      <c r="A17" s="105"/>
      <c r="B17" s="106"/>
      <c r="C17" s="107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33"/>
      <c r="O17" s="133"/>
      <c r="P17" s="133"/>
      <c r="Q17" s="133"/>
      <c r="R17" s="133"/>
      <c r="S17" s="133"/>
      <c r="T17" s="133"/>
    </row>
    <row r="18" spans="1:20" s="104" customFormat="1" ht="14.25">
      <c r="A18" s="105"/>
      <c r="B18" s="1210"/>
      <c r="C18" s="1212" t="s">
        <v>190</v>
      </c>
      <c r="D18" s="155" t="s">
        <v>191</v>
      </c>
      <c r="E18" s="156"/>
      <c r="F18" s="156"/>
      <c r="G18" s="156"/>
      <c r="H18" s="157"/>
      <c r="I18" s="156" t="s">
        <v>192</v>
      </c>
      <c r="J18" s="158"/>
      <c r="K18" s="158"/>
      <c r="L18" s="158"/>
      <c r="M18" s="157"/>
      <c r="N18" s="133"/>
      <c r="O18" s="133"/>
      <c r="P18" s="133"/>
      <c r="Q18" s="133"/>
      <c r="R18" s="133"/>
      <c r="S18" s="133"/>
      <c r="T18" s="133"/>
    </row>
    <row r="19" spans="1:20" s="104" customFormat="1" ht="14.25">
      <c r="A19" s="105"/>
      <c r="B19" s="1211"/>
      <c r="C19" s="1213"/>
      <c r="D19" s="159" t="s">
        <v>79</v>
      </c>
      <c r="E19" s="160" t="s">
        <v>80</v>
      </c>
      <c r="F19" s="160" t="s">
        <v>81</v>
      </c>
      <c r="G19" s="160" t="s">
        <v>82</v>
      </c>
      <c r="H19" s="161" t="s">
        <v>44</v>
      </c>
      <c r="I19" s="162" t="s">
        <v>193</v>
      </c>
      <c r="J19" s="160" t="s">
        <v>194</v>
      </c>
      <c r="K19" s="160" t="s">
        <v>195</v>
      </c>
      <c r="L19" s="160" t="s">
        <v>196</v>
      </c>
      <c r="M19" s="161" t="s">
        <v>197</v>
      </c>
      <c r="N19" s="133"/>
      <c r="O19" s="133"/>
      <c r="P19" s="133"/>
      <c r="Q19" s="133"/>
      <c r="R19" s="133"/>
      <c r="S19" s="133"/>
      <c r="T19" s="133"/>
    </row>
    <row r="20" spans="1:20" s="104" customFormat="1" ht="15">
      <c r="A20" s="105"/>
      <c r="B20" s="163"/>
      <c r="C20" s="164"/>
      <c r="D20" s="165"/>
      <c r="E20" s="166"/>
      <c r="F20" s="166"/>
      <c r="G20" s="166"/>
      <c r="H20" s="167"/>
      <c r="I20" s="166"/>
      <c r="J20" s="166"/>
      <c r="K20" s="166"/>
      <c r="L20" s="166"/>
      <c r="M20" s="167"/>
      <c r="N20" s="133"/>
      <c r="O20" s="133"/>
      <c r="P20" s="133"/>
      <c r="Q20" s="133"/>
      <c r="R20" s="133"/>
      <c r="S20" s="133"/>
      <c r="T20" s="133"/>
    </row>
    <row r="21" spans="1:20" s="104" customFormat="1" ht="15">
      <c r="A21" s="105"/>
      <c r="B21" s="168" t="s">
        <v>209</v>
      </c>
      <c r="C21" s="124" t="s">
        <v>210</v>
      </c>
      <c r="D21" s="169">
        <v>2248.9503331799997</v>
      </c>
      <c r="E21" s="136">
        <v>2150.7974694199997</v>
      </c>
      <c r="F21" s="136">
        <v>2179.2925999999998</v>
      </c>
      <c r="G21" s="136">
        <v>2157.856080333333</v>
      </c>
      <c r="H21" s="137">
        <v>2157.856080333333</v>
      </c>
      <c r="I21" s="136">
        <v>2179.4346411366664</v>
      </c>
      <c r="J21" s="138">
        <v>2201.2289875480333</v>
      </c>
      <c r="K21" s="138">
        <v>2223.2412774235136</v>
      </c>
      <c r="L21" s="138">
        <v>2245.4736901977485</v>
      </c>
      <c r="M21" s="137">
        <v>2267.9284270997259</v>
      </c>
      <c r="N21" s="133"/>
      <c r="O21" s="133"/>
      <c r="P21" s="133"/>
      <c r="Q21" s="133"/>
      <c r="R21" s="133"/>
      <c r="S21" s="133"/>
      <c r="T21" s="133"/>
    </row>
    <row r="22" spans="1:20" s="104" customFormat="1" ht="15">
      <c r="A22" s="105"/>
      <c r="B22" s="168" t="s">
        <v>987</v>
      </c>
      <c r="C22" s="124" t="s">
        <v>210</v>
      </c>
      <c r="D22" s="135">
        <v>14.9925</v>
      </c>
      <c r="E22" s="136">
        <v>-98.152863759999931</v>
      </c>
      <c r="F22" s="136">
        <v>28.495130580000023</v>
      </c>
      <c r="G22" s="136">
        <v>-21.436519666666754</v>
      </c>
      <c r="H22" s="137">
        <v>0</v>
      </c>
      <c r="I22" s="136">
        <v>21.578560803333403</v>
      </c>
      <c r="J22" s="138">
        <v>21.79434641136686</v>
      </c>
      <c r="K22" s="138">
        <v>22.012289875480292</v>
      </c>
      <c r="L22" s="138">
        <v>22.232412774234945</v>
      </c>
      <c r="M22" s="137">
        <v>22.454736901977412</v>
      </c>
      <c r="N22" s="133"/>
      <c r="O22" s="133"/>
      <c r="P22" s="133"/>
      <c r="Q22" s="133"/>
      <c r="R22" s="133"/>
      <c r="S22" s="133"/>
      <c r="T22" s="133"/>
    </row>
    <row r="23" spans="1:20" s="104" customFormat="1" ht="28.5">
      <c r="A23" s="105"/>
      <c r="B23" s="170" t="s">
        <v>211</v>
      </c>
      <c r="C23" s="124" t="s">
        <v>210</v>
      </c>
      <c r="D23" s="171">
        <v>14.9925</v>
      </c>
      <c r="E23" s="172">
        <v>13.302100000000001</v>
      </c>
      <c r="F23" s="172">
        <v>18.3856</v>
      </c>
      <c r="G23" s="172">
        <v>14.914999999999999</v>
      </c>
      <c r="H23" s="173">
        <v>14.75</v>
      </c>
      <c r="I23" s="172">
        <v>15.8</v>
      </c>
      <c r="J23" s="174">
        <v>17.100000000000001</v>
      </c>
      <c r="K23" s="174">
        <v>18.100000000000001</v>
      </c>
      <c r="L23" s="174">
        <v>18.100000000000001</v>
      </c>
      <c r="M23" s="173">
        <v>18.100000000000001</v>
      </c>
      <c r="N23" s="133"/>
      <c r="O23" s="133"/>
      <c r="P23" s="133"/>
      <c r="Q23" s="133"/>
      <c r="R23" s="133"/>
      <c r="S23" s="133"/>
      <c r="T23" s="133"/>
    </row>
    <row r="24" spans="1:20" s="104" customFormat="1" ht="28.5">
      <c r="A24" s="105"/>
      <c r="B24" s="170" t="s">
        <v>212</v>
      </c>
      <c r="C24" s="124" t="s">
        <v>210</v>
      </c>
      <c r="D24" s="171">
        <v>0</v>
      </c>
      <c r="E24" s="172">
        <v>-0.42820000000000003</v>
      </c>
      <c r="F24" s="172">
        <v>-0.84540000000000004</v>
      </c>
      <c r="G24" s="172">
        <v>-0.47</v>
      </c>
      <c r="H24" s="173">
        <v>-0.44800000000000006</v>
      </c>
      <c r="I24" s="172">
        <v>-0.72</v>
      </c>
      <c r="J24" s="174">
        <v>-0.77500000000000002</v>
      </c>
      <c r="K24" s="174">
        <v>-0.77500000000000002</v>
      </c>
      <c r="L24" s="174">
        <v>-0.77500000000000002</v>
      </c>
      <c r="M24" s="173">
        <v>-0.77500000000000002</v>
      </c>
      <c r="N24" s="133"/>
      <c r="O24" s="133"/>
      <c r="P24" s="133"/>
      <c r="Q24" s="133"/>
      <c r="R24" s="133"/>
      <c r="S24" s="133"/>
      <c r="T24" s="133"/>
    </row>
    <row r="25" spans="1:20" s="104" customFormat="1" ht="28.5">
      <c r="A25" s="105"/>
      <c r="B25" s="170" t="s">
        <v>213</v>
      </c>
      <c r="C25" s="124" t="s">
        <v>210</v>
      </c>
      <c r="D25" s="171">
        <v>0</v>
      </c>
      <c r="E25" s="172">
        <v>-111.02676375999994</v>
      </c>
      <c r="F25" s="172">
        <v>10.954930580000022</v>
      </c>
      <c r="G25" s="172">
        <v>-35.881519666666755</v>
      </c>
      <c r="H25" s="173">
        <v>-14.302</v>
      </c>
      <c r="I25" s="172">
        <v>6.4985608033334019</v>
      </c>
      <c r="J25" s="174">
        <v>5.4693464113668586</v>
      </c>
      <c r="K25" s="174">
        <v>4.6872898754802907</v>
      </c>
      <c r="L25" s="174">
        <v>4.9074127742349436</v>
      </c>
      <c r="M25" s="173">
        <v>5.1297369019774113</v>
      </c>
      <c r="N25" s="133"/>
      <c r="O25" s="133"/>
      <c r="P25" s="133"/>
      <c r="Q25" s="133"/>
      <c r="R25" s="133"/>
      <c r="S25" s="133"/>
      <c r="T25" s="133"/>
    </row>
    <row r="26" spans="1:20" s="104" customFormat="1" ht="15">
      <c r="A26" s="105"/>
      <c r="B26" s="163"/>
      <c r="C26" s="175"/>
      <c r="D26" s="176"/>
      <c r="E26" s="177"/>
      <c r="F26" s="177"/>
      <c r="G26" s="177"/>
      <c r="H26" s="178"/>
      <c r="I26" s="177"/>
      <c r="J26" s="177"/>
      <c r="K26" s="177"/>
      <c r="L26" s="177"/>
      <c r="M26" s="178"/>
      <c r="N26" s="133"/>
      <c r="O26" s="133"/>
      <c r="P26" s="133"/>
      <c r="Q26" s="133"/>
      <c r="R26" s="133"/>
      <c r="S26" s="133"/>
      <c r="T26" s="133"/>
    </row>
    <row r="27" spans="1:20" s="104" customFormat="1" ht="15">
      <c r="A27" s="105"/>
      <c r="B27" s="168" t="s">
        <v>214</v>
      </c>
      <c r="C27" s="124" t="s">
        <v>215</v>
      </c>
      <c r="D27" s="169">
        <v>13175.31223220985</v>
      </c>
      <c r="E27" s="136">
        <v>12752.515874775498</v>
      </c>
      <c r="F27" s="136">
        <v>12653.150485799997</v>
      </c>
      <c r="G27" s="136">
        <v>12355.350485799998</v>
      </c>
      <c r="H27" s="137">
        <v>12355.350485799998</v>
      </c>
      <c r="I27" s="136">
        <v>12478.904140633249</v>
      </c>
      <c r="J27" s="138">
        <v>12603.693332014831</v>
      </c>
      <c r="K27" s="138">
        <v>12729.730415310229</v>
      </c>
      <c r="L27" s="138">
        <v>12857.027869438582</v>
      </c>
      <c r="M27" s="137">
        <v>12985.598298108218</v>
      </c>
      <c r="N27" s="133"/>
      <c r="O27" s="133"/>
      <c r="P27" s="133"/>
      <c r="Q27" s="133"/>
      <c r="R27" s="133"/>
      <c r="S27" s="133"/>
      <c r="T27" s="133"/>
    </row>
    <row r="28" spans="1:20" s="104" customFormat="1" ht="30">
      <c r="A28" s="105"/>
      <c r="B28" s="179" t="s">
        <v>988</v>
      </c>
      <c r="C28" s="124" t="s">
        <v>215</v>
      </c>
      <c r="D28" s="135">
        <v>56.017452167050578</v>
      </c>
      <c r="E28" s="136">
        <v>-422.7963574343521</v>
      </c>
      <c r="F28" s="136">
        <v>-99.365388975500537</v>
      </c>
      <c r="G28" s="136">
        <v>-297.8</v>
      </c>
      <c r="H28" s="137">
        <v>0</v>
      </c>
      <c r="I28" s="136">
        <v>123.55365483325113</v>
      </c>
      <c r="J28" s="138">
        <v>124.78919138158199</v>
      </c>
      <c r="K28" s="138">
        <v>126.03708329539768</v>
      </c>
      <c r="L28" s="138">
        <v>127.29745412835291</v>
      </c>
      <c r="M28" s="137">
        <v>128.57042866963639</v>
      </c>
      <c r="N28" s="133"/>
      <c r="O28" s="133"/>
      <c r="P28" s="133"/>
      <c r="Q28" s="133"/>
      <c r="R28" s="133"/>
      <c r="S28" s="133"/>
      <c r="T28" s="133"/>
    </row>
    <row r="29" spans="1:20" s="104" customFormat="1" ht="28.5">
      <c r="A29" s="105"/>
      <c r="B29" s="180" t="s">
        <v>216</v>
      </c>
      <c r="C29" s="124" t="s">
        <v>215</v>
      </c>
      <c r="D29" s="171">
        <v>56.017452167050578</v>
      </c>
      <c r="E29" s="172">
        <v>-422.7963574343521</v>
      </c>
      <c r="F29" s="172">
        <v>-99.365388975500537</v>
      </c>
      <c r="G29" s="172">
        <v>-171.3</v>
      </c>
      <c r="H29" s="173">
        <v>123.6</v>
      </c>
      <c r="I29" s="172">
        <v>123.55365483325113</v>
      </c>
      <c r="J29" s="174">
        <v>124.78919138158199</v>
      </c>
      <c r="K29" s="174">
        <v>126.03708329539768</v>
      </c>
      <c r="L29" s="174">
        <v>127.29745412835291</v>
      </c>
      <c r="M29" s="173">
        <v>128.57042866963639</v>
      </c>
      <c r="N29" s="133"/>
      <c r="O29" s="133"/>
      <c r="P29" s="133"/>
      <c r="Q29" s="133"/>
      <c r="R29" s="133"/>
      <c r="S29" s="133"/>
      <c r="T29" s="133"/>
    </row>
    <row r="30" spans="1:20" s="104" customFormat="1" ht="28.5">
      <c r="A30" s="105"/>
      <c r="B30" s="180" t="s">
        <v>217</v>
      </c>
      <c r="C30" s="124" t="s">
        <v>215</v>
      </c>
      <c r="D30" s="171">
        <v>0</v>
      </c>
      <c r="E30" s="172">
        <v>0</v>
      </c>
      <c r="F30" s="172">
        <v>0</v>
      </c>
      <c r="G30" s="172">
        <v>0</v>
      </c>
      <c r="H30" s="173">
        <v>0</v>
      </c>
      <c r="I30" s="172">
        <v>0</v>
      </c>
      <c r="J30" s="174">
        <v>0</v>
      </c>
      <c r="K30" s="174">
        <v>0</v>
      </c>
      <c r="L30" s="174">
        <v>0</v>
      </c>
      <c r="M30" s="173">
        <v>0</v>
      </c>
      <c r="N30" s="133"/>
      <c r="O30" s="133"/>
      <c r="P30" s="133"/>
      <c r="Q30" s="133"/>
      <c r="R30" s="133"/>
      <c r="S30" s="133"/>
      <c r="T30" s="133"/>
    </row>
    <row r="31" spans="1:20" s="104" customFormat="1" ht="14.25">
      <c r="A31" s="105"/>
      <c r="B31" s="180" t="s">
        <v>218</v>
      </c>
      <c r="C31" s="124" t="s">
        <v>215</v>
      </c>
      <c r="D31" s="171">
        <v>0</v>
      </c>
      <c r="E31" s="172">
        <v>0</v>
      </c>
      <c r="F31" s="172">
        <v>0</v>
      </c>
      <c r="G31" s="172">
        <v>0</v>
      </c>
      <c r="H31" s="173">
        <v>0</v>
      </c>
      <c r="I31" s="172">
        <v>0</v>
      </c>
      <c r="J31" s="174">
        <v>0</v>
      </c>
      <c r="K31" s="174">
        <v>0</v>
      </c>
      <c r="L31" s="174">
        <v>0</v>
      </c>
      <c r="M31" s="173">
        <v>0</v>
      </c>
      <c r="N31" s="133"/>
      <c r="O31" s="133"/>
      <c r="P31" s="133"/>
      <c r="Q31" s="133"/>
      <c r="R31" s="133"/>
      <c r="S31" s="133"/>
      <c r="T31" s="133"/>
    </row>
    <row r="32" spans="1:20" s="104" customFormat="1" ht="14.25">
      <c r="A32" s="105"/>
      <c r="B32" s="180" t="s">
        <v>219</v>
      </c>
      <c r="C32" s="124" t="s">
        <v>215</v>
      </c>
      <c r="D32" s="171">
        <v>0</v>
      </c>
      <c r="E32" s="172">
        <v>0</v>
      </c>
      <c r="F32" s="172">
        <v>0</v>
      </c>
      <c r="G32" s="172">
        <v>0</v>
      </c>
      <c r="H32" s="173">
        <v>0</v>
      </c>
      <c r="I32" s="172">
        <v>0</v>
      </c>
      <c r="J32" s="174">
        <v>0</v>
      </c>
      <c r="K32" s="174">
        <v>0</v>
      </c>
      <c r="L32" s="174">
        <v>0</v>
      </c>
      <c r="M32" s="173">
        <v>0</v>
      </c>
      <c r="N32" s="133"/>
      <c r="O32" s="133"/>
      <c r="P32" s="133"/>
      <c r="Q32" s="133"/>
      <c r="R32" s="133"/>
      <c r="S32" s="133"/>
      <c r="T32" s="133"/>
    </row>
    <row r="33" spans="1:20" s="104" customFormat="1" ht="14.25">
      <c r="A33" s="105"/>
      <c r="B33" s="180" t="s">
        <v>220</v>
      </c>
      <c r="C33" s="124" t="s">
        <v>215</v>
      </c>
      <c r="D33" s="171">
        <v>0</v>
      </c>
      <c r="E33" s="172">
        <v>0</v>
      </c>
      <c r="F33" s="172">
        <v>0</v>
      </c>
      <c r="G33" s="172">
        <v>0</v>
      </c>
      <c r="H33" s="173">
        <v>0</v>
      </c>
      <c r="I33" s="172">
        <v>0</v>
      </c>
      <c r="J33" s="174">
        <v>0</v>
      </c>
      <c r="K33" s="174">
        <v>0</v>
      </c>
      <c r="L33" s="174">
        <v>0</v>
      </c>
      <c r="M33" s="173">
        <v>0</v>
      </c>
      <c r="N33" s="133"/>
      <c r="O33" s="133"/>
      <c r="P33" s="133"/>
      <c r="Q33" s="133"/>
      <c r="R33" s="133"/>
      <c r="S33" s="133"/>
      <c r="T33" s="133"/>
    </row>
    <row r="34" spans="1:20" s="104" customFormat="1" ht="28.5">
      <c r="A34" s="105"/>
      <c r="B34" s="180" t="s">
        <v>221</v>
      </c>
      <c r="C34" s="124" t="s">
        <v>215</v>
      </c>
      <c r="D34" s="171">
        <v>0</v>
      </c>
      <c r="E34" s="172">
        <v>0</v>
      </c>
      <c r="F34" s="172">
        <v>0</v>
      </c>
      <c r="G34" s="172">
        <v>-126.5</v>
      </c>
      <c r="H34" s="173">
        <v>-123.6</v>
      </c>
      <c r="I34" s="172">
        <v>0</v>
      </c>
      <c r="J34" s="174">
        <v>0</v>
      </c>
      <c r="K34" s="174">
        <v>0</v>
      </c>
      <c r="L34" s="174">
        <v>0</v>
      </c>
      <c r="M34" s="173">
        <v>0</v>
      </c>
      <c r="N34" s="133"/>
      <c r="O34" s="133"/>
      <c r="P34" s="133"/>
      <c r="Q34" s="133"/>
      <c r="R34" s="133"/>
      <c r="S34" s="133"/>
      <c r="T34" s="133"/>
    </row>
    <row r="35" spans="1:20" s="104" customFormat="1" ht="15">
      <c r="A35" s="105"/>
      <c r="B35" s="163"/>
      <c r="C35" s="175"/>
      <c r="D35" s="181"/>
      <c r="E35" s="182"/>
      <c r="F35" s="182"/>
      <c r="G35" s="182"/>
      <c r="H35" s="183"/>
      <c r="I35" s="182"/>
      <c r="J35" s="182"/>
      <c r="K35" s="182"/>
      <c r="L35" s="182"/>
      <c r="M35" s="183"/>
      <c r="N35" s="133"/>
      <c r="O35" s="133"/>
      <c r="P35" s="133"/>
      <c r="Q35" s="133"/>
      <c r="R35" s="133"/>
      <c r="S35" s="133"/>
      <c r="T35" s="133"/>
    </row>
    <row r="36" spans="1:20" s="104" customFormat="1" ht="15">
      <c r="A36" s="105"/>
      <c r="B36" s="168" t="s">
        <v>214</v>
      </c>
      <c r="C36" s="124"/>
      <c r="D36" s="184"/>
      <c r="E36" s="185"/>
      <c r="F36" s="185"/>
      <c r="G36" s="185"/>
      <c r="H36" s="186"/>
      <c r="I36" s="185"/>
      <c r="J36" s="185"/>
      <c r="K36" s="185"/>
      <c r="L36" s="185"/>
      <c r="M36" s="186"/>
      <c r="N36" s="133"/>
      <c r="O36" s="133"/>
      <c r="P36" s="133"/>
      <c r="Q36" s="133"/>
      <c r="R36" s="133"/>
      <c r="S36" s="133"/>
      <c r="T36" s="133"/>
    </row>
    <row r="37" spans="1:20" s="104" customFormat="1" ht="14.25">
      <c r="A37" s="105"/>
      <c r="B37" s="170" t="s">
        <v>222</v>
      </c>
      <c r="C37" s="124" t="s">
        <v>215</v>
      </c>
      <c r="D37" s="171">
        <v>7428.8729010000015</v>
      </c>
      <c r="E37" s="172">
        <v>7245.3084919999992</v>
      </c>
      <c r="F37" s="172">
        <v>7216.2041944999992</v>
      </c>
      <c r="G37" s="172">
        <v>7288.3662364449992</v>
      </c>
      <c r="H37" s="173">
        <v>7288.3662364449992</v>
      </c>
      <c r="I37" s="172">
        <v>7361.2498988094494</v>
      </c>
      <c r="J37" s="174">
        <v>7434.862397797544</v>
      </c>
      <c r="K37" s="174">
        <v>7509.2110217755198</v>
      </c>
      <c r="L37" s="174">
        <v>7584.3031319932752</v>
      </c>
      <c r="M37" s="173">
        <v>7660.1461633132076</v>
      </c>
      <c r="N37" s="133"/>
      <c r="O37" s="133"/>
      <c r="P37" s="133"/>
      <c r="Q37" s="133"/>
      <c r="R37" s="133"/>
      <c r="S37" s="133"/>
      <c r="T37" s="133"/>
    </row>
    <row r="38" spans="1:20" s="104" customFormat="1" ht="14.25">
      <c r="A38" s="105"/>
      <c r="B38" s="170" t="s">
        <v>223</v>
      </c>
      <c r="C38" s="124" t="s">
        <v>215</v>
      </c>
      <c r="D38" s="171">
        <v>2674.8896592833335</v>
      </c>
      <c r="E38" s="172">
        <v>2491.1796430000004</v>
      </c>
      <c r="F38" s="172">
        <v>2482.1083529999996</v>
      </c>
      <c r="G38" s="172">
        <v>2407.6451024099997</v>
      </c>
      <c r="H38" s="173">
        <v>2407.6451024099997</v>
      </c>
      <c r="I38" s="172">
        <v>2431.7215534340999</v>
      </c>
      <c r="J38" s="174">
        <v>2456.0387689684408</v>
      </c>
      <c r="K38" s="174">
        <v>2480.5991566581251</v>
      </c>
      <c r="L38" s="174">
        <v>2505.4051482247064</v>
      </c>
      <c r="M38" s="173">
        <v>2530.4591997069533</v>
      </c>
      <c r="N38" s="133"/>
      <c r="O38" s="133"/>
      <c r="P38" s="133"/>
      <c r="Q38" s="133"/>
      <c r="R38" s="133"/>
      <c r="S38" s="133"/>
      <c r="T38" s="133"/>
    </row>
    <row r="39" spans="1:20" s="104" customFormat="1" ht="14.25">
      <c r="A39" s="105"/>
      <c r="B39" s="170" t="s">
        <v>224</v>
      </c>
      <c r="C39" s="124" t="s">
        <v>215</v>
      </c>
      <c r="D39" s="171">
        <v>3071.5496719265129</v>
      </c>
      <c r="E39" s="172">
        <v>3016.0277397754976</v>
      </c>
      <c r="F39" s="172">
        <v>2954.8379382999997</v>
      </c>
      <c r="G39" s="172">
        <v>2659.3541444699999</v>
      </c>
      <c r="H39" s="173">
        <v>2659.3541444699999</v>
      </c>
      <c r="I39" s="172">
        <v>2685.9476859146998</v>
      </c>
      <c r="J39" s="174">
        <v>2712.8071627738468</v>
      </c>
      <c r="K39" s="174">
        <v>2739.9352344015851</v>
      </c>
      <c r="L39" s="174">
        <v>2767.334586745601</v>
      </c>
      <c r="M39" s="173">
        <v>2795.0079326130572</v>
      </c>
      <c r="N39" s="133"/>
      <c r="O39" s="133"/>
      <c r="P39" s="133"/>
      <c r="Q39" s="133"/>
      <c r="R39" s="133"/>
      <c r="S39" s="133"/>
      <c r="T39" s="133"/>
    </row>
    <row r="40" spans="1:20" s="104" customFormat="1" ht="15">
      <c r="A40" s="105"/>
      <c r="B40" s="168" t="s">
        <v>225</v>
      </c>
      <c r="C40" s="124" t="s">
        <v>215</v>
      </c>
      <c r="D40" s="140">
        <v>13175.31223220985</v>
      </c>
      <c r="E40" s="143">
        <v>12752.515874775498</v>
      </c>
      <c r="F40" s="143">
        <v>12653.150485799997</v>
      </c>
      <c r="G40" s="143">
        <v>12355.365483324998</v>
      </c>
      <c r="H40" s="142">
        <v>12355.365483324998</v>
      </c>
      <c r="I40" s="143">
        <v>12478.91913815825</v>
      </c>
      <c r="J40" s="141">
        <v>12603.708329539832</v>
      </c>
      <c r="K40" s="141">
        <v>12729.745412835229</v>
      </c>
      <c r="L40" s="141">
        <v>12857.042866963582</v>
      </c>
      <c r="M40" s="142">
        <v>12985.613295633219</v>
      </c>
      <c r="N40" s="133"/>
      <c r="O40" s="133"/>
      <c r="P40" s="133"/>
      <c r="Q40" s="133"/>
      <c r="R40" s="133"/>
      <c r="S40" s="133"/>
      <c r="T40" s="133"/>
    </row>
    <row r="41" spans="1:20" s="104" customFormat="1" ht="15">
      <c r="A41" s="105"/>
      <c r="B41" s="179"/>
      <c r="C41" s="124"/>
      <c r="D41" s="176"/>
      <c r="E41" s="177"/>
      <c r="F41" s="177"/>
      <c r="G41" s="177"/>
      <c r="H41" s="178"/>
      <c r="I41" s="177"/>
      <c r="J41" s="177"/>
      <c r="K41" s="177"/>
      <c r="L41" s="177"/>
      <c r="M41" s="178"/>
      <c r="N41" s="133"/>
      <c r="O41" s="133"/>
      <c r="P41" s="133"/>
      <c r="Q41" s="133"/>
      <c r="R41" s="133"/>
      <c r="S41" s="133"/>
      <c r="T41" s="133"/>
    </row>
    <row r="42" spans="1:20" s="104" customFormat="1" ht="45">
      <c r="A42" s="105"/>
      <c r="B42" s="179" t="s">
        <v>226</v>
      </c>
      <c r="C42" s="124"/>
      <c r="D42" s="184"/>
      <c r="E42" s="185"/>
      <c r="F42" s="185"/>
      <c r="G42" s="185"/>
      <c r="H42" s="186"/>
      <c r="I42" s="185"/>
      <c r="J42" s="185"/>
      <c r="K42" s="185"/>
      <c r="L42" s="185"/>
      <c r="M42" s="186"/>
      <c r="N42" s="133"/>
      <c r="O42" s="133"/>
      <c r="P42" s="133"/>
      <c r="Q42" s="133"/>
      <c r="R42" s="133"/>
      <c r="S42" s="133"/>
      <c r="T42" s="133"/>
    </row>
    <row r="43" spans="1:20" s="104" customFormat="1" ht="14.25">
      <c r="A43" s="105"/>
      <c r="B43" s="170" t="s">
        <v>222</v>
      </c>
      <c r="C43" s="124" t="s">
        <v>227</v>
      </c>
      <c r="D43" s="171">
        <v>37362.5</v>
      </c>
      <c r="E43" s="172">
        <v>38496.5</v>
      </c>
      <c r="F43" s="172">
        <v>42462</v>
      </c>
      <c r="G43" s="172">
        <v>31500</v>
      </c>
      <c r="H43" s="173">
        <v>30345</v>
      </c>
      <c r="I43" s="172">
        <v>28000</v>
      </c>
      <c r="J43" s="174">
        <v>27125</v>
      </c>
      <c r="K43" s="174">
        <v>24675</v>
      </c>
      <c r="L43" s="174">
        <v>24675</v>
      </c>
      <c r="M43" s="173">
        <v>24675</v>
      </c>
      <c r="N43" s="133"/>
      <c r="O43" s="133"/>
      <c r="P43" s="133"/>
      <c r="Q43" s="133"/>
      <c r="R43" s="133"/>
      <c r="S43" s="133"/>
      <c r="T43" s="133"/>
    </row>
    <row r="44" spans="1:20" s="104" customFormat="1" ht="14.25">
      <c r="A44" s="105"/>
      <c r="B44" s="170" t="s">
        <v>223</v>
      </c>
      <c r="C44" s="124" t="s">
        <v>227</v>
      </c>
      <c r="D44" s="171">
        <v>28470</v>
      </c>
      <c r="E44" s="172">
        <v>5255</v>
      </c>
      <c r="F44" s="172">
        <v>37230</v>
      </c>
      <c r="G44" s="172">
        <v>30660</v>
      </c>
      <c r="H44" s="173">
        <v>30660</v>
      </c>
      <c r="I44" s="172">
        <v>32850</v>
      </c>
      <c r="J44" s="174">
        <v>39420</v>
      </c>
      <c r="K44" s="174">
        <v>48180</v>
      </c>
      <c r="L44" s="174">
        <v>48180</v>
      </c>
      <c r="M44" s="173">
        <v>48180</v>
      </c>
      <c r="N44" s="133"/>
      <c r="O44" s="133"/>
      <c r="P44" s="133"/>
      <c r="Q44" s="133"/>
      <c r="R44" s="133"/>
      <c r="S44" s="133"/>
      <c r="T44" s="133"/>
    </row>
    <row r="45" spans="1:20" s="104" customFormat="1" ht="14.25">
      <c r="A45" s="105"/>
      <c r="B45" s="170" t="s">
        <v>224</v>
      </c>
      <c r="C45" s="124" t="s">
        <v>227</v>
      </c>
      <c r="D45" s="171">
        <v>0</v>
      </c>
      <c r="E45" s="172">
        <v>0</v>
      </c>
      <c r="F45" s="172">
        <v>30000</v>
      </c>
      <c r="G45" s="172">
        <v>89000</v>
      </c>
      <c r="H45" s="173">
        <v>0</v>
      </c>
      <c r="I45" s="172">
        <v>0</v>
      </c>
      <c r="J45" s="174">
        <v>20000</v>
      </c>
      <c r="K45" s="174">
        <v>20000</v>
      </c>
      <c r="L45" s="174">
        <v>0</v>
      </c>
      <c r="M45" s="173">
        <v>20000</v>
      </c>
      <c r="N45" s="133"/>
      <c r="O45" s="133"/>
      <c r="P45" s="133"/>
      <c r="Q45" s="133"/>
      <c r="R45" s="133"/>
      <c r="S45" s="133"/>
      <c r="T45" s="133"/>
    </row>
    <row r="46" spans="1:20" s="104" customFormat="1" ht="30.75" thickBot="1">
      <c r="A46" s="105"/>
      <c r="B46" s="187" t="s">
        <v>228</v>
      </c>
      <c r="C46" s="145" t="s">
        <v>227</v>
      </c>
      <c r="D46" s="146">
        <v>65832.5</v>
      </c>
      <c r="E46" s="149">
        <v>43751.5</v>
      </c>
      <c r="F46" s="149">
        <v>109692</v>
      </c>
      <c r="G46" s="149">
        <v>151160</v>
      </c>
      <c r="H46" s="148">
        <v>61005</v>
      </c>
      <c r="I46" s="149">
        <v>60850</v>
      </c>
      <c r="J46" s="147">
        <v>86545</v>
      </c>
      <c r="K46" s="147">
        <v>92855</v>
      </c>
      <c r="L46" s="147">
        <v>72855</v>
      </c>
      <c r="M46" s="148">
        <v>92855</v>
      </c>
      <c r="N46" s="188"/>
      <c r="O46" s="133"/>
      <c r="P46" s="133"/>
      <c r="Q46" s="133"/>
      <c r="R46" s="133"/>
      <c r="S46" s="133"/>
      <c r="T46" s="133"/>
    </row>
    <row r="47" spans="1:20" s="104" customFormat="1" ht="14.25">
      <c r="A47" s="108"/>
      <c r="B47" s="108"/>
      <c r="C47" s="108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</row>
    <row r="48" spans="1:20" s="104" customFormat="1" ht="14.25">
      <c r="A48" s="105"/>
      <c r="B48" s="105"/>
      <c r="C48" s="107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33"/>
      <c r="O48" s="133"/>
      <c r="P48" s="133"/>
      <c r="Q48" s="133"/>
      <c r="R48" s="133"/>
      <c r="S48" s="133"/>
      <c r="T48" s="133"/>
    </row>
    <row r="49" spans="1:20" s="104" customFormat="1" ht="15">
      <c r="A49" s="105"/>
      <c r="B49" s="106" t="s">
        <v>229</v>
      </c>
      <c r="C49" s="107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33"/>
      <c r="O49" s="133"/>
      <c r="P49" s="133"/>
      <c r="Q49" s="133"/>
      <c r="R49" s="133"/>
      <c r="S49" s="133"/>
      <c r="T49" s="133"/>
    </row>
    <row r="50" spans="1:20" s="104" customFormat="1" ht="15.75" thickBot="1">
      <c r="A50" s="105"/>
      <c r="B50" s="106"/>
      <c r="C50" s="107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33"/>
      <c r="O50" s="133"/>
      <c r="P50" s="133"/>
      <c r="Q50" s="133"/>
      <c r="R50" s="133"/>
      <c r="S50" s="133"/>
      <c r="T50" s="133"/>
    </row>
    <row r="51" spans="1:20" s="104" customFormat="1" ht="14.25">
      <c r="A51" s="105"/>
      <c r="B51" s="1210"/>
      <c r="C51" s="1212" t="s">
        <v>190</v>
      </c>
      <c r="D51" s="155" t="s">
        <v>191</v>
      </c>
      <c r="E51" s="156"/>
      <c r="F51" s="156"/>
      <c r="G51" s="156"/>
      <c r="H51" s="157"/>
      <c r="I51" s="156" t="s">
        <v>192</v>
      </c>
      <c r="J51" s="158"/>
      <c r="K51" s="158"/>
      <c r="L51" s="158"/>
      <c r="M51" s="157"/>
      <c r="N51" s="133"/>
      <c r="O51" s="133"/>
      <c r="P51" s="133"/>
      <c r="Q51" s="133"/>
      <c r="R51" s="133"/>
      <c r="S51" s="133"/>
      <c r="T51" s="133"/>
    </row>
    <row r="52" spans="1:20" s="104" customFormat="1" ht="14.25">
      <c r="A52" s="105"/>
      <c r="B52" s="1211"/>
      <c r="C52" s="1213"/>
      <c r="D52" s="159" t="s">
        <v>79</v>
      </c>
      <c r="E52" s="160" t="s">
        <v>80</v>
      </c>
      <c r="F52" s="160" t="s">
        <v>81</v>
      </c>
      <c r="G52" s="160" t="s">
        <v>82</v>
      </c>
      <c r="H52" s="161" t="s">
        <v>44</v>
      </c>
      <c r="I52" s="162" t="s">
        <v>193</v>
      </c>
      <c r="J52" s="160" t="s">
        <v>194</v>
      </c>
      <c r="K52" s="160" t="s">
        <v>195</v>
      </c>
      <c r="L52" s="160" t="s">
        <v>196</v>
      </c>
      <c r="M52" s="161" t="s">
        <v>197</v>
      </c>
      <c r="N52" s="133"/>
      <c r="O52" s="133"/>
      <c r="P52" s="133"/>
      <c r="Q52" s="133"/>
      <c r="R52" s="133"/>
      <c r="S52" s="133"/>
      <c r="T52" s="133"/>
    </row>
    <row r="53" spans="1:20" s="104" customFormat="1" ht="15">
      <c r="A53" s="105"/>
      <c r="B53" s="189" t="s">
        <v>230</v>
      </c>
      <c r="C53" s="190"/>
      <c r="D53" s="191"/>
      <c r="E53" s="192"/>
      <c r="F53" s="192"/>
      <c r="G53" s="192"/>
      <c r="H53" s="193"/>
      <c r="I53" s="177"/>
      <c r="J53" s="177"/>
      <c r="K53" s="177"/>
      <c r="L53" s="177"/>
      <c r="M53" s="178"/>
      <c r="N53" s="194"/>
      <c r="O53" s="133"/>
      <c r="P53" s="133"/>
      <c r="Q53" s="133"/>
      <c r="R53" s="133"/>
      <c r="S53" s="133"/>
      <c r="T53" s="133"/>
    </row>
    <row r="54" spans="1:20" s="104" customFormat="1" ht="30">
      <c r="A54" s="105"/>
      <c r="B54" s="168" t="s">
        <v>231</v>
      </c>
      <c r="C54" s="195"/>
      <c r="D54" s="196"/>
      <c r="E54" s="197"/>
      <c r="F54" s="197"/>
      <c r="G54" s="197"/>
      <c r="H54" s="198"/>
      <c r="I54" s="182"/>
      <c r="J54" s="182"/>
      <c r="K54" s="182"/>
      <c r="L54" s="182"/>
      <c r="M54" s="183"/>
      <c r="N54" s="194"/>
      <c r="O54" s="133"/>
      <c r="P54" s="133"/>
      <c r="Q54" s="133"/>
      <c r="R54" s="133"/>
      <c r="S54" s="133"/>
      <c r="T54" s="133"/>
    </row>
    <row r="55" spans="1:20" s="104" customFormat="1" ht="14.25">
      <c r="A55" s="105"/>
      <c r="B55" s="170" t="s">
        <v>232</v>
      </c>
      <c r="C55" s="195" t="s">
        <v>233</v>
      </c>
      <c r="D55" s="199">
        <v>0</v>
      </c>
      <c r="E55" s="200">
        <v>0</v>
      </c>
      <c r="F55" s="200">
        <v>7</v>
      </c>
      <c r="G55" s="200">
        <v>2</v>
      </c>
      <c r="H55" s="201">
        <v>4</v>
      </c>
      <c r="I55" s="200">
        <v>8</v>
      </c>
      <c r="J55" s="202">
        <v>10</v>
      </c>
      <c r="K55" s="202">
        <v>12</v>
      </c>
      <c r="L55" s="202">
        <v>12</v>
      </c>
      <c r="M55" s="201">
        <v>12</v>
      </c>
      <c r="N55" s="133"/>
      <c r="O55" s="133"/>
      <c r="P55" s="133"/>
      <c r="Q55" s="133"/>
      <c r="R55" s="133"/>
      <c r="S55" s="133"/>
      <c r="T55" s="133"/>
    </row>
    <row r="56" spans="1:20" s="104" customFormat="1" ht="14.25">
      <c r="A56" s="105"/>
      <c r="B56" s="170" t="s">
        <v>234</v>
      </c>
      <c r="C56" s="195" t="s">
        <v>233</v>
      </c>
      <c r="D56" s="199">
        <v>10675</v>
      </c>
      <c r="E56" s="200">
        <v>11161</v>
      </c>
      <c r="F56" s="200">
        <v>10696</v>
      </c>
      <c r="G56" s="200">
        <v>9200</v>
      </c>
      <c r="H56" s="201">
        <v>8850</v>
      </c>
      <c r="I56" s="200">
        <v>8200</v>
      </c>
      <c r="J56" s="202">
        <v>8000</v>
      </c>
      <c r="K56" s="202">
        <v>7300</v>
      </c>
      <c r="L56" s="202">
        <v>7300</v>
      </c>
      <c r="M56" s="201">
        <v>7300</v>
      </c>
      <c r="N56" s="133"/>
      <c r="O56" s="133"/>
      <c r="P56" s="133"/>
      <c r="Q56" s="133"/>
      <c r="R56" s="133"/>
      <c r="S56" s="133"/>
      <c r="T56" s="133"/>
    </row>
    <row r="57" spans="1:20" s="104" customFormat="1" ht="14.25">
      <c r="A57" s="105"/>
      <c r="B57" s="170" t="s">
        <v>235</v>
      </c>
      <c r="C57" s="195" t="s">
        <v>233</v>
      </c>
      <c r="D57" s="199" t="s">
        <v>937</v>
      </c>
      <c r="E57" s="200">
        <v>162</v>
      </c>
      <c r="F57" s="200">
        <v>314</v>
      </c>
      <c r="G57" s="200">
        <v>200</v>
      </c>
      <c r="H57" s="201">
        <v>180</v>
      </c>
      <c r="I57" s="200">
        <v>200</v>
      </c>
      <c r="J57" s="202">
        <v>250</v>
      </c>
      <c r="K57" s="202">
        <v>250</v>
      </c>
      <c r="L57" s="202">
        <v>250</v>
      </c>
      <c r="M57" s="201">
        <v>250</v>
      </c>
      <c r="N57" s="133"/>
      <c r="O57" s="133"/>
      <c r="P57" s="133"/>
      <c r="Q57" s="133"/>
      <c r="R57" s="133"/>
      <c r="S57" s="133"/>
      <c r="T57" s="133"/>
    </row>
    <row r="58" spans="1:20" s="104" customFormat="1" ht="30">
      <c r="A58" s="105"/>
      <c r="B58" s="168" t="s">
        <v>236</v>
      </c>
      <c r="C58" s="195"/>
      <c r="D58" s="203"/>
      <c r="E58" s="204"/>
      <c r="F58" s="204"/>
      <c r="G58" s="204"/>
      <c r="H58" s="205"/>
      <c r="I58" s="206"/>
      <c r="J58" s="206"/>
      <c r="K58" s="206"/>
      <c r="L58" s="206"/>
      <c r="M58" s="207"/>
      <c r="N58" s="194"/>
      <c r="O58" s="133"/>
      <c r="P58" s="133"/>
      <c r="Q58" s="133"/>
      <c r="R58" s="133"/>
      <c r="S58" s="133"/>
      <c r="T58" s="133"/>
    </row>
    <row r="59" spans="1:20" s="104" customFormat="1" ht="14.25">
      <c r="A59" s="105"/>
      <c r="B59" s="170" t="s">
        <v>232</v>
      </c>
      <c r="C59" s="195" t="s">
        <v>233</v>
      </c>
      <c r="D59" s="199">
        <v>0</v>
      </c>
      <c r="E59" s="200">
        <v>1</v>
      </c>
      <c r="F59" s="200">
        <v>4</v>
      </c>
      <c r="G59" s="200">
        <v>3</v>
      </c>
      <c r="H59" s="201">
        <v>3</v>
      </c>
      <c r="I59" s="200">
        <v>6</v>
      </c>
      <c r="J59" s="202">
        <v>8</v>
      </c>
      <c r="K59" s="202">
        <v>10</v>
      </c>
      <c r="L59" s="202">
        <v>10</v>
      </c>
      <c r="M59" s="201">
        <v>10</v>
      </c>
      <c r="N59" s="133"/>
      <c r="O59" s="133"/>
      <c r="P59" s="133"/>
      <c r="Q59" s="133"/>
      <c r="R59" s="133"/>
      <c r="S59" s="133"/>
      <c r="T59" s="133"/>
    </row>
    <row r="60" spans="1:20" s="104" customFormat="1" ht="14.25">
      <c r="A60" s="105"/>
      <c r="B60" s="170" t="s">
        <v>234</v>
      </c>
      <c r="C60" s="195" t="s">
        <v>233</v>
      </c>
      <c r="D60" s="199">
        <v>13</v>
      </c>
      <c r="E60" s="200">
        <v>3</v>
      </c>
      <c r="F60" s="200">
        <v>19</v>
      </c>
      <c r="G60" s="200">
        <v>15</v>
      </c>
      <c r="H60" s="201">
        <v>15</v>
      </c>
      <c r="I60" s="200">
        <v>17</v>
      </c>
      <c r="J60" s="202">
        <v>20</v>
      </c>
      <c r="K60" s="202">
        <v>24</v>
      </c>
      <c r="L60" s="202">
        <v>24</v>
      </c>
      <c r="M60" s="201">
        <v>24</v>
      </c>
      <c r="N60" s="133"/>
      <c r="O60" s="133"/>
      <c r="P60" s="133"/>
      <c r="Q60" s="133"/>
      <c r="R60" s="133"/>
      <c r="S60" s="133"/>
      <c r="T60" s="133"/>
    </row>
    <row r="61" spans="1:20" s="104" customFormat="1" ht="14.25">
      <c r="A61" s="105"/>
      <c r="B61" s="170" t="s">
        <v>235</v>
      </c>
      <c r="C61" s="195" t="s">
        <v>233</v>
      </c>
      <c r="D61" s="199" t="s">
        <v>937</v>
      </c>
      <c r="E61" s="200">
        <v>1</v>
      </c>
      <c r="F61" s="200">
        <v>2</v>
      </c>
      <c r="G61" s="200">
        <v>1</v>
      </c>
      <c r="H61" s="201">
        <v>1</v>
      </c>
      <c r="I61" s="200">
        <v>2</v>
      </c>
      <c r="J61" s="202">
        <v>2</v>
      </c>
      <c r="K61" s="202">
        <v>2</v>
      </c>
      <c r="L61" s="202">
        <v>2</v>
      </c>
      <c r="M61" s="201">
        <v>2</v>
      </c>
      <c r="N61" s="133"/>
      <c r="O61" s="133"/>
      <c r="P61" s="133"/>
      <c r="Q61" s="133"/>
      <c r="R61" s="133"/>
      <c r="S61" s="133"/>
      <c r="T61" s="133"/>
    </row>
    <row r="62" spans="1:20" s="104" customFormat="1" ht="30">
      <c r="A62" s="105"/>
      <c r="B62" s="168" t="s">
        <v>237</v>
      </c>
      <c r="C62" s="195"/>
      <c r="D62" s="203"/>
      <c r="E62" s="204"/>
      <c r="F62" s="204"/>
      <c r="G62" s="204"/>
      <c r="H62" s="205"/>
      <c r="I62" s="206"/>
      <c r="J62" s="206"/>
      <c r="K62" s="206"/>
      <c r="L62" s="206"/>
      <c r="M62" s="207"/>
      <c r="N62" s="194"/>
      <c r="O62" s="133"/>
      <c r="P62" s="133"/>
      <c r="Q62" s="133"/>
      <c r="R62" s="133"/>
      <c r="S62" s="133"/>
      <c r="T62" s="133"/>
    </row>
    <row r="63" spans="1:20" s="104" customFormat="1" ht="14.25">
      <c r="A63" s="105"/>
      <c r="B63" s="170" t="s">
        <v>232</v>
      </c>
      <c r="C63" s="195" t="s">
        <v>233</v>
      </c>
      <c r="D63" s="199">
        <v>0</v>
      </c>
      <c r="E63" s="200">
        <v>0</v>
      </c>
      <c r="F63" s="200">
        <v>1</v>
      </c>
      <c r="G63" s="200">
        <v>0</v>
      </c>
      <c r="H63" s="201">
        <v>0</v>
      </c>
      <c r="I63" s="200">
        <v>0</v>
      </c>
      <c r="J63" s="202">
        <v>0</v>
      </c>
      <c r="K63" s="202">
        <v>0</v>
      </c>
      <c r="L63" s="202">
        <v>0</v>
      </c>
      <c r="M63" s="201">
        <v>0</v>
      </c>
      <c r="N63" s="133"/>
      <c r="O63" s="133"/>
      <c r="P63" s="133"/>
      <c r="Q63" s="133"/>
      <c r="R63" s="133"/>
      <c r="S63" s="133"/>
      <c r="T63" s="133"/>
    </row>
    <row r="64" spans="1:20" s="104" customFormat="1" ht="14.25">
      <c r="A64" s="105"/>
      <c r="B64" s="170" t="s">
        <v>234</v>
      </c>
      <c r="C64" s="195" t="s">
        <v>233</v>
      </c>
      <c r="D64" s="199">
        <v>0</v>
      </c>
      <c r="E64" s="200">
        <v>0</v>
      </c>
      <c r="F64" s="200">
        <v>1</v>
      </c>
      <c r="G64" s="200">
        <v>1</v>
      </c>
      <c r="H64" s="201">
        <v>0</v>
      </c>
      <c r="I64" s="200">
        <v>0</v>
      </c>
      <c r="J64" s="202">
        <v>1</v>
      </c>
      <c r="K64" s="202">
        <v>0</v>
      </c>
      <c r="L64" s="202">
        <v>0</v>
      </c>
      <c r="M64" s="201">
        <v>1</v>
      </c>
      <c r="N64" s="133"/>
      <c r="O64" s="133"/>
      <c r="P64" s="133"/>
      <c r="Q64" s="133"/>
      <c r="R64" s="133"/>
      <c r="S64" s="133"/>
      <c r="T64" s="133"/>
    </row>
    <row r="65" spans="1:20" s="104" customFormat="1" ht="14.25">
      <c r="A65" s="105"/>
      <c r="B65" s="170" t="s">
        <v>235</v>
      </c>
      <c r="C65" s="195" t="s">
        <v>233</v>
      </c>
      <c r="D65" s="199" t="s">
        <v>937</v>
      </c>
      <c r="E65" s="200">
        <v>0</v>
      </c>
      <c r="F65" s="200">
        <v>0</v>
      </c>
      <c r="G65" s="200">
        <v>0</v>
      </c>
      <c r="H65" s="201">
        <v>0</v>
      </c>
      <c r="I65" s="200">
        <v>0</v>
      </c>
      <c r="J65" s="202">
        <v>0</v>
      </c>
      <c r="K65" s="202">
        <v>0</v>
      </c>
      <c r="L65" s="202">
        <v>0</v>
      </c>
      <c r="M65" s="201">
        <v>0</v>
      </c>
      <c r="N65" s="133"/>
      <c r="O65" s="133"/>
      <c r="P65" s="133"/>
      <c r="Q65" s="133"/>
      <c r="R65" s="133"/>
      <c r="S65" s="133"/>
      <c r="T65" s="133"/>
    </row>
    <row r="66" spans="1:20" s="104" customFormat="1" ht="30">
      <c r="A66" s="105"/>
      <c r="B66" s="168" t="s">
        <v>238</v>
      </c>
      <c r="C66" s="195"/>
      <c r="D66" s="203"/>
      <c r="E66" s="204"/>
      <c r="F66" s="204"/>
      <c r="G66" s="204"/>
      <c r="H66" s="205"/>
      <c r="I66" s="206"/>
      <c r="J66" s="206"/>
      <c r="K66" s="206"/>
      <c r="L66" s="206"/>
      <c r="M66" s="207"/>
      <c r="N66" s="194"/>
      <c r="O66" s="133"/>
      <c r="P66" s="133"/>
      <c r="Q66" s="133"/>
      <c r="R66" s="133"/>
      <c r="S66" s="133"/>
      <c r="T66" s="133"/>
    </row>
    <row r="67" spans="1:20" s="104" customFormat="1" ht="14.25">
      <c r="A67" s="105"/>
      <c r="B67" s="208" t="s">
        <v>232</v>
      </c>
      <c r="C67" s="195" t="s">
        <v>233</v>
      </c>
      <c r="D67" s="209">
        <v>0</v>
      </c>
      <c r="E67" s="210">
        <v>0</v>
      </c>
      <c r="F67" s="210">
        <v>0</v>
      </c>
      <c r="G67" s="210">
        <v>0</v>
      </c>
      <c r="H67" s="211">
        <v>0</v>
      </c>
      <c r="I67" s="210">
        <v>0</v>
      </c>
      <c r="J67" s="212">
        <v>0</v>
      </c>
      <c r="K67" s="212">
        <v>0</v>
      </c>
      <c r="L67" s="212">
        <v>0</v>
      </c>
      <c r="M67" s="211">
        <v>0</v>
      </c>
      <c r="N67" s="133"/>
      <c r="O67" s="133"/>
      <c r="P67" s="133"/>
      <c r="Q67" s="133"/>
      <c r="R67" s="133"/>
      <c r="S67" s="133"/>
      <c r="T67" s="133"/>
    </row>
    <row r="68" spans="1:20" s="104" customFormat="1" ht="14.25">
      <c r="A68" s="105"/>
      <c r="B68" s="208" t="s">
        <v>234</v>
      </c>
      <c r="C68" s="195" t="s">
        <v>233</v>
      </c>
      <c r="D68" s="209">
        <v>0</v>
      </c>
      <c r="E68" s="210">
        <v>0</v>
      </c>
      <c r="F68" s="210">
        <v>0</v>
      </c>
      <c r="G68" s="210">
        <v>0</v>
      </c>
      <c r="H68" s="211">
        <v>0</v>
      </c>
      <c r="I68" s="210">
        <v>0</v>
      </c>
      <c r="J68" s="212">
        <v>0</v>
      </c>
      <c r="K68" s="212">
        <v>0</v>
      </c>
      <c r="L68" s="212">
        <v>0</v>
      </c>
      <c r="M68" s="211">
        <v>0</v>
      </c>
      <c r="N68" s="133"/>
      <c r="O68" s="133"/>
      <c r="P68" s="133"/>
      <c r="Q68" s="133"/>
      <c r="R68" s="133"/>
      <c r="S68" s="133"/>
      <c r="T68" s="133"/>
    </row>
    <row r="69" spans="1:20" s="104" customFormat="1" ht="14.25">
      <c r="A69" s="105"/>
      <c r="B69" s="208" t="s">
        <v>235</v>
      </c>
      <c r="C69" s="195" t="s">
        <v>233</v>
      </c>
      <c r="D69" s="199" t="s">
        <v>937</v>
      </c>
      <c r="E69" s="200">
        <v>0</v>
      </c>
      <c r="F69" s="200">
        <v>0</v>
      </c>
      <c r="G69" s="200">
        <v>0</v>
      </c>
      <c r="H69" s="201">
        <v>0</v>
      </c>
      <c r="I69" s="200">
        <v>0</v>
      </c>
      <c r="J69" s="202">
        <v>0</v>
      </c>
      <c r="K69" s="202">
        <v>0</v>
      </c>
      <c r="L69" s="202">
        <v>0</v>
      </c>
      <c r="M69" s="201">
        <v>0</v>
      </c>
      <c r="N69" s="133"/>
      <c r="O69" s="133"/>
      <c r="P69" s="133"/>
      <c r="Q69" s="133"/>
      <c r="R69" s="133"/>
      <c r="S69" s="133"/>
      <c r="T69" s="133"/>
    </row>
    <row r="70" spans="1:20" s="104" customFormat="1" ht="15">
      <c r="A70" s="105"/>
      <c r="B70" s="168" t="s">
        <v>239</v>
      </c>
      <c r="C70" s="195" t="s">
        <v>233</v>
      </c>
      <c r="D70" s="213">
        <v>10688</v>
      </c>
      <c r="E70" s="214">
        <v>11165</v>
      </c>
      <c r="F70" s="214">
        <v>10728</v>
      </c>
      <c r="G70" s="214">
        <v>9221</v>
      </c>
      <c r="H70" s="215">
        <v>8872</v>
      </c>
      <c r="I70" s="216">
        <v>8231</v>
      </c>
      <c r="J70" s="214">
        <v>8039</v>
      </c>
      <c r="K70" s="214">
        <v>7346</v>
      </c>
      <c r="L70" s="214">
        <v>7346</v>
      </c>
      <c r="M70" s="215">
        <v>7347</v>
      </c>
      <c r="N70" s="217"/>
      <c r="O70" s="133"/>
      <c r="P70" s="133"/>
      <c r="Q70" s="133"/>
      <c r="R70" s="133"/>
      <c r="S70" s="133"/>
      <c r="T70" s="133"/>
    </row>
    <row r="71" spans="1:20" s="104" customFormat="1" ht="15" customHeight="1" thickBot="1">
      <c r="A71" s="105"/>
      <c r="B71" s="218" t="s">
        <v>240</v>
      </c>
      <c r="C71" s="219" t="s">
        <v>233</v>
      </c>
      <c r="D71" s="220">
        <v>0</v>
      </c>
      <c r="E71" s="221">
        <v>163</v>
      </c>
      <c r="F71" s="221">
        <v>316</v>
      </c>
      <c r="G71" s="221">
        <v>201</v>
      </c>
      <c r="H71" s="222">
        <v>181</v>
      </c>
      <c r="I71" s="223">
        <v>202</v>
      </c>
      <c r="J71" s="221">
        <v>252</v>
      </c>
      <c r="K71" s="221">
        <v>252</v>
      </c>
      <c r="L71" s="221">
        <v>252</v>
      </c>
      <c r="M71" s="222">
        <v>252</v>
      </c>
      <c r="N71" s="217"/>
      <c r="O71" s="133"/>
      <c r="P71" s="133"/>
      <c r="Q71" s="133"/>
      <c r="R71" s="133"/>
      <c r="S71" s="133"/>
      <c r="T71" s="133"/>
    </row>
    <row r="72" spans="1:20" s="104" customFormat="1" ht="15">
      <c r="A72" s="105"/>
      <c r="B72" s="224"/>
      <c r="C72" s="225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</row>
    <row r="73" spans="1:20" s="104" customFormat="1" ht="15">
      <c r="A73" s="105"/>
      <c r="B73" s="226"/>
      <c r="C73" s="227"/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133"/>
      <c r="O73" s="228"/>
      <c r="P73" s="228"/>
      <c r="Q73" s="228"/>
      <c r="R73" s="133"/>
      <c r="S73" s="228"/>
      <c r="T73" s="228"/>
    </row>
    <row r="74" spans="1:20" s="104" customFormat="1" ht="15">
      <c r="A74" s="105"/>
      <c r="B74" s="106" t="s">
        <v>241</v>
      </c>
      <c r="C74" s="227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133"/>
      <c r="O74" s="228"/>
      <c r="P74" s="228"/>
      <c r="Q74" s="228"/>
      <c r="R74" s="133"/>
      <c r="S74" s="228"/>
      <c r="T74" s="228"/>
    </row>
    <row r="75" spans="1:20" s="104" customFormat="1" ht="15.75" thickBot="1">
      <c r="A75" s="105"/>
      <c r="B75" s="106"/>
      <c r="C75" s="227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133"/>
      <c r="O75" s="228"/>
      <c r="P75" s="228"/>
      <c r="Q75" s="228"/>
      <c r="R75" s="133"/>
      <c r="S75" s="228"/>
      <c r="T75" s="228"/>
    </row>
    <row r="76" spans="1:20" s="104" customFormat="1" ht="14.25">
      <c r="A76" s="105"/>
      <c r="B76" s="1210"/>
      <c r="C76" s="1212" t="s">
        <v>190</v>
      </c>
      <c r="D76" s="155" t="s">
        <v>191</v>
      </c>
      <c r="E76" s="156"/>
      <c r="F76" s="156"/>
      <c r="G76" s="156"/>
      <c r="H76" s="157"/>
      <c r="I76" s="156" t="s">
        <v>192</v>
      </c>
      <c r="J76" s="158"/>
      <c r="K76" s="158"/>
      <c r="L76" s="158"/>
      <c r="M76" s="157"/>
      <c r="N76" s="133"/>
      <c r="O76" s="229" t="s">
        <v>191</v>
      </c>
      <c r="P76" s="230"/>
      <c r="Q76" s="231"/>
      <c r="R76" s="133"/>
      <c r="S76" s="229" t="s">
        <v>192</v>
      </c>
      <c r="T76" s="231"/>
    </row>
    <row r="77" spans="1:20" s="104" customFormat="1" ht="14.25">
      <c r="A77" s="105"/>
      <c r="B77" s="1211"/>
      <c r="C77" s="1213"/>
      <c r="D77" s="159" t="s">
        <v>79</v>
      </c>
      <c r="E77" s="160" t="s">
        <v>80</v>
      </c>
      <c r="F77" s="160" t="s">
        <v>81</v>
      </c>
      <c r="G77" s="160" t="s">
        <v>82</v>
      </c>
      <c r="H77" s="161" t="s">
        <v>44</v>
      </c>
      <c r="I77" s="162" t="s">
        <v>193</v>
      </c>
      <c r="J77" s="160" t="s">
        <v>194</v>
      </c>
      <c r="K77" s="160" t="s">
        <v>195</v>
      </c>
      <c r="L77" s="160" t="s">
        <v>196</v>
      </c>
      <c r="M77" s="161" t="s">
        <v>197</v>
      </c>
      <c r="N77" s="133"/>
      <c r="O77" s="232" t="s">
        <v>198</v>
      </c>
      <c r="P77" s="233" t="s">
        <v>199</v>
      </c>
      <c r="Q77" s="234" t="s">
        <v>200</v>
      </c>
      <c r="R77" s="133"/>
      <c r="S77" s="232" t="s">
        <v>199</v>
      </c>
      <c r="T77" s="234" t="s">
        <v>201</v>
      </c>
    </row>
    <row r="78" spans="1:20" s="104" customFormat="1" ht="30">
      <c r="A78" s="105"/>
      <c r="B78" s="235" t="s">
        <v>242</v>
      </c>
      <c r="C78" s="236"/>
      <c r="D78" s="191"/>
      <c r="E78" s="192"/>
      <c r="F78" s="192"/>
      <c r="G78" s="192"/>
      <c r="H78" s="193"/>
      <c r="I78" s="177"/>
      <c r="J78" s="177"/>
      <c r="K78" s="177"/>
      <c r="L78" s="177"/>
      <c r="M78" s="178"/>
      <c r="N78" s="133"/>
      <c r="O78" s="176"/>
      <c r="P78" s="177"/>
      <c r="Q78" s="178"/>
      <c r="R78" s="133"/>
      <c r="S78" s="176"/>
      <c r="T78" s="178"/>
    </row>
    <row r="79" spans="1:20" s="104" customFormat="1" ht="15">
      <c r="A79" s="105"/>
      <c r="B79" s="237" t="s">
        <v>243</v>
      </c>
      <c r="C79" s="238"/>
      <c r="D79" s="165"/>
      <c r="E79" s="166"/>
      <c r="F79" s="166"/>
      <c r="G79" s="166"/>
      <c r="H79" s="167"/>
      <c r="I79" s="166"/>
      <c r="J79" s="166"/>
      <c r="K79" s="166"/>
      <c r="L79" s="166"/>
      <c r="M79" s="167"/>
      <c r="N79" s="133"/>
      <c r="O79" s="239"/>
      <c r="P79" s="240"/>
      <c r="Q79" s="241"/>
      <c r="R79" s="133"/>
      <c r="S79" s="165"/>
      <c r="T79" s="167"/>
    </row>
    <row r="80" spans="1:20" s="104" customFormat="1" ht="14.25">
      <c r="A80" s="105"/>
      <c r="B80" s="180" t="s">
        <v>244</v>
      </c>
      <c r="C80" s="195" t="s">
        <v>203</v>
      </c>
      <c r="D80" s="171">
        <v>14.1</v>
      </c>
      <c r="E80" s="172">
        <v>12</v>
      </c>
      <c r="F80" s="172">
        <v>13.8</v>
      </c>
      <c r="G80" s="172">
        <v>11.3</v>
      </c>
      <c r="H80" s="173">
        <v>10.9</v>
      </c>
      <c r="I80" s="172">
        <v>10</v>
      </c>
      <c r="J80" s="174">
        <v>9.8000000000000007</v>
      </c>
      <c r="K80" s="174">
        <v>9</v>
      </c>
      <c r="L80" s="174">
        <v>9</v>
      </c>
      <c r="M80" s="173">
        <v>9</v>
      </c>
      <c r="N80" s="133"/>
      <c r="O80" s="130">
        <v>39.9</v>
      </c>
      <c r="P80" s="131">
        <v>22.2</v>
      </c>
      <c r="Q80" s="132">
        <v>62.1</v>
      </c>
      <c r="R80" s="133"/>
      <c r="S80" s="130">
        <v>46.9</v>
      </c>
      <c r="T80" s="134">
        <v>-0.24476650563607089</v>
      </c>
    </row>
    <row r="81" spans="1:20" s="104" customFormat="1" ht="14.25">
      <c r="A81" s="105"/>
      <c r="B81" s="180" t="s">
        <v>245</v>
      </c>
      <c r="C81" s="195" t="s">
        <v>203</v>
      </c>
      <c r="D81" s="171">
        <v>0.7</v>
      </c>
      <c r="E81" s="172">
        <v>1</v>
      </c>
      <c r="F81" s="172">
        <v>1.7</v>
      </c>
      <c r="G81" s="172">
        <v>1</v>
      </c>
      <c r="H81" s="173">
        <v>0.9</v>
      </c>
      <c r="I81" s="172">
        <v>1.3</v>
      </c>
      <c r="J81" s="174">
        <v>1.3</v>
      </c>
      <c r="K81" s="174">
        <v>1.1000000000000001</v>
      </c>
      <c r="L81" s="174">
        <v>1.1000000000000001</v>
      </c>
      <c r="M81" s="173">
        <v>1.1000000000000001</v>
      </c>
      <c r="N81" s="133"/>
      <c r="O81" s="130">
        <v>3.4</v>
      </c>
      <c r="P81" s="131">
        <v>1.9</v>
      </c>
      <c r="Q81" s="132">
        <v>5.3</v>
      </c>
      <c r="R81" s="133"/>
      <c r="S81" s="130">
        <v>4.0999999999999996</v>
      </c>
      <c r="T81" s="134">
        <v>-0.22641509433962281</v>
      </c>
    </row>
    <row r="82" spans="1:20" s="104" customFormat="1" ht="15">
      <c r="A82" s="105"/>
      <c r="B82" s="179" t="s">
        <v>246</v>
      </c>
      <c r="C82" s="195" t="s">
        <v>203</v>
      </c>
      <c r="D82" s="130">
        <v>14.8</v>
      </c>
      <c r="E82" s="242">
        <v>13</v>
      </c>
      <c r="F82" s="242">
        <v>15.5</v>
      </c>
      <c r="G82" s="242">
        <v>12.3</v>
      </c>
      <c r="H82" s="132">
        <v>11.8</v>
      </c>
      <c r="I82" s="242">
        <v>11.3</v>
      </c>
      <c r="J82" s="131">
        <v>11.1</v>
      </c>
      <c r="K82" s="131">
        <v>10.1</v>
      </c>
      <c r="L82" s="131">
        <v>10.1</v>
      </c>
      <c r="M82" s="132">
        <v>10.1</v>
      </c>
      <c r="N82" s="133"/>
      <c r="O82" s="130">
        <v>43.3</v>
      </c>
      <c r="P82" s="131">
        <v>24.1</v>
      </c>
      <c r="Q82" s="132">
        <v>67.400000000000006</v>
      </c>
      <c r="R82" s="133"/>
      <c r="S82" s="130">
        <v>51</v>
      </c>
      <c r="T82" s="134">
        <v>-0.24332344213649842</v>
      </c>
    </row>
    <row r="83" spans="1:20" s="104" customFormat="1" ht="15">
      <c r="A83" s="105"/>
      <c r="B83" s="237" t="s">
        <v>247</v>
      </c>
      <c r="C83" s="243"/>
      <c r="D83" s="244"/>
      <c r="E83" s="245"/>
      <c r="F83" s="245"/>
      <c r="G83" s="245"/>
      <c r="H83" s="246"/>
      <c r="I83" s="245"/>
      <c r="J83" s="245"/>
      <c r="K83" s="245"/>
      <c r="L83" s="245"/>
      <c r="M83" s="246"/>
      <c r="N83" s="133"/>
      <c r="O83" s="247"/>
      <c r="P83" s="245"/>
      <c r="Q83" s="246"/>
      <c r="R83" s="133"/>
      <c r="S83" s="244"/>
      <c r="T83" s="246"/>
    </row>
    <row r="84" spans="1:20" s="104" customFormat="1" ht="14.25">
      <c r="A84" s="105"/>
      <c r="B84" s="180" t="s">
        <v>244</v>
      </c>
      <c r="C84" s="195" t="s">
        <v>203</v>
      </c>
      <c r="D84" s="171">
        <v>2.2000000000000002</v>
      </c>
      <c r="E84" s="172">
        <v>3.2</v>
      </c>
      <c r="F84" s="172">
        <v>2.5</v>
      </c>
      <c r="G84" s="172">
        <v>1.7</v>
      </c>
      <c r="H84" s="173">
        <v>1.9</v>
      </c>
      <c r="I84" s="172">
        <v>1.1000000000000001</v>
      </c>
      <c r="J84" s="174">
        <v>1</v>
      </c>
      <c r="K84" s="174">
        <v>1</v>
      </c>
      <c r="L84" s="174">
        <v>1</v>
      </c>
      <c r="M84" s="173">
        <v>1</v>
      </c>
      <c r="N84" s="133"/>
      <c r="O84" s="130">
        <v>7.9</v>
      </c>
      <c r="P84" s="131">
        <v>3.6</v>
      </c>
      <c r="Q84" s="132">
        <v>11.5</v>
      </c>
      <c r="R84" s="133"/>
      <c r="S84" s="130">
        <v>11.9</v>
      </c>
      <c r="T84" s="134">
        <v>3.4782608695652049E-2</v>
      </c>
    </row>
    <row r="85" spans="1:20" s="104" customFormat="1" ht="14.25">
      <c r="A85" s="105"/>
      <c r="B85" s="180" t="s">
        <v>245</v>
      </c>
      <c r="C85" s="195" t="s">
        <v>203</v>
      </c>
      <c r="D85" s="171">
        <v>0</v>
      </c>
      <c r="E85" s="172">
        <v>0</v>
      </c>
      <c r="F85" s="172">
        <v>0.5</v>
      </c>
      <c r="G85" s="172">
        <v>0.6</v>
      </c>
      <c r="H85" s="173">
        <v>0.7</v>
      </c>
      <c r="I85" s="172">
        <v>1.3</v>
      </c>
      <c r="J85" s="174">
        <v>1.3</v>
      </c>
      <c r="K85" s="174">
        <v>1.3</v>
      </c>
      <c r="L85" s="174">
        <v>1.3</v>
      </c>
      <c r="M85" s="173">
        <v>1.3</v>
      </c>
      <c r="N85" s="133"/>
      <c r="O85" s="130">
        <v>0.5</v>
      </c>
      <c r="P85" s="131">
        <v>1.3</v>
      </c>
      <c r="Q85" s="132">
        <v>1.8</v>
      </c>
      <c r="R85" s="133"/>
      <c r="S85" s="130">
        <v>3.2</v>
      </c>
      <c r="T85" s="134">
        <v>0.77777777777777779</v>
      </c>
    </row>
    <row r="86" spans="1:20" s="104" customFormat="1" ht="15">
      <c r="A86" s="105"/>
      <c r="B86" s="179" t="s">
        <v>248</v>
      </c>
      <c r="C86" s="195" t="s">
        <v>203</v>
      </c>
      <c r="D86" s="130">
        <v>2.2000000000000002</v>
      </c>
      <c r="E86" s="242">
        <v>3.2</v>
      </c>
      <c r="F86" s="242">
        <v>3</v>
      </c>
      <c r="G86" s="242">
        <v>2.2999999999999998</v>
      </c>
      <c r="H86" s="132">
        <v>2.6</v>
      </c>
      <c r="I86" s="242">
        <v>2.4</v>
      </c>
      <c r="J86" s="131">
        <v>2.2999999999999998</v>
      </c>
      <c r="K86" s="131">
        <v>2.2999999999999998</v>
      </c>
      <c r="L86" s="131">
        <v>2.2999999999999998</v>
      </c>
      <c r="M86" s="132">
        <v>2.2999999999999998</v>
      </c>
      <c r="N86" s="133"/>
      <c r="O86" s="130">
        <v>8.4</v>
      </c>
      <c r="P86" s="131">
        <v>4.9000000000000004</v>
      </c>
      <c r="Q86" s="132">
        <v>13.3</v>
      </c>
      <c r="R86" s="133"/>
      <c r="S86" s="130">
        <v>15.1</v>
      </c>
      <c r="T86" s="134">
        <v>0.13533834586466184</v>
      </c>
    </row>
    <row r="87" spans="1:20" s="104" customFormat="1" ht="15">
      <c r="A87" s="105"/>
      <c r="B87" s="237" t="s">
        <v>249</v>
      </c>
      <c r="C87" s="243"/>
      <c r="D87" s="244"/>
      <c r="E87" s="245"/>
      <c r="F87" s="245"/>
      <c r="G87" s="245"/>
      <c r="H87" s="246"/>
      <c r="I87" s="245"/>
      <c r="J87" s="245"/>
      <c r="K87" s="245"/>
      <c r="L87" s="245"/>
      <c r="M87" s="246"/>
      <c r="N87" s="133"/>
      <c r="O87" s="244"/>
      <c r="P87" s="245"/>
      <c r="Q87" s="246"/>
      <c r="R87" s="133"/>
      <c r="S87" s="244"/>
      <c r="T87" s="246"/>
    </row>
    <row r="88" spans="1:20" s="104" customFormat="1" ht="14.25">
      <c r="A88" s="105"/>
      <c r="B88" s="180" t="s">
        <v>244</v>
      </c>
      <c r="C88" s="195" t="s">
        <v>203</v>
      </c>
      <c r="D88" s="171">
        <v>0.6</v>
      </c>
      <c r="E88" s="172">
        <v>1.2</v>
      </c>
      <c r="F88" s="172">
        <v>0.5</v>
      </c>
      <c r="G88" s="172">
        <v>0.4</v>
      </c>
      <c r="H88" s="173">
        <v>0</v>
      </c>
      <c r="I88" s="172">
        <v>0</v>
      </c>
      <c r="J88" s="174">
        <v>0</v>
      </c>
      <c r="K88" s="174">
        <v>0</v>
      </c>
      <c r="L88" s="174">
        <v>0</v>
      </c>
      <c r="M88" s="173">
        <v>0</v>
      </c>
      <c r="N88" s="133"/>
      <c r="O88" s="130">
        <v>2.2999999999999998</v>
      </c>
      <c r="P88" s="131">
        <v>0.4</v>
      </c>
      <c r="Q88" s="132">
        <v>2.7</v>
      </c>
      <c r="R88" s="133"/>
      <c r="S88" s="130">
        <v>0.8</v>
      </c>
      <c r="T88" s="134">
        <v>-0.70370370370370361</v>
      </c>
    </row>
    <row r="89" spans="1:20" s="104" customFormat="1" ht="14.25">
      <c r="A89" s="105"/>
      <c r="B89" s="180" t="s">
        <v>245</v>
      </c>
      <c r="C89" s="195" t="s">
        <v>203</v>
      </c>
      <c r="D89" s="171">
        <v>0</v>
      </c>
      <c r="E89" s="172">
        <v>0.7</v>
      </c>
      <c r="F89" s="172">
        <v>1.7</v>
      </c>
      <c r="G89" s="172">
        <v>0.3</v>
      </c>
      <c r="H89" s="173">
        <v>0.2</v>
      </c>
      <c r="I89" s="172">
        <v>0</v>
      </c>
      <c r="J89" s="174">
        <v>0</v>
      </c>
      <c r="K89" s="174">
        <v>0</v>
      </c>
      <c r="L89" s="174">
        <v>0</v>
      </c>
      <c r="M89" s="173">
        <v>0</v>
      </c>
      <c r="N89" s="133"/>
      <c r="O89" s="130">
        <v>2.4</v>
      </c>
      <c r="P89" s="131">
        <v>0.5</v>
      </c>
      <c r="Q89" s="132">
        <v>2.9</v>
      </c>
      <c r="R89" s="133"/>
      <c r="S89" s="130">
        <v>0.6</v>
      </c>
      <c r="T89" s="134">
        <v>-0.79310344827586199</v>
      </c>
    </row>
    <row r="90" spans="1:20" s="104" customFormat="1" ht="15">
      <c r="A90" s="105"/>
      <c r="B90" s="179" t="s">
        <v>250</v>
      </c>
      <c r="C90" s="195" t="s">
        <v>203</v>
      </c>
      <c r="D90" s="130">
        <v>0.6</v>
      </c>
      <c r="E90" s="242">
        <v>1.9</v>
      </c>
      <c r="F90" s="242">
        <v>2.2000000000000002</v>
      </c>
      <c r="G90" s="242">
        <v>0.7</v>
      </c>
      <c r="H90" s="132">
        <v>0.2</v>
      </c>
      <c r="I90" s="242">
        <v>0</v>
      </c>
      <c r="J90" s="131">
        <v>0.7</v>
      </c>
      <c r="K90" s="131">
        <v>0</v>
      </c>
      <c r="L90" s="131">
        <v>0</v>
      </c>
      <c r="M90" s="132">
        <v>0.7</v>
      </c>
      <c r="N90" s="133"/>
      <c r="O90" s="130">
        <v>4.7</v>
      </c>
      <c r="P90" s="131">
        <v>0.9</v>
      </c>
      <c r="Q90" s="132">
        <v>5.6</v>
      </c>
      <c r="R90" s="133"/>
      <c r="S90" s="130">
        <v>1.4</v>
      </c>
      <c r="T90" s="134">
        <v>-0.75</v>
      </c>
    </row>
    <row r="91" spans="1:20" s="104" customFormat="1" ht="15">
      <c r="A91" s="105"/>
      <c r="B91" s="237" t="s">
        <v>251</v>
      </c>
      <c r="C91" s="243"/>
      <c r="D91" s="244"/>
      <c r="E91" s="245"/>
      <c r="F91" s="245"/>
      <c r="G91" s="245"/>
      <c r="H91" s="246"/>
      <c r="I91" s="245"/>
      <c r="J91" s="245"/>
      <c r="K91" s="245"/>
      <c r="L91" s="245"/>
      <c r="M91" s="246"/>
      <c r="N91" s="133"/>
      <c r="O91" s="244"/>
      <c r="P91" s="245"/>
      <c r="Q91" s="246"/>
      <c r="R91" s="133"/>
      <c r="S91" s="244"/>
      <c r="T91" s="246"/>
    </row>
    <row r="92" spans="1:20" s="104" customFormat="1" ht="14.25">
      <c r="A92" s="105"/>
      <c r="B92" s="180" t="s">
        <v>244</v>
      </c>
      <c r="C92" s="195" t="s">
        <v>203</v>
      </c>
      <c r="D92" s="171">
        <v>0</v>
      </c>
      <c r="E92" s="172">
        <v>0</v>
      </c>
      <c r="F92" s="172">
        <v>0</v>
      </c>
      <c r="G92" s="172">
        <v>0</v>
      </c>
      <c r="H92" s="173">
        <v>0</v>
      </c>
      <c r="I92" s="172">
        <v>0</v>
      </c>
      <c r="J92" s="174">
        <v>0</v>
      </c>
      <c r="K92" s="174">
        <v>0</v>
      </c>
      <c r="L92" s="174">
        <v>0</v>
      </c>
      <c r="M92" s="173">
        <v>0</v>
      </c>
      <c r="N92" s="133"/>
      <c r="O92" s="130">
        <v>0</v>
      </c>
      <c r="P92" s="131">
        <v>0</v>
      </c>
      <c r="Q92" s="132">
        <v>0</v>
      </c>
      <c r="R92" s="133"/>
      <c r="S92" s="130">
        <v>0</v>
      </c>
      <c r="T92" s="134" t="s">
        <v>989</v>
      </c>
    </row>
    <row r="93" spans="1:20" s="104" customFormat="1" ht="14.25">
      <c r="A93" s="105"/>
      <c r="B93" s="180" t="s">
        <v>245</v>
      </c>
      <c r="C93" s="195" t="s">
        <v>203</v>
      </c>
      <c r="D93" s="171">
        <v>0</v>
      </c>
      <c r="E93" s="172">
        <v>0</v>
      </c>
      <c r="F93" s="172">
        <v>0</v>
      </c>
      <c r="G93" s="172">
        <v>0</v>
      </c>
      <c r="H93" s="173">
        <v>0</v>
      </c>
      <c r="I93" s="172">
        <v>0</v>
      </c>
      <c r="J93" s="174">
        <v>0</v>
      </c>
      <c r="K93" s="174">
        <v>0</v>
      </c>
      <c r="L93" s="174">
        <v>0</v>
      </c>
      <c r="M93" s="173">
        <v>0</v>
      </c>
      <c r="N93" s="133"/>
      <c r="O93" s="130">
        <v>0</v>
      </c>
      <c r="P93" s="131">
        <v>0</v>
      </c>
      <c r="Q93" s="132">
        <v>0</v>
      </c>
      <c r="R93" s="133"/>
      <c r="S93" s="130">
        <v>0</v>
      </c>
      <c r="T93" s="134" t="s">
        <v>989</v>
      </c>
    </row>
    <row r="94" spans="1:20" s="104" customFormat="1" ht="15">
      <c r="A94" s="105"/>
      <c r="B94" s="179" t="s">
        <v>252</v>
      </c>
      <c r="C94" s="195" t="s">
        <v>203</v>
      </c>
      <c r="D94" s="130">
        <v>0</v>
      </c>
      <c r="E94" s="242">
        <v>0</v>
      </c>
      <c r="F94" s="242">
        <v>0</v>
      </c>
      <c r="G94" s="242">
        <v>0</v>
      </c>
      <c r="H94" s="132">
        <v>0</v>
      </c>
      <c r="I94" s="242">
        <v>0</v>
      </c>
      <c r="J94" s="131">
        <v>0</v>
      </c>
      <c r="K94" s="131">
        <v>0</v>
      </c>
      <c r="L94" s="131">
        <v>0</v>
      </c>
      <c r="M94" s="132">
        <v>0</v>
      </c>
      <c r="N94" s="133"/>
      <c r="O94" s="130">
        <v>0</v>
      </c>
      <c r="P94" s="131">
        <v>0</v>
      </c>
      <c r="Q94" s="132">
        <v>0</v>
      </c>
      <c r="R94" s="133"/>
      <c r="S94" s="130">
        <v>0</v>
      </c>
      <c r="T94" s="134" t="s">
        <v>989</v>
      </c>
    </row>
    <row r="95" spans="1:20" s="104" customFormat="1" ht="15">
      <c r="A95" s="105"/>
      <c r="B95" s="179"/>
      <c r="C95" s="195"/>
      <c r="D95" s="244"/>
      <c r="E95" s="245"/>
      <c r="F95" s="245"/>
      <c r="G95" s="245"/>
      <c r="H95" s="246"/>
      <c r="I95" s="245"/>
      <c r="J95" s="245"/>
      <c r="K95" s="245"/>
      <c r="L95" s="245"/>
      <c r="M95" s="246"/>
      <c r="N95" s="133"/>
      <c r="O95" s="244"/>
      <c r="P95" s="245"/>
      <c r="Q95" s="246"/>
      <c r="R95" s="133"/>
      <c r="S95" s="244"/>
      <c r="T95" s="246"/>
    </row>
    <row r="96" spans="1:20" s="104" customFormat="1" ht="30">
      <c r="A96" s="105"/>
      <c r="B96" s="179" t="s">
        <v>253</v>
      </c>
      <c r="C96" s="195" t="s">
        <v>203</v>
      </c>
      <c r="D96" s="248"/>
      <c r="E96" s="249"/>
      <c r="F96" s="249"/>
      <c r="G96" s="172">
        <v>0</v>
      </c>
      <c r="H96" s="173">
        <v>0</v>
      </c>
      <c r="I96" s="172">
        <v>0</v>
      </c>
      <c r="J96" s="174">
        <v>0</v>
      </c>
      <c r="K96" s="174">
        <v>0</v>
      </c>
      <c r="L96" s="174">
        <v>0</v>
      </c>
      <c r="M96" s="173">
        <v>0</v>
      </c>
      <c r="N96" s="133"/>
      <c r="O96" s="130">
        <v>0</v>
      </c>
      <c r="P96" s="131">
        <v>0</v>
      </c>
      <c r="Q96" s="132">
        <v>0</v>
      </c>
      <c r="R96" s="133"/>
      <c r="S96" s="130">
        <v>0</v>
      </c>
      <c r="T96" s="134" t="s">
        <v>989</v>
      </c>
    </row>
    <row r="97" spans="1:20" s="104" customFormat="1" ht="30">
      <c r="A97" s="105"/>
      <c r="B97" s="179" t="s">
        <v>254</v>
      </c>
      <c r="C97" s="195" t="s">
        <v>203</v>
      </c>
      <c r="D97" s="140">
        <v>17.600000000000001</v>
      </c>
      <c r="E97" s="143">
        <v>18.100000000000001</v>
      </c>
      <c r="F97" s="143">
        <v>20.7</v>
      </c>
      <c r="G97" s="143">
        <v>15.3</v>
      </c>
      <c r="H97" s="142">
        <v>14.6</v>
      </c>
      <c r="I97" s="143">
        <v>13.7</v>
      </c>
      <c r="J97" s="141">
        <v>13.4</v>
      </c>
      <c r="K97" s="141">
        <v>12.4</v>
      </c>
      <c r="L97" s="141">
        <v>12.4</v>
      </c>
      <c r="M97" s="142">
        <v>12.4</v>
      </c>
      <c r="N97" s="188"/>
      <c r="O97" s="140">
        <v>56.4</v>
      </c>
      <c r="P97" s="141">
        <v>29.9</v>
      </c>
      <c r="Q97" s="142">
        <v>86.3</v>
      </c>
      <c r="R97" s="188"/>
      <c r="S97" s="140">
        <v>67.5</v>
      </c>
      <c r="T97" s="250">
        <v>-0.2178447276940905</v>
      </c>
    </row>
    <row r="98" spans="1:20" s="104" customFormat="1" ht="15">
      <c r="A98" s="105"/>
      <c r="B98" s="179"/>
      <c r="C98" s="195"/>
      <c r="D98" s="244"/>
      <c r="E98" s="245"/>
      <c r="F98" s="245"/>
      <c r="G98" s="245"/>
      <c r="H98" s="246"/>
      <c r="I98" s="245"/>
      <c r="J98" s="245"/>
      <c r="K98" s="245"/>
      <c r="L98" s="245"/>
      <c r="M98" s="246"/>
      <c r="N98" s="133"/>
      <c r="O98" s="244"/>
      <c r="P98" s="245"/>
      <c r="Q98" s="246"/>
      <c r="R98" s="133"/>
      <c r="S98" s="244"/>
      <c r="T98" s="246"/>
    </row>
    <row r="99" spans="1:20" s="104" customFormat="1" ht="15">
      <c r="A99" s="105"/>
      <c r="B99" s="179" t="s">
        <v>255</v>
      </c>
      <c r="C99" s="124" t="s">
        <v>203</v>
      </c>
      <c r="D99" s="248"/>
      <c r="E99" s="249"/>
      <c r="F99" s="249"/>
      <c r="G99" s="172">
        <v>0</v>
      </c>
      <c r="H99" s="173">
        <v>0</v>
      </c>
      <c r="I99" s="172">
        <v>0</v>
      </c>
      <c r="J99" s="174">
        <v>0</v>
      </c>
      <c r="K99" s="174">
        <v>0</v>
      </c>
      <c r="L99" s="174">
        <v>0</v>
      </c>
      <c r="M99" s="173">
        <v>0</v>
      </c>
      <c r="N99" s="133"/>
      <c r="O99" s="130">
        <v>0</v>
      </c>
      <c r="P99" s="131">
        <v>0</v>
      </c>
      <c r="Q99" s="132">
        <v>0</v>
      </c>
      <c r="R99" s="133"/>
      <c r="S99" s="130">
        <v>0</v>
      </c>
      <c r="T99" s="134" t="s">
        <v>989</v>
      </c>
    </row>
    <row r="100" spans="1:20" s="104" customFormat="1" ht="15.75" thickBot="1">
      <c r="A100" s="105"/>
      <c r="B100" s="187" t="s">
        <v>256</v>
      </c>
      <c r="C100" s="219" t="s">
        <v>203</v>
      </c>
      <c r="D100" s="251"/>
      <c r="E100" s="252"/>
      <c r="F100" s="252"/>
      <c r="G100" s="253">
        <v>0</v>
      </c>
      <c r="H100" s="254">
        <v>0</v>
      </c>
      <c r="I100" s="253">
        <v>0</v>
      </c>
      <c r="J100" s="255">
        <v>0</v>
      </c>
      <c r="K100" s="255">
        <v>0</v>
      </c>
      <c r="L100" s="255">
        <v>0</v>
      </c>
      <c r="M100" s="254">
        <v>0</v>
      </c>
      <c r="N100" s="133"/>
      <c r="O100" s="150">
        <v>0</v>
      </c>
      <c r="P100" s="151">
        <v>0</v>
      </c>
      <c r="Q100" s="152">
        <v>0</v>
      </c>
      <c r="R100" s="133"/>
      <c r="S100" s="150">
        <v>0</v>
      </c>
      <c r="T100" s="153" t="s">
        <v>989</v>
      </c>
    </row>
    <row r="101" spans="1:20" s="104" customFormat="1" ht="14.25">
      <c r="A101" s="105"/>
      <c r="B101" s="105"/>
      <c r="C101" s="105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</row>
    <row r="102" spans="1:20" s="104" customFormat="1" ht="14.25">
      <c r="A102" s="105"/>
      <c r="B102" s="105"/>
      <c r="C102" s="107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33"/>
      <c r="O102" s="154"/>
      <c r="P102" s="154"/>
      <c r="Q102" s="154"/>
      <c r="R102" s="133"/>
      <c r="S102" s="154"/>
      <c r="T102" s="154"/>
    </row>
    <row r="103" spans="1:20" s="104" customFormat="1" ht="15">
      <c r="A103" s="105"/>
      <c r="B103" s="106" t="s">
        <v>257</v>
      </c>
      <c r="C103" s="227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133"/>
      <c r="O103" s="228"/>
      <c r="P103" s="228"/>
      <c r="Q103" s="228"/>
      <c r="R103" s="133"/>
      <c r="S103" s="228"/>
      <c r="T103" s="228"/>
    </row>
    <row r="104" spans="1:20" s="104" customFormat="1" ht="15.75" thickBot="1">
      <c r="A104" s="105"/>
      <c r="B104" s="106"/>
      <c r="C104" s="227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133"/>
      <c r="O104" s="228"/>
      <c r="P104" s="228"/>
      <c r="Q104" s="228"/>
      <c r="R104" s="133"/>
      <c r="S104" s="228"/>
      <c r="T104" s="228"/>
    </row>
    <row r="105" spans="1:20" s="104" customFormat="1" ht="14.25">
      <c r="A105" s="105"/>
      <c r="B105" s="1214"/>
      <c r="C105" s="1212" t="s">
        <v>190</v>
      </c>
      <c r="D105" s="155" t="s">
        <v>191</v>
      </c>
      <c r="E105" s="156"/>
      <c r="F105" s="156"/>
      <c r="G105" s="156"/>
      <c r="H105" s="157"/>
      <c r="I105" s="156" t="s">
        <v>192</v>
      </c>
      <c r="J105" s="158"/>
      <c r="K105" s="158"/>
      <c r="L105" s="158"/>
      <c r="M105" s="157"/>
      <c r="N105" s="133"/>
      <c r="O105" s="229" t="s">
        <v>191</v>
      </c>
      <c r="P105" s="230"/>
      <c r="Q105" s="231"/>
      <c r="R105" s="133"/>
      <c r="S105" s="229" t="s">
        <v>192</v>
      </c>
      <c r="T105" s="231"/>
    </row>
    <row r="106" spans="1:20" s="104" customFormat="1" ht="14.25">
      <c r="A106" s="105"/>
      <c r="B106" s="1215"/>
      <c r="C106" s="1213"/>
      <c r="D106" s="159" t="s">
        <v>79</v>
      </c>
      <c r="E106" s="160" t="s">
        <v>80</v>
      </c>
      <c r="F106" s="160" t="s">
        <v>81</v>
      </c>
      <c r="G106" s="160" t="s">
        <v>82</v>
      </c>
      <c r="H106" s="161" t="s">
        <v>44</v>
      </c>
      <c r="I106" s="162" t="s">
        <v>193</v>
      </c>
      <c r="J106" s="160" t="s">
        <v>194</v>
      </c>
      <c r="K106" s="160" t="s">
        <v>195</v>
      </c>
      <c r="L106" s="160" t="s">
        <v>196</v>
      </c>
      <c r="M106" s="161" t="s">
        <v>197</v>
      </c>
      <c r="N106" s="133"/>
      <c r="O106" s="232" t="s">
        <v>198</v>
      </c>
      <c r="P106" s="233" t="s">
        <v>199</v>
      </c>
      <c r="Q106" s="234" t="s">
        <v>200</v>
      </c>
      <c r="R106" s="133"/>
      <c r="S106" s="232" t="s">
        <v>199</v>
      </c>
      <c r="T106" s="234" t="s">
        <v>201</v>
      </c>
    </row>
    <row r="107" spans="1:20" s="104" customFormat="1" ht="30">
      <c r="A107" s="105"/>
      <c r="B107" s="179" t="s">
        <v>258</v>
      </c>
      <c r="C107" s="238"/>
      <c r="D107" s="165"/>
      <c r="E107" s="166"/>
      <c r="F107" s="166"/>
      <c r="G107" s="166"/>
      <c r="H107" s="167"/>
      <c r="I107" s="166"/>
      <c r="J107" s="166"/>
      <c r="K107" s="166"/>
      <c r="L107" s="166"/>
      <c r="M107" s="167"/>
      <c r="N107" s="133"/>
      <c r="O107" s="239"/>
      <c r="P107" s="240"/>
      <c r="Q107" s="241"/>
      <c r="R107" s="133"/>
      <c r="S107" s="165"/>
      <c r="T107" s="167"/>
    </row>
    <row r="108" spans="1:20" s="104" customFormat="1" ht="14.25">
      <c r="A108" s="105"/>
      <c r="B108" s="180" t="s">
        <v>244</v>
      </c>
      <c r="C108" s="195" t="s">
        <v>203</v>
      </c>
      <c r="D108" s="171">
        <v>14.1</v>
      </c>
      <c r="E108" s="172">
        <v>12</v>
      </c>
      <c r="F108" s="172">
        <v>13.8</v>
      </c>
      <c r="G108" s="172">
        <v>11.3</v>
      </c>
      <c r="H108" s="173">
        <v>10.9</v>
      </c>
      <c r="I108" s="172">
        <v>10</v>
      </c>
      <c r="J108" s="174">
        <v>9.8000000000000007</v>
      </c>
      <c r="K108" s="174">
        <v>9</v>
      </c>
      <c r="L108" s="174">
        <v>9</v>
      </c>
      <c r="M108" s="173">
        <v>9</v>
      </c>
      <c r="N108" s="133"/>
      <c r="O108" s="130">
        <v>39.9</v>
      </c>
      <c r="P108" s="131">
        <v>22.2</v>
      </c>
      <c r="Q108" s="132">
        <v>62.1</v>
      </c>
      <c r="R108" s="133"/>
      <c r="S108" s="130">
        <v>46.9</v>
      </c>
      <c r="T108" s="134">
        <v>-0.24476650563607089</v>
      </c>
    </row>
    <row r="109" spans="1:20" s="104" customFormat="1" ht="14.25">
      <c r="A109" s="105"/>
      <c r="B109" s="180" t="s">
        <v>259</v>
      </c>
      <c r="C109" s="195" t="s">
        <v>203</v>
      </c>
      <c r="D109" s="171">
        <v>0.1</v>
      </c>
      <c r="E109" s="172">
        <v>0.4</v>
      </c>
      <c r="F109" s="172">
        <v>0.9</v>
      </c>
      <c r="G109" s="172">
        <v>0.4</v>
      </c>
      <c r="H109" s="173">
        <v>0.4</v>
      </c>
      <c r="I109" s="172">
        <v>1.3</v>
      </c>
      <c r="J109" s="174">
        <v>1.3</v>
      </c>
      <c r="K109" s="174">
        <v>1.1000000000000001</v>
      </c>
      <c r="L109" s="174">
        <v>1.1000000000000001</v>
      </c>
      <c r="M109" s="173">
        <v>1.1000000000000001</v>
      </c>
      <c r="N109" s="133"/>
      <c r="O109" s="130">
        <v>1.4</v>
      </c>
      <c r="P109" s="131">
        <v>0.8</v>
      </c>
      <c r="Q109" s="132">
        <v>2.2000000000000002</v>
      </c>
      <c r="R109" s="133"/>
      <c r="S109" s="130">
        <v>1.6</v>
      </c>
      <c r="T109" s="134">
        <v>-0.2727272727272726</v>
      </c>
    </row>
    <row r="110" spans="1:20" s="104" customFormat="1" ht="15">
      <c r="A110" s="105"/>
      <c r="B110" s="179" t="s">
        <v>246</v>
      </c>
      <c r="C110" s="195" t="s">
        <v>203</v>
      </c>
      <c r="D110" s="130">
        <v>14.2</v>
      </c>
      <c r="E110" s="242">
        <v>12.4</v>
      </c>
      <c r="F110" s="242">
        <v>14.7</v>
      </c>
      <c r="G110" s="242">
        <v>11.7</v>
      </c>
      <c r="H110" s="132">
        <v>11.3</v>
      </c>
      <c r="I110" s="242">
        <v>11.3</v>
      </c>
      <c r="J110" s="131">
        <v>11.1</v>
      </c>
      <c r="K110" s="131">
        <v>10.1</v>
      </c>
      <c r="L110" s="131">
        <v>10.1</v>
      </c>
      <c r="M110" s="132">
        <v>10.1</v>
      </c>
      <c r="N110" s="133"/>
      <c r="O110" s="130">
        <v>41.3</v>
      </c>
      <c r="P110" s="131">
        <v>23</v>
      </c>
      <c r="Q110" s="132">
        <v>64.3</v>
      </c>
      <c r="R110" s="133"/>
      <c r="S110" s="130">
        <v>48.5</v>
      </c>
      <c r="T110" s="134">
        <v>-0.24572317262830495</v>
      </c>
    </row>
    <row r="111" spans="1:20" s="104" customFormat="1" ht="30">
      <c r="A111" s="105"/>
      <c r="B111" s="179" t="s">
        <v>260</v>
      </c>
      <c r="C111" s="243"/>
      <c r="D111" s="244"/>
      <c r="E111" s="245"/>
      <c r="F111" s="245"/>
      <c r="G111" s="245"/>
      <c r="H111" s="246"/>
      <c r="I111" s="245"/>
      <c r="J111" s="245"/>
      <c r="K111" s="245"/>
      <c r="L111" s="245"/>
      <c r="M111" s="246"/>
      <c r="N111" s="133"/>
      <c r="O111" s="247"/>
      <c r="P111" s="245"/>
      <c r="Q111" s="246"/>
      <c r="R111" s="133"/>
      <c r="S111" s="244"/>
      <c r="T111" s="246"/>
    </row>
    <row r="112" spans="1:20" s="104" customFormat="1" ht="14.25">
      <c r="A112" s="105"/>
      <c r="B112" s="180" t="s">
        <v>244</v>
      </c>
      <c r="C112" s="195" t="s">
        <v>203</v>
      </c>
      <c r="D112" s="171">
        <v>2.2000000000000002</v>
      </c>
      <c r="E112" s="172">
        <v>3.2</v>
      </c>
      <c r="F112" s="172">
        <v>2.5</v>
      </c>
      <c r="G112" s="172">
        <v>1.7</v>
      </c>
      <c r="H112" s="173">
        <v>1.9</v>
      </c>
      <c r="I112" s="172">
        <v>1.1000000000000001</v>
      </c>
      <c r="J112" s="174">
        <v>1</v>
      </c>
      <c r="K112" s="174">
        <v>1</v>
      </c>
      <c r="L112" s="174">
        <v>1</v>
      </c>
      <c r="M112" s="173">
        <v>1</v>
      </c>
      <c r="N112" s="133"/>
      <c r="O112" s="130">
        <v>7.9</v>
      </c>
      <c r="P112" s="131">
        <v>3.6</v>
      </c>
      <c r="Q112" s="132">
        <v>11.5</v>
      </c>
      <c r="R112" s="133"/>
      <c r="S112" s="130">
        <v>11.9</v>
      </c>
      <c r="T112" s="134">
        <v>3.4782608695652049E-2</v>
      </c>
    </row>
    <row r="113" spans="1:20" s="104" customFormat="1" ht="14.25">
      <c r="A113" s="105"/>
      <c r="B113" s="180" t="s">
        <v>259</v>
      </c>
      <c r="C113" s="195" t="s">
        <v>203</v>
      </c>
      <c r="D113" s="171">
        <v>0</v>
      </c>
      <c r="E113" s="172">
        <v>0</v>
      </c>
      <c r="F113" s="172">
        <v>0.2</v>
      </c>
      <c r="G113" s="172">
        <v>0.2</v>
      </c>
      <c r="H113" s="173">
        <v>0.2</v>
      </c>
      <c r="I113" s="172">
        <v>1.3</v>
      </c>
      <c r="J113" s="174">
        <v>1.3</v>
      </c>
      <c r="K113" s="174">
        <v>1.3</v>
      </c>
      <c r="L113" s="174">
        <v>1.3</v>
      </c>
      <c r="M113" s="173">
        <v>1.3</v>
      </c>
      <c r="N113" s="133"/>
      <c r="O113" s="130">
        <v>0.2</v>
      </c>
      <c r="P113" s="131">
        <v>0.4</v>
      </c>
      <c r="Q113" s="132">
        <v>0.6</v>
      </c>
      <c r="R113" s="133"/>
      <c r="S113" s="130">
        <v>1.8</v>
      </c>
      <c r="T113" s="134">
        <v>2</v>
      </c>
    </row>
    <row r="114" spans="1:20" s="104" customFormat="1" ht="15">
      <c r="A114" s="105"/>
      <c r="B114" s="179" t="s">
        <v>248</v>
      </c>
      <c r="C114" s="195" t="s">
        <v>203</v>
      </c>
      <c r="D114" s="130">
        <v>2.2000000000000002</v>
      </c>
      <c r="E114" s="242">
        <v>3.2</v>
      </c>
      <c r="F114" s="242">
        <v>2.7</v>
      </c>
      <c r="G114" s="242">
        <v>1.9</v>
      </c>
      <c r="H114" s="132">
        <v>2.1</v>
      </c>
      <c r="I114" s="242">
        <v>2.4</v>
      </c>
      <c r="J114" s="131">
        <v>2.2999999999999998</v>
      </c>
      <c r="K114" s="131">
        <v>2.2999999999999998</v>
      </c>
      <c r="L114" s="131">
        <v>2.2999999999999998</v>
      </c>
      <c r="M114" s="132">
        <v>2.2999999999999998</v>
      </c>
      <c r="N114" s="133"/>
      <c r="O114" s="130">
        <v>8.1</v>
      </c>
      <c r="P114" s="131">
        <v>4</v>
      </c>
      <c r="Q114" s="132">
        <v>12.1</v>
      </c>
      <c r="R114" s="133"/>
      <c r="S114" s="130">
        <v>13.7</v>
      </c>
      <c r="T114" s="134">
        <v>0.1322314049586775</v>
      </c>
    </row>
    <row r="115" spans="1:20" s="104" customFormat="1" ht="30">
      <c r="A115" s="105"/>
      <c r="B115" s="179" t="s">
        <v>261</v>
      </c>
      <c r="C115" s="243"/>
      <c r="D115" s="244"/>
      <c r="E115" s="245"/>
      <c r="F115" s="245"/>
      <c r="G115" s="245"/>
      <c r="H115" s="246"/>
      <c r="I115" s="245"/>
      <c r="J115" s="245"/>
      <c r="K115" s="245"/>
      <c r="L115" s="245"/>
      <c r="M115" s="246"/>
      <c r="N115" s="133"/>
      <c r="O115" s="244"/>
      <c r="P115" s="245"/>
      <c r="Q115" s="246"/>
      <c r="R115" s="133"/>
      <c r="S115" s="244"/>
      <c r="T115" s="246"/>
    </row>
    <row r="116" spans="1:20" s="104" customFormat="1" ht="14.25">
      <c r="A116" s="105"/>
      <c r="B116" s="180" t="s">
        <v>244</v>
      </c>
      <c r="C116" s="195" t="s">
        <v>203</v>
      </c>
      <c r="D116" s="171">
        <v>0.6</v>
      </c>
      <c r="E116" s="172">
        <v>1.2</v>
      </c>
      <c r="F116" s="172">
        <v>0.5</v>
      </c>
      <c r="G116" s="172">
        <v>0.4</v>
      </c>
      <c r="H116" s="173">
        <v>0</v>
      </c>
      <c r="I116" s="172">
        <v>0</v>
      </c>
      <c r="J116" s="172">
        <v>0</v>
      </c>
      <c r="K116" s="172">
        <v>0</v>
      </c>
      <c r="L116" s="172">
        <v>0</v>
      </c>
      <c r="M116" s="172">
        <v>0</v>
      </c>
      <c r="N116" s="133"/>
      <c r="O116" s="130">
        <v>2.2999999999999998</v>
      </c>
      <c r="P116" s="131">
        <v>0.4</v>
      </c>
      <c r="Q116" s="132">
        <v>2.7</v>
      </c>
      <c r="R116" s="133"/>
      <c r="S116" s="130">
        <v>0.8</v>
      </c>
      <c r="T116" s="134">
        <v>-0.70370370370370361</v>
      </c>
    </row>
    <row r="117" spans="1:20" s="104" customFormat="1" ht="14.25">
      <c r="A117" s="105"/>
      <c r="B117" s="180" t="s">
        <v>259</v>
      </c>
      <c r="C117" s="195" t="s">
        <v>203</v>
      </c>
      <c r="D117" s="171">
        <v>0</v>
      </c>
      <c r="E117" s="172">
        <v>0.3</v>
      </c>
      <c r="F117" s="172">
        <v>1.1000000000000001</v>
      </c>
      <c r="G117" s="172">
        <v>0.15</v>
      </c>
      <c r="H117" s="173">
        <v>0.1</v>
      </c>
      <c r="I117" s="172">
        <v>0</v>
      </c>
      <c r="J117" s="172">
        <v>0</v>
      </c>
      <c r="K117" s="172">
        <v>0</v>
      </c>
      <c r="L117" s="172">
        <v>0</v>
      </c>
      <c r="M117" s="172">
        <v>0</v>
      </c>
      <c r="N117" s="133"/>
      <c r="O117" s="130">
        <v>1.4</v>
      </c>
      <c r="P117" s="131">
        <v>0.25</v>
      </c>
      <c r="Q117" s="132">
        <v>1.65</v>
      </c>
      <c r="R117" s="133"/>
      <c r="S117" s="130">
        <v>0.3</v>
      </c>
      <c r="T117" s="134">
        <v>-0.81818181818181812</v>
      </c>
    </row>
    <row r="118" spans="1:20" s="104" customFormat="1" ht="15">
      <c r="A118" s="105"/>
      <c r="B118" s="179" t="s">
        <v>250</v>
      </c>
      <c r="C118" s="195" t="s">
        <v>203</v>
      </c>
      <c r="D118" s="130">
        <v>0.6</v>
      </c>
      <c r="E118" s="242">
        <v>1.5</v>
      </c>
      <c r="F118" s="242">
        <v>1.6</v>
      </c>
      <c r="G118" s="242">
        <v>0.55000000000000004</v>
      </c>
      <c r="H118" s="132">
        <v>0.1</v>
      </c>
      <c r="I118" s="242">
        <v>0</v>
      </c>
      <c r="J118" s="131">
        <v>0.55000000000000004</v>
      </c>
      <c r="K118" s="131">
        <v>0</v>
      </c>
      <c r="L118" s="131">
        <v>0</v>
      </c>
      <c r="M118" s="132">
        <v>0.55000000000000004</v>
      </c>
      <c r="N118" s="133"/>
      <c r="O118" s="130">
        <v>3.7</v>
      </c>
      <c r="P118" s="131">
        <v>0.65</v>
      </c>
      <c r="Q118" s="132">
        <v>4.3499999999999996</v>
      </c>
      <c r="R118" s="133"/>
      <c r="S118" s="130">
        <v>1.1000000000000001</v>
      </c>
      <c r="T118" s="134">
        <v>-0.74712643678160917</v>
      </c>
    </row>
    <row r="119" spans="1:20" s="104" customFormat="1" ht="30">
      <c r="A119" s="105"/>
      <c r="B119" s="179" t="s">
        <v>262</v>
      </c>
      <c r="C119" s="243"/>
      <c r="D119" s="244"/>
      <c r="E119" s="245"/>
      <c r="F119" s="245"/>
      <c r="G119" s="245"/>
      <c r="H119" s="246"/>
      <c r="I119" s="245"/>
      <c r="J119" s="245"/>
      <c r="K119" s="245"/>
      <c r="L119" s="245"/>
      <c r="M119" s="246"/>
      <c r="N119" s="133"/>
      <c r="O119" s="244"/>
      <c r="P119" s="245"/>
      <c r="Q119" s="246"/>
      <c r="R119" s="133"/>
      <c r="S119" s="244"/>
      <c r="T119" s="246"/>
    </row>
    <row r="120" spans="1:20" s="104" customFormat="1" ht="14.25">
      <c r="A120" s="105"/>
      <c r="B120" s="180" t="s">
        <v>244</v>
      </c>
      <c r="C120" s="195" t="s">
        <v>203</v>
      </c>
      <c r="D120" s="171">
        <v>0</v>
      </c>
      <c r="E120" s="172">
        <v>0</v>
      </c>
      <c r="F120" s="172">
        <v>0</v>
      </c>
      <c r="G120" s="172">
        <v>0</v>
      </c>
      <c r="H120" s="173">
        <v>0</v>
      </c>
      <c r="I120" s="172">
        <v>0</v>
      </c>
      <c r="J120" s="174">
        <v>0</v>
      </c>
      <c r="K120" s="174">
        <v>0</v>
      </c>
      <c r="L120" s="174">
        <v>0</v>
      </c>
      <c r="M120" s="173">
        <v>0</v>
      </c>
      <c r="N120" s="133"/>
      <c r="O120" s="130">
        <v>0</v>
      </c>
      <c r="P120" s="131">
        <v>0</v>
      </c>
      <c r="Q120" s="132">
        <v>0</v>
      </c>
      <c r="R120" s="133"/>
      <c r="S120" s="130">
        <v>0</v>
      </c>
      <c r="T120" s="134" t="s">
        <v>989</v>
      </c>
    </row>
    <row r="121" spans="1:20" s="104" customFormat="1" ht="14.25">
      <c r="A121" s="105"/>
      <c r="B121" s="180" t="s">
        <v>259</v>
      </c>
      <c r="C121" s="195" t="s">
        <v>203</v>
      </c>
      <c r="D121" s="171">
        <v>0</v>
      </c>
      <c r="E121" s="172">
        <v>0</v>
      </c>
      <c r="F121" s="172">
        <v>0</v>
      </c>
      <c r="G121" s="172">
        <v>0</v>
      </c>
      <c r="H121" s="173">
        <v>0</v>
      </c>
      <c r="I121" s="172">
        <v>0</v>
      </c>
      <c r="J121" s="174">
        <v>0</v>
      </c>
      <c r="K121" s="174">
        <v>0</v>
      </c>
      <c r="L121" s="174">
        <v>0</v>
      </c>
      <c r="M121" s="173">
        <v>0</v>
      </c>
      <c r="N121" s="133"/>
      <c r="O121" s="130">
        <v>0</v>
      </c>
      <c r="P121" s="131">
        <v>0</v>
      </c>
      <c r="Q121" s="132">
        <v>0</v>
      </c>
      <c r="R121" s="133"/>
      <c r="S121" s="130">
        <v>0</v>
      </c>
      <c r="T121" s="134" t="s">
        <v>989</v>
      </c>
    </row>
    <row r="122" spans="1:20" s="104" customFormat="1" ht="15">
      <c r="A122" s="105"/>
      <c r="B122" s="179" t="s">
        <v>252</v>
      </c>
      <c r="C122" s="195" t="s">
        <v>203</v>
      </c>
      <c r="D122" s="130">
        <v>0</v>
      </c>
      <c r="E122" s="242">
        <v>0</v>
      </c>
      <c r="F122" s="242">
        <v>0</v>
      </c>
      <c r="G122" s="242">
        <v>0</v>
      </c>
      <c r="H122" s="132">
        <v>0</v>
      </c>
      <c r="I122" s="242">
        <v>0</v>
      </c>
      <c r="J122" s="131">
        <v>0</v>
      </c>
      <c r="K122" s="131">
        <v>0</v>
      </c>
      <c r="L122" s="131">
        <v>0</v>
      </c>
      <c r="M122" s="132">
        <v>0</v>
      </c>
      <c r="N122" s="133"/>
      <c r="O122" s="130">
        <v>0</v>
      </c>
      <c r="P122" s="131">
        <v>0</v>
      </c>
      <c r="Q122" s="132">
        <v>0</v>
      </c>
      <c r="R122" s="133"/>
      <c r="S122" s="130">
        <v>0</v>
      </c>
      <c r="T122" s="134" t="s">
        <v>989</v>
      </c>
    </row>
    <row r="123" spans="1:20" s="104" customFormat="1" ht="15">
      <c r="A123" s="105"/>
      <c r="B123" s="179"/>
      <c r="C123" s="195"/>
      <c r="D123" s="244"/>
      <c r="E123" s="245"/>
      <c r="F123" s="245"/>
      <c r="G123" s="245"/>
      <c r="H123" s="246"/>
      <c r="I123" s="245"/>
      <c r="J123" s="245"/>
      <c r="K123" s="245"/>
      <c r="L123" s="245"/>
      <c r="M123" s="246"/>
      <c r="N123" s="133"/>
      <c r="O123" s="244"/>
      <c r="P123" s="245"/>
      <c r="Q123" s="246"/>
      <c r="R123" s="133"/>
      <c r="S123" s="244"/>
      <c r="T123" s="246"/>
    </row>
    <row r="124" spans="1:20" s="104" customFormat="1" ht="15">
      <c r="A124" s="105"/>
      <c r="B124" s="237" t="s">
        <v>263</v>
      </c>
      <c r="C124" s="124" t="s">
        <v>203</v>
      </c>
      <c r="D124" s="143">
        <v>17</v>
      </c>
      <c r="E124" s="143">
        <v>17.100000000000001</v>
      </c>
      <c r="F124" s="143">
        <v>19</v>
      </c>
      <c r="G124" s="143">
        <v>14.15</v>
      </c>
      <c r="H124" s="142">
        <v>13.5</v>
      </c>
      <c r="I124" s="143">
        <v>13.7</v>
      </c>
      <c r="J124" s="141">
        <v>13.4</v>
      </c>
      <c r="K124" s="141">
        <v>12.4</v>
      </c>
      <c r="L124" s="141">
        <v>12.4</v>
      </c>
      <c r="M124" s="142">
        <v>12.4</v>
      </c>
      <c r="N124" s="188"/>
      <c r="O124" s="140">
        <v>53.1</v>
      </c>
      <c r="P124" s="141">
        <v>27.65</v>
      </c>
      <c r="Q124" s="142">
        <v>80.75</v>
      </c>
      <c r="R124" s="188"/>
      <c r="S124" s="140">
        <v>63.3</v>
      </c>
      <c r="T124" s="250">
        <v>-0.21609907120743044</v>
      </c>
    </row>
    <row r="125" spans="1:20" s="104" customFormat="1" ht="15">
      <c r="A125" s="105"/>
      <c r="B125" s="237" t="s">
        <v>264</v>
      </c>
      <c r="C125" s="124" t="s">
        <v>203</v>
      </c>
      <c r="D125" s="171">
        <v>-0.7</v>
      </c>
      <c r="E125" s="172">
        <v>3.8</v>
      </c>
      <c r="F125" s="172">
        <v>5.8</v>
      </c>
      <c r="G125" s="172">
        <v>5.4</v>
      </c>
      <c r="H125" s="173">
        <v>5.0999999999999996</v>
      </c>
      <c r="I125" s="172">
        <v>4.8</v>
      </c>
      <c r="J125" s="174">
        <v>5</v>
      </c>
      <c r="K125" s="174">
        <v>4.7</v>
      </c>
      <c r="L125" s="174">
        <v>4.7</v>
      </c>
      <c r="M125" s="173">
        <v>4.9000000000000004</v>
      </c>
      <c r="N125" s="188"/>
      <c r="O125" s="140">
        <v>8.9</v>
      </c>
      <c r="P125" s="141">
        <v>10.5</v>
      </c>
      <c r="Q125" s="142">
        <v>19.399999999999999</v>
      </c>
      <c r="R125" s="188"/>
      <c r="S125" s="140">
        <v>24.1</v>
      </c>
      <c r="T125" s="250">
        <v>0.24226804123711357</v>
      </c>
    </row>
    <row r="126" spans="1:20" s="104" customFormat="1" ht="15">
      <c r="A126" s="105"/>
      <c r="B126" s="237" t="s">
        <v>265</v>
      </c>
      <c r="C126" s="124" t="s">
        <v>203</v>
      </c>
      <c r="D126" s="140">
        <v>16.3</v>
      </c>
      <c r="E126" s="143">
        <v>20.9</v>
      </c>
      <c r="F126" s="143">
        <v>24.8</v>
      </c>
      <c r="G126" s="143">
        <v>19.55</v>
      </c>
      <c r="H126" s="142">
        <v>18.600000000000001</v>
      </c>
      <c r="I126" s="143">
        <f>+I125+I124</f>
        <v>18.5</v>
      </c>
      <c r="J126" s="143">
        <f>+J125+J124</f>
        <v>18.399999999999999</v>
      </c>
      <c r="K126" s="143">
        <f>+K125+K124</f>
        <v>17.100000000000001</v>
      </c>
      <c r="L126" s="143">
        <f>+L125+L124</f>
        <v>17.100000000000001</v>
      </c>
      <c r="M126" s="143">
        <f>+M125+M124</f>
        <v>17.3</v>
      </c>
      <c r="N126" s="188"/>
      <c r="O126" s="140">
        <v>62</v>
      </c>
      <c r="P126" s="141">
        <v>38.15</v>
      </c>
      <c r="Q126" s="142">
        <v>100.15</v>
      </c>
      <c r="R126" s="188"/>
      <c r="S126" s="140">
        <v>87.4</v>
      </c>
      <c r="T126" s="250">
        <v>-0.12730903644533201</v>
      </c>
    </row>
    <row r="127" spans="1:20" s="104" customFormat="1" ht="15">
      <c r="A127" s="105"/>
      <c r="B127" s="237"/>
      <c r="C127" s="175"/>
      <c r="D127" s="239"/>
      <c r="E127" s="240"/>
      <c r="F127" s="240"/>
      <c r="G127" s="240"/>
      <c r="H127" s="241"/>
      <c r="I127" s="240"/>
      <c r="J127" s="240"/>
      <c r="K127" s="240"/>
      <c r="L127" s="240"/>
      <c r="M127" s="241"/>
      <c r="N127" s="133"/>
      <c r="O127" s="244"/>
      <c r="P127" s="245"/>
      <c r="Q127" s="246"/>
      <c r="R127" s="133"/>
      <c r="S127" s="244"/>
      <c r="T127" s="246"/>
    </row>
    <row r="128" spans="1:20" s="104" customFormat="1" ht="45.75" thickBot="1">
      <c r="A128" s="105"/>
      <c r="B128" s="187" t="s">
        <v>266</v>
      </c>
      <c r="C128" s="145" t="s">
        <v>203</v>
      </c>
      <c r="D128" s="149">
        <v>1.3</v>
      </c>
      <c r="E128" s="149">
        <v>-2.8</v>
      </c>
      <c r="F128" s="149">
        <v>-4.100000000000005</v>
      </c>
      <c r="G128" s="149">
        <v>-4.25</v>
      </c>
      <c r="H128" s="148">
        <v>-4</v>
      </c>
      <c r="I128" s="149">
        <v>-4.0999999999999996</v>
      </c>
      <c r="J128" s="147">
        <v>-4.05</v>
      </c>
      <c r="K128" s="147">
        <v>-3.9</v>
      </c>
      <c r="L128" s="147">
        <v>-3.9</v>
      </c>
      <c r="M128" s="148">
        <v>-3.95</v>
      </c>
      <c r="N128" s="188"/>
      <c r="O128" s="146">
        <v>-5.6000000000000085</v>
      </c>
      <c r="P128" s="147">
        <v>-8.25</v>
      </c>
      <c r="Q128" s="148">
        <v>-13.85</v>
      </c>
      <c r="R128" s="188"/>
      <c r="S128" s="146">
        <v>-19.899999999999999</v>
      </c>
      <c r="T128" s="256">
        <v>0.43682310469313945</v>
      </c>
    </row>
    <row r="129" spans="1:20" s="104" customFormat="1" ht="14.25">
      <c r="A129" s="105"/>
      <c r="B129" s="105"/>
      <c r="C129" s="107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</row>
    <row r="130" spans="1:20" s="104" customFormat="1" ht="15" thickBot="1">
      <c r="A130" s="105"/>
      <c r="B130" s="105"/>
      <c r="C130" s="107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</row>
    <row r="131" spans="1:20" s="104" customFormat="1" ht="14.25">
      <c r="A131" s="105"/>
      <c r="B131" s="1216"/>
      <c r="C131" s="1212" t="s">
        <v>190</v>
      </c>
      <c r="D131" s="155" t="s">
        <v>191</v>
      </c>
      <c r="E131" s="156"/>
      <c r="F131" s="156"/>
      <c r="G131" s="156"/>
      <c r="H131" s="157"/>
      <c r="I131" s="156" t="s">
        <v>192</v>
      </c>
      <c r="J131" s="158"/>
      <c r="K131" s="158"/>
      <c r="L131" s="158"/>
      <c r="M131" s="157"/>
      <c r="N131" s="133"/>
      <c r="O131" s="229" t="s">
        <v>191</v>
      </c>
      <c r="P131" s="230"/>
      <c r="Q131" s="231"/>
      <c r="R131" s="133"/>
      <c r="S131" s="229" t="s">
        <v>192</v>
      </c>
      <c r="T131" s="231"/>
    </row>
    <row r="132" spans="1:20" s="104" customFormat="1" ht="14.25">
      <c r="A132" s="105"/>
      <c r="B132" s="1217"/>
      <c r="C132" s="1213"/>
      <c r="D132" s="159" t="s">
        <v>79</v>
      </c>
      <c r="E132" s="160" t="s">
        <v>80</v>
      </c>
      <c r="F132" s="160" t="s">
        <v>81</v>
      </c>
      <c r="G132" s="160" t="s">
        <v>82</v>
      </c>
      <c r="H132" s="161" t="s">
        <v>44</v>
      </c>
      <c r="I132" s="162" t="s">
        <v>193</v>
      </c>
      <c r="J132" s="160" t="s">
        <v>194</v>
      </c>
      <c r="K132" s="160" t="s">
        <v>195</v>
      </c>
      <c r="L132" s="160" t="s">
        <v>196</v>
      </c>
      <c r="M132" s="161" t="s">
        <v>197</v>
      </c>
      <c r="N132" s="133"/>
      <c r="O132" s="232" t="s">
        <v>198</v>
      </c>
      <c r="P132" s="233" t="s">
        <v>199</v>
      </c>
      <c r="Q132" s="234" t="s">
        <v>200</v>
      </c>
      <c r="R132" s="133"/>
      <c r="S132" s="232" t="s">
        <v>199</v>
      </c>
      <c r="T132" s="234" t="s">
        <v>201</v>
      </c>
    </row>
    <row r="133" spans="1:20" s="104" customFormat="1" ht="15" customHeight="1">
      <c r="A133" s="105"/>
      <c r="B133" s="180" t="s">
        <v>267</v>
      </c>
      <c r="C133" s="257" t="s">
        <v>203</v>
      </c>
      <c r="D133" s="125">
        <v>0.6</v>
      </c>
      <c r="E133" s="126">
        <v>0.6</v>
      </c>
      <c r="F133" s="126">
        <v>0.8</v>
      </c>
      <c r="G133" s="126">
        <v>0.6</v>
      </c>
      <c r="H133" s="127">
        <v>0.5</v>
      </c>
      <c r="I133" s="126">
        <v>0.5</v>
      </c>
      <c r="J133" s="128">
        <v>0.5</v>
      </c>
      <c r="K133" s="128">
        <v>0.5</v>
      </c>
      <c r="L133" s="128">
        <v>0.5</v>
      </c>
      <c r="M133" s="127">
        <v>0.5</v>
      </c>
      <c r="N133" s="154"/>
      <c r="O133" s="258">
        <v>2</v>
      </c>
      <c r="P133" s="259">
        <v>1.1000000000000001</v>
      </c>
      <c r="Q133" s="260">
        <v>3.1</v>
      </c>
      <c r="R133" s="133"/>
      <c r="S133" s="258">
        <v>2.5</v>
      </c>
      <c r="T133" s="261">
        <v>-0.19354838709677422</v>
      </c>
    </row>
    <row r="134" spans="1:20" s="104" customFormat="1" ht="15" customHeight="1">
      <c r="A134" s="105"/>
      <c r="B134" s="180" t="s">
        <v>268</v>
      </c>
      <c r="C134" s="257" t="s">
        <v>203</v>
      </c>
      <c r="D134" s="135">
        <v>0</v>
      </c>
      <c r="E134" s="136">
        <v>0</v>
      </c>
      <c r="F134" s="136">
        <v>0.3</v>
      </c>
      <c r="G134" s="136">
        <v>0.4</v>
      </c>
      <c r="H134" s="137">
        <v>0.5</v>
      </c>
      <c r="I134" s="136">
        <v>0.2</v>
      </c>
      <c r="J134" s="138">
        <v>0.3</v>
      </c>
      <c r="K134" s="138">
        <v>0.3</v>
      </c>
      <c r="L134" s="138">
        <v>0.3</v>
      </c>
      <c r="M134" s="137">
        <v>0.3</v>
      </c>
      <c r="N134" s="154"/>
      <c r="O134" s="130">
        <v>0.3</v>
      </c>
      <c r="P134" s="131">
        <v>0.9</v>
      </c>
      <c r="Q134" s="132">
        <v>1.2</v>
      </c>
      <c r="R134" s="133"/>
      <c r="S134" s="130">
        <v>1.4</v>
      </c>
      <c r="T134" s="134">
        <v>0.16666666666666663</v>
      </c>
    </row>
    <row r="135" spans="1:20" s="104" customFormat="1" ht="15" customHeight="1">
      <c r="A135" s="105"/>
      <c r="B135" s="180" t="s">
        <v>269</v>
      </c>
      <c r="C135" s="257" t="s">
        <v>203</v>
      </c>
      <c r="D135" s="135">
        <v>0</v>
      </c>
      <c r="E135" s="136">
        <v>0.4</v>
      </c>
      <c r="F135" s="136">
        <v>0.6</v>
      </c>
      <c r="G135" s="136">
        <v>0.15</v>
      </c>
      <c r="H135" s="137">
        <v>0.1</v>
      </c>
      <c r="I135" s="136">
        <v>0</v>
      </c>
      <c r="J135" s="138">
        <v>0.15</v>
      </c>
      <c r="K135" s="138">
        <v>0</v>
      </c>
      <c r="L135" s="138">
        <v>0</v>
      </c>
      <c r="M135" s="137">
        <v>0.15</v>
      </c>
      <c r="N135" s="154"/>
      <c r="O135" s="130">
        <v>1</v>
      </c>
      <c r="P135" s="131">
        <v>0.25</v>
      </c>
      <c r="Q135" s="132">
        <v>1.25</v>
      </c>
      <c r="R135" s="133"/>
      <c r="S135" s="130">
        <v>0.3</v>
      </c>
      <c r="T135" s="134">
        <v>-0.76</v>
      </c>
    </row>
    <row r="136" spans="1:20" s="104" customFormat="1" ht="15" customHeight="1" thickBot="1">
      <c r="A136" s="105"/>
      <c r="B136" s="262" t="s">
        <v>270</v>
      </c>
      <c r="C136" s="263" t="s">
        <v>203</v>
      </c>
      <c r="D136" s="264">
        <v>0</v>
      </c>
      <c r="E136" s="265">
        <v>0</v>
      </c>
      <c r="F136" s="265">
        <v>0</v>
      </c>
      <c r="G136" s="265">
        <v>0</v>
      </c>
      <c r="H136" s="266">
        <v>0</v>
      </c>
      <c r="I136" s="265">
        <v>0</v>
      </c>
      <c r="J136" s="267">
        <v>0</v>
      </c>
      <c r="K136" s="267">
        <v>0</v>
      </c>
      <c r="L136" s="267">
        <v>0</v>
      </c>
      <c r="M136" s="266">
        <v>0</v>
      </c>
      <c r="N136" s="154"/>
      <c r="O136" s="150">
        <v>0</v>
      </c>
      <c r="P136" s="151">
        <v>0</v>
      </c>
      <c r="Q136" s="152">
        <v>0</v>
      </c>
      <c r="R136" s="133"/>
      <c r="S136" s="150">
        <v>0</v>
      </c>
      <c r="T136" s="153" t="s">
        <v>989</v>
      </c>
    </row>
    <row r="137" spans="1:20" s="104" customFormat="1" ht="14.25">
      <c r="A137" s="268"/>
      <c r="B137" s="268"/>
      <c r="C137" s="269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54"/>
      <c r="P137" s="154"/>
      <c r="Q137" s="154"/>
      <c r="R137" s="154"/>
      <c r="S137" s="154"/>
      <c r="T137" s="154"/>
    </row>
    <row r="138" spans="1:20" s="104" customFormat="1" ht="14.25">
      <c r="A138" s="105"/>
      <c r="B138" s="105"/>
      <c r="C138" s="107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</row>
    <row r="139" spans="1:20" s="104" customFormat="1" ht="14.25">
      <c r="A139" s="105"/>
      <c r="B139" s="105"/>
      <c r="C139" s="107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</row>
    <row r="140" spans="1:20" s="104" customFormat="1" ht="14.25">
      <c r="A140" s="105"/>
      <c r="B140" s="105"/>
      <c r="C140" s="107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</row>
    <row r="141" spans="1:20" s="104" customFormat="1" ht="14.25">
      <c r="A141" s="105"/>
      <c r="B141" s="105"/>
      <c r="C141" s="107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</row>
    <row r="142" spans="1:20" s="104" customFormat="1" ht="14.25">
      <c r="A142" s="105"/>
      <c r="B142" s="105"/>
      <c r="C142" s="107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</row>
    <row r="143" spans="1:20" s="104" customFormat="1" ht="14.25">
      <c r="A143" s="105"/>
      <c r="B143" s="105"/>
      <c r="C143" s="107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</row>
    <row r="144" spans="1:20" s="104" customFormat="1" ht="14.25">
      <c r="A144" s="105"/>
      <c r="B144" s="105"/>
      <c r="C144" s="107"/>
      <c r="D144" s="154"/>
      <c r="E144" s="154"/>
      <c r="F144" s="154"/>
      <c r="G144" s="154"/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</row>
    <row r="145" spans="4:20"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4:20"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4:20"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</sheetData>
  <mergeCells count="12">
    <mergeCell ref="B8:B9"/>
    <mergeCell ref="C8:C9"/>
    <mergeCell ref="B18:B19"/>
    <mergeCell ref="C18:C19"/>
    <mergeCell ref="B51:B52"/>
    <mergeCell ref="C51:C52"/>
    <mergeCell ref="B76:B77"/>
    <mergeCell ref="C76:C77"/>
    <mergeCell ref="B105:B106"/>
    <mergeCell ref="C105:C106"/>
    <mergeCell ref="B131:B132"/>
    <mergeCell ref="C131:C132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5FFFF"/>
    <pageSetUpPr fitToPage="1"/>
  </sheetPr>
  <dimension ref="A1:T266"/>
  <sheetViews>
    <sheetView zoomScaleSheetLayoutView="85" workbookViewId="0"/>
  </sheetViews>
  <sheetFormatPr defaultColWidth="10.28515625" defaultRowHeight="15"/>
  <cols>
    <col min="1" max="1" width="3.7109375" style="2" customWidth="1"/>
    <col min="2" max="2" width="105.28515625" style="2" customWidth="1"/>
    <col min="3" max="3" width="7.42578125" style="2" customWidth="1"/>
    <col min="4" max="8" width="10" style="2" customWidth="1"/>
    <col min="9" max="13" width="10.28515625" style="2" customWidth="1"/>
    <col min="14" max="14" width="3.140625" style="2" customWidth="1"/>
    <col min="15" max="17" width="10.28515625" style="2" customWidth="1"/>
    <col min="18" max="18" width="3.140625" style="2" customWidth="1"/>
    <col min="19" max="19" width="10.28515625" style="2" customWidth="1"/>
    <col min="20" max="20" width="13" style="2" customWidth="1"/>
    <col min="21" max="16384" width="10.28515625" style="2"/>
  </cols>
  <sheetData>
    <row r="1" spans="1:20">
      <c r="A1" s="2" t="s">
        <v>74</v>
      </c>
    </row>
    <row r="3" spans="1:20">
      <c r="A3" s="2" t="s">
        <v>271</v>
      </c>
    </row>
    <row r="6" spans="1:20">
      <c r="B6" s="2" t="s">
        <v>272</v>
      </c>
    </row>
    <row r="8" spans="1:20">
      <c r="C8" s="2" t="s">
        <v>190</v>
      </c>
      <c r="D8" s="2" t="s">
        <v>191</v>
      </c>
      <c r="I8" s="2" t="s">
        <v>192</v>
      </c>
      <c r="O8" s="2" t="s">
        <v>191</v>
      </c>
      <c r="S8" s="2" t="s">
        <v>192</v>
      </c>
    </row>
    <row r="9" spans="1:20">
      <c r="D9" s="2" t="s">
        <v>79</v>
      </c>
      <c r="E9" s="2" t="s">
        <v>80</v>
      </c>
      <c r="F9" s="2" t="s">
        <v>81</v>
      </c>
      <c r="G9" s="2" t="s">
        <v>82</v>
      </c>
      <c r="H9" s="2" t="s">
        <v>44</v>
      </c>
      <c r="I9" s="2" t="s">
        <v>193</v>
      </c>
      <c r="J9" s="2" t="s">
        <v>194</v>
      </c>
      <c r="K9" s="2" t="s">
        <v>195</v>
      </c>
      <c r="L9" s="2" t="s">
        <v>196</v>
      </c>
      <c r="M9" s="2" t="s">
        <v>197</v>
      </c>
      <c r="O9" s="2" t="s">
        <v>198</v>
      </c>
      <c r="P9" s="2" t="s">
        <v>199</v>
      </c>
      <c r="Q9" s="2" t="s">
        <v>200</v>
      </c>
      <c r="S9" s="2" t="s">
        <v>199</v>
      </c>
      <c r="T9" s="2" t="s">
        <v>201</v>
      </c>
    </row>
    <row r="10" spans="1:20">
      <c r="B10" s="2" t="s">
        <v>273</v>
      </c>
      <c r="C10" s="2" t="s">
        <v>203</v>
      </c>
      <c r="D10" s="2">
        <f t="shared" ref="D10:M10" si="0">SUM(D178,D217,D240)</f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O10" s="2">
        <f t="shared" ref="O10:O15" si="1">SUM(D10:G10)</f>
        <v>0</v>
      </c>
      <c r="P10" s="2">
        <f t="shared" ref="P10:P15" si="2">SUM(H10)</f>
        <v>0</v>
      </c>
      <c r="Q10" s="2">
        <f t="shared" ref="Q10:Q15" si="3">SUM(D10:H10)</f>
        <v>0</v>
      </c>
      <c r="S10" s="2">
        <f t="shared" ref="S10:S15" si="4">SUM(I10:M10)</f>
        <v>0</v>
      </c>
      <c r="T10" s="2" t="str">
        <f t="shared" ref="T10:T15" si="5">IF(Q10&lt;&gt;0,(S10-Q10)/Q10,"0")</f>
        <v>0</v>
      </c>
    </row>
    <row r="11" spans="1:20">
      <c r="B11" s="2" t="s">
        <v>274</v>
      </c>
      <c r="C11" s="2" t="s">
        <v>203</v>
      </c>
      <c r="D11" s="2">
        <f t="shared" ref="D11:M11" si="6">D240</f>
        <v>0</v>
      </c>
      <c r="E11" s="2">
        <f t="shared" si="6"/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  <c r="K11" s="2">
        <f t="shared" si="6"/>
        <v>0</v>
      </c>
      <c r="L11" s="2">
        <f t="shared" si="6"/>
        <v>0</v>
      </c>
      <c r="M11" s="2">
        <f t="shared" si="6"/>
        <v>0</v>
      </c>
      <c r="O11" s="2">
        <f t="shared" si="1"/>
        <v>0</v>
      </c>
      <c r="P11" s="2">
        <f t="shared" si="2"/>
        <v>0</v>
      </c>
      <c r="Q11" s="2">
        <f t="shared" si="3"/>
        <v>0</v>
      </c>
      <c r="S11" s="2">
        <f t="shared" si="4"/>
        <v>0</v>
      </c>
      <c r="T11" s="2" t="str">
        <f t="shared" si="5"/>
        <v>0</v>
      </c>
    </row>
    <row r="12" spans="1:20">
      <c r="B12" s="2" t="s">
        <v>275</v>
      </c>
      <c r="C12" s="2" t="s">
        <v>203</v>
      </c>
      <c r="D12" s="2">
        <f t="shared" ref="D12:M12" si="7">D263</f>
        <v>0</v>
      </c>
      <c r="E12" s="2">
        <f t="shared" si="7"/>
        <v>0</v>
      </c>
      <c r="F12" s="2">
        <f t="shared" si="7"/>
        <v>0</v>
      </c>
      <c r="G12" s="2">
        <f t="shared" si="7"/>
        <v>0</v>
      </c>
      <c r="H12" s="2">
        <f t="shared" si="7"/>
        <v>0</v>
      </c>
      <c r="I12" s="2">
        <f t="shared" si="7"/>
        <v>0</v>
      </c>
      <c r="J12" s="2">
        <f t="shared" si="7"/>
        <v>0</v>
      </c>
      <c r="K12" s="2">
        <f t="shared" si="7"/>
        <v>0</v>
      </c>
      <c r="L12" s="2">
        <f t="shared" si="7"/>
        <v>0</v>
      </c>
      <c r="M12" s="2">
        <f t="shared" si="7"/>
        <v>0</v>
      </c>
      <c r="O12" s="2">
        <f t="shared" si="1"/>
        <v>0</v>
      </c>
      <c r="P12" s="2">
        <f t="shared" si="2"/>
        <v>0</v>
      </c>
      <c r="Q12" s="2">
        <f t="shared" si="3"/>
        <v>0</v>
      </c>
      <c r="S12" s="2">
        <f t="shared" si="4"/>
        <v>0</v>
      </c>
      <c r="T12" s="2" t="str">
        <f t="shared" si="5"/>
        <v>0</v>
      </c>
    </row>
    <row r="13" spans="1:20">
      <c r="B13" s="2" t="s">
        <v>276</v>
      </c>
      <c r="C13" s="2" t="s">
        <v>203</v>
      </c>
      <c r="D13" s="2">
        <f t="shared" ref="D13:M13" si="8">D11-D12</f>
        <v>0</v>
      </c>
      <c r="E13" s="2">
        <f t="shared" si="8"/>
        <v>0</v>
      </c>
      <c r="F13" s="2">
        <f t="shared" si="8"/>
        <v>0</v>
      </c>
      <c r="G13" s="2">
        <f t="shared" si="8"/>
        <v>0</v>
      </c>
      <c r="H13" s="2">
        <f t="shared" si="8"/>
        <v>0</v>
      </c>
      <c r="I13" s="2">
        <f t="shared" si="8"/>
        <v>0</v>
      </c>
      <c r="J13" s="2">
        <f t="shared" si="8"/>
        <v>0</v>
      </c>
      <c r="K13" s="2">
        <f t="shared" si="8"/>
        <v>0</v>
      </c>
      <c r="L13" s="2">
        <f t="shared" si="8"/>
        <v>0</v>
      </c>
      <c r="M13" s="2">
        <f t="shared" si="8"/>
        <v>0</v>
      </c>
      <c r="O13" s="2">
        <f t="shared" si="1"/>
        <v>0</v>
      </c>
      <c r="P13" s="2">
        <f t="shared" si="2"/>
        <v>0</v>
      </c>
      <c r="Q13" s="2">
        <f t="shared" si="3"/>
        <v>0</v>
      </c>
      <c r="S13" s="2">
        <f t="shared" si="4"/>
        <v>0</v>
      </c>
      <c r="T13" s="2" t="str">
        <f t="shared" si="5"/>
        <v>0</v>
      </c>
    </row>
    <row r="14" spans="1:20">
      <c r="B14" s="2" t="s">
        <v>277</v>
      </c>
      <c r="C14" s="2" t="s">
        <v>203</v>
      </c>
      <c r="O14" s="2">
        <f t="shared" si="1"/>
        <v>0</v>
      </c>
      <c r="P14" s="2">
        <f t="shared" si="2"/>
        <v>0</v>
      </c>
      <c r="Q14" s="2">
        <f t="shared" si="3"/>
        <v>0</v>
      </c>
      <c r="S14" s="2">
        <f t="shared" si="4"/>
        <v>0</v>
      </c>
      <c r="T14" s="2" t="str">
        <f t="shared" si="5"/>
        <v>0</v>
      </c>
    </row>
    <row r="15" spans="1:20">
      <c r="B15" s="2" t="s">
        <v>278</v>
      </c>
      <c r="C15" s="2" t="s">
        <v>203</v>
      </c>
      <c r="D15" s="2">
        <f t="shared" ref="D15:M15" si="9">D13+D14</f>
        <v>0</v>
      </c>
      <c r="E15" s="2">
        <f t="shared" si="9"/>
        <v>0</v>
      </c>
      <c r="F15" s="2">
        <f t="shared" si="9"/>
        <v>0</v>
      </c>
      <c r="G15" s="2">
        <f t="shared" si="9"/>
        <v>0</v>
      </c>
      <c r="H15" s="2">
        <f t="shared" si="9"/>
        <v>0</v>
      </c>
      <c r="I15" s="2">
        <f t="shared" si="9"/>
        <v>0</v>
      </c>
      <c r="J15" s="2">
        <f t="shared" si="9"/>
        <v>0</v>
      </c>
      <c r="K15" s="2">
        <f t="shared" si="9"/>
        <v>0</v>
      </c>
      <c r="L15" s="2">
        <f t="shared" si="9"/>
        <v>0</v>
      </c>
      <c r="M15" s="2">
        <f t="shared" si="9"/>
        <v>0</v>
      </c>
      <c r="O15" s="2">
        <f t="shared" si="1"/>
        <v>0</v>
      </c>
      <c r="P15" s="2">
        <f t="shared" si="2"/>
        <v>0</v>
      </c>
      <c r="Q15" s="2">
        <f t="shared" si="3"/>
        <v>0</v>
      </c>
      <c r="S15" s="2">
        <f t="shared" si="4"/>
        <v>0</v>
      </c>
      <c r="T15" s="2" t="str">
        <f t="shared" si="5"/>
        <v>0</v>
      </c>
    </row>
    <row r="16" spans="1:20">
      <c r="B16" s="2" t="s">
        <v>279</v>
      </c>
      <c r="D16" s="2" t="str">
        <f t="shared" ref="D16:M16" si="10">IF(D13-SUM(D31,D35,D39,D43)=0,"OK","ERROR")</f>
        <v>OK</v>
      </c>
      <c r="E16" s="2" t="str">
        <f t="shared" si="10"/>
        <v>OK</v>
      </c>
      <c r="F16" s="2" t="str">
        <f t="shared" si="10"/>
        <v>OK</v>
      </c>
      <c r="G16" s="2" t="str">
        <f t="shared" si="10"/>
        <v>OK</v>
      </c>
      <c r="H16" s="2" t="str">
        <f t="shared" si="10"/>
        <v>OK</v>
      </c>
      <c r="I16" s="2" t="str">
        <f t="shared" si="10"/>
        <v>OK</v>
      </c>
      <c r="J16" s="2" t="str">
        <f t="shared" si="10"/>
        <v>OK</v>
      </c>
      <c r="K16" s="2" t="str">
        <f t="shared" si="10"/>
        <v>OK</v>
      </c>
      <c r="L16" s="2" t="str">
        <f t="shared" si="10"/>
        <v>OK</v>
      </c>
      <c r="M16" s="2" t="str">
        <f t="shared" si="10"/>
        <v>OK</v>
      </c>
    </row>
    <row r="18" spans="2:20">
      <c r="C18" s="2" t="s">
        <v>190</v>
      </c>
      <c r="D18" s="2" t="s">
        <v>191</v>
      </c>
      <c r="I18" s="2" t="s">
        <v>192</v>
      </c>
      <c r="O18" s="2" t="s">
        <v>191</v>
      </c>
      <c r="S18" s="2" t="s">
        <v>192</v>
      </c>
    </row>
    <row r="19" spans="2:20">
      <c r="D19" s="2" t="s">
        <v>79</v>
      </c>
      <c r="E19" s="2" t="s">
        <v>80</v>
      </c>
      <c r="F19" s="2" t="s">
        <v>81</v>
      </c>
      <c r="G19" s="2" t="s">
        <v>82</v>
      </c>
      <c r="H19" s="2" t="s">
        <v>44</v>
      </c>
      <c r="I19" s="2" t="s">
        <v>193</v>
      </c>
      <c r="J19" s="2" t="s">
        <v>194</v>
      </c>
      <c r="K19" s="2" t="s">
        <v>195</v>
      </c>
      <c r="L19" s="2" t="s">
        <v>196</v>
      </c>
      <c r="M19" s="2" t="s">
        <v>197</v>
      </c>
      <c r="O19" s="2" t="s">
        <v>198</v>
      </c>
      <c r="P19" s="2" t="s">
        <v>199</v>
      </c>
      <c r="Q19" s="2" t="s">
        <v>200</v>
      </c>
      <c r="S19" s="2" t="s">
        <v>199</v>
      </c>
      <c r="T19" s="2" t="s">
        <v>201</v>
      </c>
    </row>
    <row r="20" spans="2:20">
      <c r="B20" s="2" t="s">
        <v>280</v>
      </c>
      <c r="C20" s="2" t="s">
        <v>203</v>
      </c>
      <c r="O20" s="2">
        <f>SUM(D20:G20)</f>
        <v>0</v>
      </c>
      <c r="P20" s="2">
        <f>SUM(H20)</f>
        <v>0</v>
      </c>
      <c r="Q20" s="2">
        <f>SUM(D20:H20)</f>
        <v>0</v>
      </c>
      <c r="S20" s="2">
        <f>SUM(I20:M20)</f>
        <v>0</v>
      </c>
      <c r="T20" s="2" t="str">
        <f>IF(Q20&lt;&gt;0,(S20-Q20)/Q20,"0")</f>
        <v>0</v>
      </c>
    </row>
    <row r="21" spans="2:20">
      <c r="B21" s="2" t="s">
        <v>281</v>
      </c>
      <c r="C21" s="2" t="s">
        <v>203</v>
      </c>
      <c r="O21" s="2">
        <f>SUM(D21:G21)</f>
        <v>0</v>
      </c>
      <c r="P21" s="2">
        <f>SUM(H21)</f>
        <v>0</v>
      </c>
      <c r="Q21" s="2">
        <f>SUM(D21:H21)</f>
        <v>0</v>
      </c>
      <c r="S21" s="2">
        <f>SUM(I21:M21)</f>
        <v>0</v>
      </c>
      <c r="T21" s="2" t="str">
        <f>IF(Q21&lt;&gt;0,(S21-Q21)/Q21,"0")</f>
        <v>0</v>
      </c>
    </row>
    <row r="22" spans="2:20">
      <c r="B22" s="2" t="s">
        <v>200</v>
      </c>
      <c r="C22" s="2" t="s">
        <v>203</v>
      </c>
      <c r="D22" s="2">
        <f t="shared" ref="D22:M22" si="11">D20+D21</f>
        <v>0</v>
      </c>
      <c r="E22" s="2">
        <f t="shared" si="11"/>
        <v>0</v>
      </c>
      <c r="F22" s="2">
        <f t="shared" si="11"/>
        <v>0</v>
      </c>
      <c r="G22" s="2">
        <f t="shared" si="11"/>
        <v>0</v>
      </c>
      <c r="H22" s="2">
        <f t="shared" si="11"/>
        <v>0</v>
      </c>
      <c r="I22" s="2">
        <f t="shared" si="11"/>
        <v>0</v>
      </c>
      <c r="J22" s="2">
        <f t="shared" si="11"/>
        <v>0</v>
      </c>
      <c r="K22" s="2">
        <f t="shared" si="11"/>
        <v>0</v>
      </c>
      <c r="L22" s="2">
        <f t="shared" si="11"/>
        <v>0</v>
      </c>
      <c r="M22" s="2">
        <f t="shared" si="11"/>
        <v>0</v>
      </c>
      <c r="O22" s="2">
        <f>SUM(D22:G22)</f>
        <v>0</v>
      </c>
      <c r="P22" s="2">
        <f>SUM(H22)</f>
        <v>0</v>
      </c>
      <c r="Q22" s="2">
        <f>SUM(D22:H22)</f>
        <v>0</v>
      </c>
      <c r="S22" s="2">
        <f>SUM(I22:M22)</f>
        <v>0</v>
      </c>
      <c r="T22" s="2" t="str">
        <f>IF(Q22&lt;&gt;0,(S22-Q22)/Q22,"0")</f>
        <v>0</v>
      </c>
    </row>
    <row r="24" spans="2:20">
      <c r="B24" s="2" t="s">
        <v>282</v>
      </c>
    </row>
    <row r="26" spans="2:20">
      <c r="B26" s="2" t="s">
        <v>283</v>
      </c>
      <c r="C26" s="2" t="s">
        <v>190</v>
      </c>
      <c r="D26" s="2" t="s">
        <v>191</v>
      </c>
      <c r="I26" s="2" t="s">
        <v>192</v>
      </c>
      <c r="O26" s="2" t="s">
        <v>191</v>
      </c>
      <c r="S26" s="2" t="s">
        <v>192</v>
      </c>
    </row>
    <row r="27" spans="2:20">
      <c r="D27" s="2" t="s">
        <v>79</v>
      </c>
      <c r="E27" s="2" t="s">
        <v>80</v>
      </c>
      <c r="F27" s="2" t="s">
        <v>81</v>
      </c>
      <c r="G27" s="2" t="s">
        <v>82</v>
      </c>
      <c r="H27" s="2" t="s">
        <v>44</v>
      </c>
      <c r="I27" s="2" t="s">
        <v>193</v>
      </c>
      <c r="J27" s="2" t="s">
        <v>194</v>
      </c>
      <c r="K27" s="2" t="s">
        <v>195</v>
      </c>
      <c r="L27" s="2" t="s">
        <v>196</v>
      </c>
      <c r="M27" s="2" t="s">
        <v>197</v>
      </c>
      <c r="O27" s="2" t="s">
        <v>198</v>
      </c>
      <c r="P27" s="2" t="s">
        <v>199</v>
      </c>
      <c r="Q27" s="2" t="s">
        <v>200</v>
      </c>
      <c r="S27" s="2" t="s">
        <v>199</v>
      </c>
      <c r="T27" s="2" t="s">
        <v>201</v>
      </c>
    </row>
    <row r="28" spans="2:20">
      <c r="B28" s="2" t="s">
        <v>258</v>
      </c>
    </row>
    <row r="29" spans="2:20">
      <c r="B29" s="2" t="s">
        <v>284</v>
      </c>
      <c r="C29" s="2" t="s">
        <v>203</v>
      </c>
      <c r="I29" s="2">
        <f t="shared" ref="I29:M30" si="12">I225-I248</f>
        <v>0</v>
      </c>
      <c r="J29" s="2">
        <f t="shared" si="12"/>
        <v>0</v>
      </c>
      <c r="K29" s="2">
        <f t="shared" si="12"/>
        <v>0</v>
      </c>
      <c r="L29" s="2">
        <f t="shared" si="12"/>
        <v>0</v>
      </c>
      <c r="M29" s="2">
        <f t="shared" si="12"/>
        <v>0</v>
      </c>
    </row>
    <row r="30" spans="2:20">
      <c r="B30" s="2" t="s">
        <v>285</v>
      </c>
      <c r="C30" s="2" t="s">
        <v>203</v>
      </c>
      <c r="I30" s="2">
        <f t="shared" si="12"/>
        <v>0</v>
      </c>
      <c r="J30" s="2">
        <f t="shared" si="12"/>
        <v>0</v>
      </c>
      <c r="K30" s="2">
        <f t="shared" si="12"/>
        <v>0</v>
      </c>
      <c r="L30" s="2">
        <f t="shared" si="12"/>
        <v>0</v>
      </c>
      <c r="M30" s="2">
        <f t="shared" si="12"/>
        <v>0</v>
      </c>
    </row>
    <row r="31" spans="2:20">
      <c r="B31" s="2" t="s">
        <v>246</v>
      </c>
      <c r="C31" s="2" t="s">
        <v>203</v>
      </c>
      <c r="D31" s="2">
        <f>D227-D250</f>
        <v>0</v>
      </c>
      <c r="E31" s="2">
        <f>E227-E250</f>
        <v>0</v>
      </c>
      <c r="F31" s="2">
        <f>F227-F250</f>
        <v>0</v>
      </c>
      <c r="G31" s="2">
        <f>G227-G250</f>
        <v>0</v>
      </c>
      <c r="H31" s="2">
        <f>H227-H250</f>
        <v>0</v>
      </c>
      <c r="I31" s="2">
        <f>SUM(I29:I30)</f>
        <v>0</v>
      </c>
      <c r="J31" s="2">
        <f>SUM(J29:J30)</f>
        <v>0</v>
      </c>
      <c r="K31" s="2">
        <f>SUM(K29:K30)</f>
        <v>0</v>
      </c>
      <c r="L31" s="2">
        <f>SUM(L29:L30)</f>
        <v>0</v>
      </c>
      <c r="M31" s="2">
        <f>SUM(M29:M30)</f>
        <v>0</v>
      </c>
      <c r="O31" s="2">
        <f>SUM(D31:G31)</f>
        <v>0</v>
      </c>
      <c r="P31" s="2">
        <f>SUM(H31)</f>
        <v>0</v>
      </c>
      <c r="Q31" s="2">
        <f>SUM(D31:H31)</f>
        <v>0</v>
      </c>
      <c r="S31" s="2">
        <f>SUM(I31:M31)</f>
        <v>0</v>
      </c>
      <c r="T31" s="2" t="str">
        <f>IF(Q31&lt;&gt;0,(S31-Q31)/Q31,"0")</f>
        <v>0</v>
      </c>
    </row>
    <row r="32" spans="2:20">
      <c r="B32" s="2" t="s">
        <v>260</v>
      </c>
    </row>
    <row r="33" spans="2:20">
      <c r="B33" s="2" t="s">
        <v>286</v>
      </c>
      <c r="C33" s="2" t="s">
        <v>203</v>
      </c>
      <c r="I33" s="2">
        <f t="shared" ref="I33:M34" si="13">I229-I252</f>
        <v>0</v>
      </c>
      <c r="J33" s="2">
        <f t="shared" si="13"/>
        <v>0</v>
      </c>
      <c r="K33" s="2">
        <f t="shared" si="13"/>
        <v>0</v>
      </c>
      <c r="L33" s="2">
        <f t="shared" si="13"/>
        <v>0</v>
      </c>
      <c r="M33" s="2">
        <f t="shared" si="13"/>
        <v>0</v>
      </c>
    </row>
    <row r="34" spans="2:20">
      <c r="B34" s="2" t="s">
        <v>287</v>
      </c>
      <c r="C34" s="2" t="s">
        <v>203</v>
      </c>
      <c r="I34" s="2">
        <f t="shared" si="13"/>
        <v>0</v>
      </c>
      <c r="J34" s="2">
        <f t="shared" si="13"/>
        <v>0</v>
      </c>
      <c r="K34" s="2">
        <f t="shared" si="13"/>
        <v>0</v>
      </c>
      <c r="L34" s="2">
        <f t="shared" si="13"/>
        <v>0</v>
      </c>
      <c r="M34" s="2">
        <f t="shared" si="13"/>
        <v>0</v>
      </c>
    </row>
    <row r="35" spans="2:20">
      <c r="B35" s="2" t="s">
        <v>248</v>
      </c>
      <c r="C35" s="2" t="s">
        <v>203</v>
      </c>
      <c r="D35" s="2">
        <f>D231-D254</f>
        <v>0</v>
      </c>
      <c r="E35" s="2">
        <f>E231-E254</f>
        <v>0</v>
      </c>
      <c r="F35" s="2">
        <f>F231-F254</f>
        <v>0</v>
      </c>
      <c r="G35" s="2">
        <f>G231-G254</f>
        <v>0</v>
      </c>
      <c r="H35" s="2">
        <f>H231-H254</f>
        <v>0</v>
      </c>
      <c r="I35" s="2">
        <f>SUM(I33:I34)</f>
        <v>0</v>
      </c>
      <c r="J35" s="2">
        <f>SUM(J33:J34)</f>
        <v>0</v>
      </c>
      <c r="K35" s="2">
        <f>SUM(K33:K34)</f>
        <v>0</v>
      </c>
      <c r="L35" s="2">
        <f>SUM(L33:L34)</f>
        <v>0</v>
      </c>
      <c r="M35" s="2">
        <f>SUM(M33:M34)</f>
        <v>0</v>
      </c>
      <c r="O35" s="2">
        <f>SUM(D35:G35)</f>
        <v>0</v>
      </c>
      <c r="P35" s="2">
        <f>SUM(H35)</f>
        <v>0</v>
      </c>
      <c r="Q35" s="2">
        <f>SUM(D35:H35)</f>
        <v>0</v>
      </c>
      <c r="S35" s="2">
        <f>SUM(I35:M35)</f>
        <v>0</v>
      </c>
      <c r="T35" s="2" t="str">
        <f>IF(Q35&lt;&gt;0,(S35-Q35)/Q35,"0")</f>
        <v>0</v>
      </c>
    </row>
    <row r="36" spans="2:20">
      <c r="B36" s="2" t="s">
        <v>261</v>
      </c>
    </row>
    <row r="37" spans="2:20">
      <c r="B37" s="2" t="s">
        <v>288</v>
      </c>
      <c r="C37" s="2" t="s">
        <v>203</v>
      </c>
      <c r="I37" s="2">
        <f t="shared" ref="I37:M38" si="14">I233-I256</f>
        <v>0</v>
      </c>
      <c r="J37" s="2">
        <f t="shared" si="14"/>
        <v>0</v>
      </c>
      <c r="K37" s="2">
        <f t="shared" si="14"/>
        <v>0</v>
      </c>
      <c r="L37" s="2">
        <f t="shared" si="14"/>
        <v>0</v>
      </c>
      <c r="M37" s="2">
        <f t="shared" si="14"/>
        <v>0</v>
      </c>
    </row>
    <row r="38" spans="2:20">
      <c r="B38" s="2" t="s">
        <v>289</v>
      </c>
      <c r="C38" s="2" t="s">
        <v>203</v>
      </c>
      <c r="I38" s="2">
        <f t="shared" si="14"/>
        <v>0</v>
      </c>
      <c r="J38" s="2">
        <f t="shared" si="14"/>
        <v>0</v>
      </c>
      <c r="K38" s="2">
        <f t="shared" si="14"/>
        <v>0</v>
      </c>
      <c r="L38" s="2">
        <f t="shared" si="14"/>
        <v>0</v>
      </c>
      <c r="M38" s="2">
        <f t="shared" si="14"/>
        <v>0</v>
      </c>
    </row>
    <row r="39" spans="2:20">
      <c r="B39" s="2" t="s">
        <v>250</v>
      </c>
      <c r="C39" s="2" t="s">
        <v>203</v>
      </c>
      <c r="D39" s="2">
        <f>D235-D258</f>
        <v>0</v>
      </c>
      <c r="E39" s="2">
        <f>E235-E258</f>
        <v>0</v>
      </c>
      <c r="F39" s="2">
        <f>F235-F258</f>
        <v>0</v>
      </c>
      <c r="G39" s="2">
        <f>G235-G258</f>
        <v>0</v>
      </c>
      <c r="H39" s="2">
        <f>H235-H258</f>
        <v>0</v>
      </c>
      <c r="I39" s="2">
        <f>SUM(I37:I38)</f>
        <v>0</v>
      </c>
      <c r="J39" s="2">
        <f>SUM(J37:J38)</f>
        <v>0</v>
      </c>
      <c r="K39" s="2">
        <f>SUM(K37:K38)</f>
        <v>0</v>
      </c>
      <c r="L39" s="2">
        <f>SUM(L37:L38)</f>
        <v>0</v>
      </c>
      <c r="M39" s="2">
        <f>SUM(M37:M38)</f>
        <v>0</v>
      </c>
      <c r="O39" s="2">
        <f>SUM(D39:G39)</f>
        <v>0</v>
      </c>
      <c r="P39" s="2">
        <f>SUM(H39)</f>
        <v>0</v>
      </c>
      <c r="Q39" s="2">
        <f>SUM(D39:H39)</f>
        <v>0</v>
      </c>
      <c r="S39" s="2">
        <f>SUM(I39:M39)</f>
        <v>0</v>
      </c>
      <c r="T39" s="2" t="str">
        <f>IF(Q39&lt;&gt;0,(S39-Q39)/Q39,"0")</f>
        <v>0</v>
      </c>
    </row>
    <row r="40" spans="2:20">
      <c r="B40" s="2" t="s">
        <v>262</v>
      </c>
    </row>
    <row r="41" spans="2:20">
      <c r="B41" s="2" t="s">
        <v>290</v>
      </c>
      <c r="C41" s="2" t="s">
        <v>203</v>
      </c>
      <c r="I41" s="2">
        <f t="shared" ref="I41:M42" si="15">I237-I260</f>
        <v>0</v>
      </c>
      <c r="J41" s="2">
        <f t="shared" si="15"/>
        <v>0</v>
      </c>
      <c r="K41" s="2">
        <f t="shared" si="15"/>
        <v>0</v>
      </c>
      <c r="L41" s="2">
        <f t="shared" si="15"/>
        <v>0</v>
      </c>
      <c r="M41" s="2">
        <f t="shared" si="15"/>
        <v>0</v>
      </c>
    </row>
    <row r="42" spans="2:20">
      <c r="B42" s="2" t="s">
        <v>291</v>
      </c>
      <c r="C42" s="2" t="s">
        <v>203</v>
      </c>
      <c r="I42" s="2">
        <f t="shared" si="15"/>
        <v>0</v>
      </c>
      <c r="J42" s="2">
        <f t="shared" si="15"/>
        <v>0</v>
      </c>
      <c r="K42" s="2">
        <f t="shared" si="15"/>
        <v>0</v>
      </c>
      <c r="L42" s="2">
        <f t="shared" si="15"/>
        <v>0</v>
      </c>
      <c r="M42" s="2">
        <f t="shared" si="15"/>
        <v>0</v>
      </c>
    </row>
    <row r="43" spans="2:20">
      <c r="B43" s="2" t="s">
        <v>252</v>
      </c>
      <c r="C43" s="2" t="s">
        <v>203</v>
      </c>
      <c r="D43" s="2">
        <f>D239-D262</f>
        <v>0</v>
      </c>
      <c r="E43" s="2">
        <f>E239-E262</f>
        <v>0</v>
      </c>
      <c r="F43" s="2">
        <f>F239-F262</f>
        <v>0</v>
      </c>
      <c r="G43" s="2">
        <f>G239-G262</f>
        <v>0</v>
      </c>
      <c r="H43" s="2">
        <f>H239-H262</f>
        <v>0</v>
      </c>
      <c r="I43" s="2">
        <f>SUM(I41:I42)</f>
        <v>0</v>
      </c>
      <c r="J43" s="2">
        <f>SUM(J41:J42)</f>
        <v>0</v>
      </c>
      <c r="K43" s="2">
        <f>SUM(K41:K42)</f>
        <v>0</v>
      </c>
      <c r="L43" s="2">
        <f>SUM(L41:L42)</f>
        <v>0</v>
      </c>
      <c r="M43" s="2">
        <f>SUM(M41:M42)</f>
        <v>0</v>
      </c>
      <c r="O43" s="2">
        <f>SUM(D43:G43)</f>
        <v>0</v>
      </c>
      <c r="P43" s="2">
        <f>SUM(H43)</f>
        <v>0</v>
      </c>
      <c r="Q43" s="2">
        <f>SUM(D43:H43)</f>
        <v>0</v>
      </c>
      <c r="S43" s="2">
        <f>SUM(I43:M43)</f>
        <v>0</v>
      </c>
      <c r="T43" s="2" t="str">
        <f>IF(Q43&lt;&gt;0,(S43-Q43)/Q43,"0")</f>
        <v>0</v>
      </c>
    </row>
    <row r="46" spans="2:20">
      <c r="B46" s="2" t="s">
        <v>292</v>
      </c>
    </row>
    <row r="48" spans="2:20">
      <c r="C48" s="2" t="s">
        <v>190</v>
      </c>
      <c r="D48" s="2" t="s">
        <v>191</v>
      </c>
      <c r="I48" s="2" t="s">
        <v>192</v>
      </c>
    </row>
    <row r="49" spans="2:13">
      <c r="D49" s="2" t="s">
        <v>79</v>
      </c>
      <c r="E49" s="2" t="s">
        <v>80</v>
      </c>
      <c r="F49" s="2" t="s">
        <v>81</v>
      </c>
      <c r="G49" s="2" t="s">
        <v>82</v>
      </c>
      <c r="H49" s="2" t="s">
        <v>44</v>
      </c>
      <c r="I49" s="2" t="s">
        <v>193</v>
      </c>
      <c r="J49" s="2" t="s">
        <v>194</v>
      </c>
      <c r="K49" s="2" t="s">
        <v>195</v>
      </c>
      <c r="L49" s="2" t="s">
        <v>196</v>
      </c>
      <c r="M49" s="2" t="s">
        <v>197</v>
      </c>
    </row>
    <row r="50" spans="2:13">
      <c r="B50" s="2" t="s">
        <v>293</v>
      </c>
    </row>
    <row r="51" spans="2:13">
      <c r="B51" s="2" t="s">
        <v>294</v>
      </c>
    </row>
    <row r="52" spans="2:13">
      <c r="B52" s="2" t="s">
        <v>232</v>
      </c>
      <c r="C52" s="2" t="s">
        <v>233</v>
      </c>
      <c r="D52" s="2">
        <f t="shared" ref="D52:M56" si="16">D83+D114</f>
        <v>0</v>
      </c>
      <c r="E52" s="2">
        <f t="shared" si="16"/>
        <v>0</v>
      </c>
      <c r="F52" s="2">
        <f t="shared" si="16"/>
        <v>0</v>
      </c>
      <c r="G52" s="2">
        <f t="shared" si="16"/>
        <v>0</v>
      </c>
      <c r="H52" s="2">
        <f t="shared" si="16"/>
        <v>0</v>
      </c>
      <c r="I52" s="2">
        <f t="shared" si="16"/>
        <v>0</v>
      </c>
      <c r="J52" s="2">
        <f t="shared" si="16"/>
        <v>0</v>
      </c>
      <c r="K52" s="2">
        <f t="shared" si="16"/>
        <v>0</v>
      </c>
      <c r="L52" s="2">
        <f t="shared" si="16"/>
        <v>0</v>
      </c>
      <c r="M52" s="2">
        <f t="shared" si="16"/>
        <v>0</v>
      </c>
    </row>
    <row r="53" spans="2:13">
      <c r="B53" s="2" t="s">
        <v>295</v>
      </c>
      <c r="D53" s="2">
        <f t="shared" si="16"/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2">
        <f t="shared" si="16"/>
        <v>0</v>
      </c>
      <c r="L53" s="2">
        <f t="shared" si="16"/>
        <v>0</v>
      </c>
      <c r="M53" s="2">
        <f t="shared" si="16"/>
        <v>0</v>
      </c>
    </row>
    <row r="54" spans="2:13">
      <c r="B54" s="2" t="s">
        <v>296</v>
      </c>
      <c r="I54" s="2">
        <f t="shared" si="16"/>
        <v>0</v>
      </c>
      <c r="J54" s="2">
        <f t="shared" si="16"/>
        <v>0</v>
      </c>
      <c r="K54" s="2">
        <f t="shared" si="16"/>
        <v>0</v>
      </c>
      <c r="L54" s="2">
        <f t="shared" si="16"/>
        <v>0</v>
      </c>
      <c r="M54" s="2">
        <f t="shared" si="16"/>
        <v>0</v>
      </c>
    </row>
    <row r="55" spans="2:13">
      <c r="B55" s="2" t="s">
        <v>297</v>
      </c>
      <c r="C55" s="2" t="s">
        <v>233</v>
      </c>
      <c r="I55" s="2">
        <f t="shared" si="16"/>
        <v>0</v>
      </c>
      <c r="J55" s="2">
        <f t="shared" si="16"/>
        <v>0</v>
      </c>
      <c r="K55" s="2">
        <f t="shared" si="16"/>
        <v>0</v>
      </c>
      <c r="L55" s="2">
        <f t="shared" si="16"/>
        <v>0</v>
      </c>
      <c r="M55" s="2">
        <f t="shared" si="16"/>
        <v>0</v>
      </c>
    </row>
    <row r="56" spans="2:13">
      <c r="B56" s="2" t="s">
        <v>298</v>
      </c>
      <c r="D56" s="2">
        <f>D87+D118</f>
        <v>0</v>
      </c>
      <c r="E56" s="2">
        <f>E87+E118</f>
        <v>0</v>
      </c>
      <c r="F56" s="2">
        <f>F87+F118</f>
        <v>0</v>
      </c>
      <c r="G56" s="2">
        <f>G87+G118</f>
        <v>0</v>
      </c>
      <c r="H56" s="2">
        <f>H87+H118</f>
        <v>0</v>
      </c>
      <c r="I56" s="2">
        <f t="shared" si="16"/>
        <v>0</v>
      </c>
      <c r="J56" s="2">
        <f t="shared" si="16"/>
        <v>0</v>
      </c>
      <c r="K56" s="2">
        <f t="shared" si="16"/>
        <v>0</v>
      </c>
      <c r="L56" s="2">
        <f t="shared" si="16"/>
        <v>0</v>
      </c>
      <c r="M56" s="2">
        <f t="shared" si="16"/>
        <v>0</v>
      </c>
    </row>
    <row r="57" spans="2:13">
      <c r="B57" s="2" t="s">
        <v>299</v>
      </c>
    </row>
    <row r="58" spans="2:13">
      <c r="B58" s="2" t="s">
        <v>232</v>
      </c>
      <c r="C58" s="2" t="s">
        <v>233</v>
      </c>
      <c r="D58" s="2">
        <f t="shared" ref="D58:M62" si="17">D89+D120</f>
        <v>0</v>
      </c>
      <c r="E58" s="2">
        <f t="shared" si="17"/>
        <v>0</v>
      </c>
      <c r="F58" s="2">
        <f t="shared" si="17"/>
        <v>0</v>
      </c>
      <c r="G58" s="2">
        <f t="shared" si="17"/>
        <v>0</v>
      </c>
      <c r="H58" s="2">
        <f t="shared" si="17"/>
        <v>0</v>
      </c>
      <c r="I58" s="2">
        <f t="shared" si="17"/>
        <v>0</v>
      </c>
      <c r="J58" s="2">
        <f t="shared" si="17"/>
        <v>0</v>
      </c>
      <c r="K58" s="2">
        <f t="shared" si="17"/>
        <v>0</v>
      </c>
      <c r="L58" s="2">
        <f t="shared" si="17"/>
        <v>0</v>
      </c>
      <c r="M58" s="2">
        <f t="shared" si="17"/>
        <v>0</v>
      </c>
    </row>
    <row r="59" spans="2:13">
      <c r="B59" s="2" t="s">
        <v>295</v>
      </c>
      <c r="D59" s="2">
        <f t="shared" si="17"/>
        <v>0</v>
      </c>
      <c r="E59" s="2">
        <f t="shared" si="17"/>
        <v>0</v>
      </c>
      <c r="F59" s="2">
        <f t="shared" si="17"/>
        <v>0</v>
      </c>
      <c r="G59" s="2">
        <f t="shared" si="17"/>
        <v>0</v>
      </c>
      <c r="H59" s="2">
        <f t="shared" si="17"/>
        <v>0</v>
      </c>
      <c r="I59" s="2">
        <f t="shared" si="17"/>
        <v>0</v>
      </c>
      <c r="J59" s="2">
        <f t="shared" si="17"/>
        <v>0</v>
      </c>
      <c r="K59" s="2">
        <f t="shared" si="17"/>
        <v>0</v>
      </c>
      <c r="L59" s="2">
        <f t="shared" si="17"/>
        <v>0</v>
      </c>
      <c r="M59" s="2">
        <f t="shared" si="17"/>
        <v>0</v>
      </c>
    </row>
    <row r="60" spans="2:13">
      <c r="B60" s="2" t="s">
        <v>286</v>
      </c>
      <c r="I60" s="2">
        <f t="shared" si="17"/>
        <v>0</v>
      </c>
      <c r="J60" s="2">
        <f t="shared" si="17"/>
        <v>0</v>
      </c>
      <c r="K60" s="2">
        <f t="shared" si="17"/>
        <v>0</v>
      </c>
      <c r="L60" s="2">
        <f t="shared" si="17"/>
        <v>0</v>
      </c>
      <c r="M60" s="2">
        <f t="shared" si="17"/>
        <v>0</v>
      </c>
    </row>
    <row r="61" spans="2:13">
      <c r="B61" s="2" t="s">
        <v>287</v>
      </c>
      <c r="C61" s="2" t="s">
        <v>233</v>
      </c>
      <c r="I61" s="2">
        <f t="shared" si="17"/>
        <v>0</v>
      </c>
      <c r="J61" s="2">
        <f t="shared" si="17"/>
        <v>0</v>
      </c>
      <c r="K61" s="2">
        <f t="shared" si="17"/>
        <v>0</v>
      </c>
      <c r="L61" s="2">
        <f t="shared" si="17"/>
        <v>0</v>
      </c>
      <c r="M61" s="2">
        <f t="shared" si="17"/>
        <v>0</v>
      </c>
    </row>
    <row r="62" spans="2:13">
      <c r="B62" s="2" t="s">
        <v>300</v>
      </c>
      <c r="D62" s="2">
        <f>D93+D124</f>
        <v>0</v>
      </c>
      <c r="E62" s="2">
        <f>E93+E124</f>
        <v>0</v>
      </c>
      <c r="F62" s="2">
        <f>F93+F124</f>
        <v>0</v>
      </c>
      <c r="G62" s="2">
        <f>G93+G124</f>
        <v>0</v>
      </c>
      <c r="H62" s="2">
        <f>H93+H124</f>
        <v>0</v>
      </c>
      <c r="I62" s="2">
        <f t="shared" si="17"/>
        <v>0</v>
      </c>
      <c r="J62" s="2">
        <f t="shared" si="17"/>
        <v>0</v>
      </c>
      <c r="K62" s="2">
        <f t="shared" si="17"/>
        <v>0</v>
      </c>
      <c r="L62" s="2">
        <f t="shared" si="17"/>
        <v>0</v>
      </c>
      <c r="M62" s="2">
        <f t="shared" si="17"/>
        <v>0</v>
      </c>
    </row>
    <row r="63" spans="2:13">
      <c r="B63" s="2" t="s">
        <v>301</v>
      </c>
    </row>
    <row r="64" spans="2:13">
      <c r="B64" s="2" t="s">
        <v>232</v>
      </c>
      <c r="C64" s="2" t="s">
        <v>233</v>
      </c>
      <c r="D64" s="2">
        <f t="shared" ref="D64:M68" si="18">D95+D126</f>
        <v>0</v>
      </c>
      <c r="E64" s="2">
        <f t="shared" si="18"/>
        <v>0</v>
      </c>
      <c r="F64" s="2">
        <f t="shared" si="18"/>
        <v>0</v>
      </c>
      <c r="G64" s="2">
        <f t="shared" si="18"/>
        <v>0</v>
      </c>
      <c r="H64" s="2">
        <f t="shared" si="18"/>
        <v>0</v>
      </c>
      <c r="I64" s="2">
        <f t="shared" si="18"/>
        <v>0</v>
      </c>
      <c r="J64" s="2">
        <f t="shared" si="18"/>
        <v>0</v>
      </c>
      <c r="K64" s="2">
        <f t="shared" si="18"/>
        <v>0</v>
      </c>
      <c r="L64" s="2">
        <f t="shared" si="18"/>
        <v>0</v>
      </c>
      <c r="M64" s="2">
        <f t="shared" si="18"/>
        <v>0</v>
      </c>
    </row>
    <row r="65" spans="2:13">
      <c r="B65" s="2" t="s">
        <v>295</v>
      </c>
      <c r="D65" s="2">
        <f t="shared" si="18"/>
        <v>0</v>
      </c>
      <c r="E65" s="2">
        <f t="shared" si="18"/>
        <v>0</v>
      </c>
      <c r="F65" s="2">
        <f t="shared" si="18"/>
        <v>0</v>
      </c>
      <c r="G65" s="2">
        <f t="shared" si="18"/>
        <v>0</v>
      </c>
      <c r="H65" s="2">
        <f t="shared" si="18"/>
        <v>0</v>
      </c>
      <c r="I65" s="2">
        <f t="shared" si="18"/>
        <v>0</v>
      </c>
      <c r="J65" s="2">
        <f t="shared" si="18"/>
        <v>0</v>
      </c>
      <c r="K65" s="2">
        <f t="shared" si="18"/>
        <v>0</v>
      </c>
      <c r="L65" s="2">
        <f t="shared" si="18"/>
        <v>0</v>
      </c>
      <c r="M65" s="2">
        <f t="shared" si="18"/>
        <v>0</v>
      </c>
    </row>
    <row r="66" spans="2:13">
      <c r="B66" s="2" t="s">
        <v>288</v>
      </c>
      <c r="I66" s="2">
        <f t="shared" si="18"/>
        <v>0</v>
      </c>
      <c r="J66" s="2">
        <f t="shared" si="18"/>
        <v>0</v>
      </c>
      <c r="K66" s="2">
        <f t="shared" si="18"/>
        <v>0</v>
      </c>
      <c r="L66" s="2">
        <f t="shared" si="18"/>
        <v>0</v>
      </c>
      <c r="M66" s="2">
        <f t="shared" si="18"/>
        <v>0</v>
      </c>
    </row>
    <row r="67" spans="2:13">
      <c r="B67" s="2" t="s">
        <v>289</v>
      </c>
      <c r="C67" s="2" t="s">
        <v>233</v>
      </c>
      <c r="I67" s="2">
        <f t="shared" si="18"/>
        <v>0</v>
      </c>
      <c r="J67" s="2">
        <f t="shared" si="18"/>
        <v>0</v>
      </c>
      <c r="K67" s="2">
        <f t="shared" si="18"/>
        <v>0</v>
      </c>
      <c r="L67" s="2">
        <f t="shared" si="18"/>
        <v>0</v>
      </c>
      <c r="M67" s="2">
        <f t="shared" si="18"/>
        <v>0</v>
      </c>
    </row>
    <row r="68" spans="2:13">
      <c r="B68" s="2" t="s">
        <v>302</v>
      </c>
      <c r="D68" s="2">
        <f>D99+D130</f>
        <v>0</v>
      </c>
      <c r="E68" s="2">
        <f>E99+E130</f>
        <v>0</v>
      </c>
      <c r="F68" s="2">
        <f>F99+F130</f>
        <v>0</v>
      </c>
      <c r="G68" s="2">
        <f>G99+G130</f>
        <v>0</v>
      </c>
      <c r="H68" s="2">
        <f>H99+H130</f>
        <v>0</v>
      </c>
      <c r="I68" s="2">
        <f t="shared" si="18"/>
        <v>0</v>
      </c>
      <c r="J68" s="2">
        <f t="shared" si="18"/>
        <v>0</v>
      </c>
      <c r="K68" s="2">
        <f t="shared" si="18"/>
        <v>0</v>
      </c>
      <c r="L68" s="2">
        <f t="shared" si="18"/>
        <v>0</v>
      </c>
      <c r="M68" s="2">
        <f t="shared" si="18"/>
        <v>0</v>
      </c>
    </row>
    <row r="69" spans="2:13">
      <c r="B69" s="2" t="s">
        <v>303</v>
      </c>
    </row>
    <row r="70" spans="2:13">
      <c r="B70" s="2" t="s">
        <v>232</v>
      </c>
      <c r="C70" s="2" t="s">
        <v>233</v>
      </c>
      <c r="D70" s="2">
        <f t="shared" ref="D70:M74" si="19">D101+D132</f>
        <v>0</v>
      </c>
      <c r="E70" s="2">
        <f t="shared" si="19"/>
        <v>0</v>
      </c>
      <c r="F70" s="2">
        <f t="shared" si="19"/>
        <v>0</v>
      </c>
      <c r="G70" s="2">
        <f t="shared" si="19"/>
        <v>0</v>
      </c>
      <c r="H70" s="2">
        <f t="shared" si="19"/>
        <v>0</v>
      </c>
      <c r="I70" s="2">
        <f t="shared" si="19"/>
        <v>0</v>
      </c>
      <c r="J70" s="2">
        <f t="shared" si="19"/>
        <v>0</v>
      </c>
      <c r="K70" s="2">
        <f t="shared" si="19"/>
        <v>0</v>
      </c>
      <c r="L70" s="2">
        <f t="shared" si="19"/>
        <v>0</v>
      </c>
      <c r="M70" s="2">
        <f t="shared" si="19"/>
        <v>0</v>
      </c>
    </row>
    <row r="71" spans="2:13">
      <c r="B71" s="2" t="s">
        <v>295</v>
      </c>
      <c r="D71" s="2">
        <f t="shared" si="19"/>
        <v>0</v>
      </c>
      <c r="E71" s="2">
        <f t="shared" si="19"/>
        <v>0</v>
      </c>
      <c r="F71" s="2">
        <f t="shared" si="19"/>
        <v>0</v>
      </c>
      <c r="G71" s="2">
        <f t="shared" si="19"/>
        <v>0</v>
      </c>
      <c r="H71" s="2">
        <f t="shared" si="19"/>
        <v>0</v>
      </c>
      <c r="I71" s="2">
        <f t="shared" si="19"/>
        <v>0</v>
      </c>
      <c r="J71" s="2">
        <f t="shared" si="19"/>
        <v>0</v>
      </c>
      <c r="K71" s="2">
        <f t="shared" si="19"/>
        <v>0</v>
      </c>
      <c r="L71" s="2">
        <f t="shared" si="19"/>
        <v>0</v>
      </c>
      <c r="M71" s="2">
        <f t="shared" si="19"/>
        <v>0</v>
      </c>
    </row>
    <row r="72" spans="2:13">
      <c r="B72" s="2" t="s">
        <v>290</v>
      </c>
      <c r="I72" s="2">
        <f t="shared" si="19"/>
        <v>0</v>
      </c>
      <c r="J72" s="2">
        <f t="shared" si="19"/>
        <v>0</v>
      </c>
      <c r="K72" s="2">
        <f t="shared" si="19"/>
        <v>0</v>
      </c>
      <c r="L72" s="2">
        <f t="shared" si="19"/>
        <v>0</v>
      </c>
      <c r="M72" s="2">
        <f t="shared" si="19"/>
        <v>0</v>
      </c>
    </row>
    <row r="73" spans="2:13">
      <c r="B73" s="2" t="s">
        <v>291</v>
      </c>
      <c r="C73" s="2" t="s">
        <v>233</v>
      </c>
      <c r="I73" s="2">
        <f t="shared" si="19"/>
        <v>0</v>
      </c>
      <c r="J73" s="2">
        <f t="shared" si="19"/>
        <v>0</v>
      </c>
      <c r="K73" s="2">
        <f t="shared" si="19"/>
        <v>0</v>
      </c>
      <c r="L73" s="2">
        <f t="shared" si="19"/>
        <v>0</v>
      </c>
      <c r="M73" s="2">
        <f t="shared" si="19"/>
        <v>0</v>
      </c>
    </row>
    <row r="74" spans="2:13">
      <c r="B74" s="2" t="s">
        <v>304</v>
      </c>
      <c r="D74" s="2">
        <f>D105+D136</f>
        <v>0</v>
      </c>
      <c r="E74" s="2">
        <f>E105+E136</f>
        <v>0</v>
      </c>
      <c r="F74" s="2">
        <f>F105+F136</f>
        <v>0</v>
      </c>
      <c r="G74" s="2">
        <f>G105+G136</f>
        <v>0</v>
      </c>
      <c r="H74" s="2">
        <f>H105+H136</f>
        <v>0</v>
      </c>
      <c r="I74" s="2">
        <f t="shared" si="19"/>
        <v>0</v>
      </c>
      <c r="J74" s="2">
        <f t="shared" si="19"/>
        <v>0</v>
      </c>
      <c r="K74" s="2">
        <f t="shared" si="19"/>
        <v>0</v>
      </c>
      <c r="L74" s="2">
        <f t="shared" si="19"/>
        <v>0</v>
      </c>
      <c r="M74" s="2">
        <f t="shared" si="19"/>
        <v>0</v>
      </c>
    </row>
    <row r="75" spans="2:13">
      <c r="B75" s="2" t="s">
        <v>239</v>
      </c>
      <c r="C75" s="2" t="s">
        <v>233</v>
      </c>
      <c r="D75" s="2">
        <f t="shared" ref="D75:M75" si="20">SUM(D52:D55,D58:D61,D64:D67,D70:D73)</f>
        <v>0</v>
      </c>
      <c r="E75" s="2">
        <f t="shared" si="20"/>
        <v>0</v>
      </c>
      <c r="F75" s="2">
        <f t="shared" si="20"/>
        <v>0</v>
      </c>
      <c r="G75" s="2">
        <f t="shared" si="20"/>
        <v>0</v>
      </c>
      <c r="H75" s="2">
        <f t="shared" si="20"/>
        <v>0</v>
      </c>
      <c r="I75" s="2">
        <f t="shared" si="20"/>
        <v>0</v>
      </c>
      <c r="J75" s="2">
        <f t="shared" si="20"/>
        <v>0</v>
      </c>
      <c r="K75" s="2">
        <f t="shared" si="20"/>
        <v>0</v>
      </c>
      <c r="L75" s="2">
        <f t="shared" si="20"/>
        <v>0</v>
      </c>
      <c r="M75" s="2">
        <f t="shared" si="20"/>
        <v>0</v>
      </c>
    </row>
    <row r="77" spans="2:13">
      <c r="B77" s="2" t="s">
        <v>305</v>
      </c>
    </row>
    <row r="79" spans="2:13">
      <c r="C79" s="2" t="s">
        <v>190</v>
      </c>
      <c r="D79" s="2" t="s">
        <v>191</v>
      </c>
      <c r="I79" s="2" t="s">
        <v>192</v>
      </c>
    </row>
    <row r="80" spans="2:13">
      <c r="D80" s="2" t="s">
        <v>79</v>
      </c>
      <c r="E80" s="2" t="s">
        <v>80</v>
      </c>
      <c r="F80" s="2" t="s">
        <v>81</v>
      </c>
      <c r="G80" s="2" t="s">
        <v>82</v>
      </c>
      <c r="H80" s="2" t="s">
        <v>44</v>
      </c>
      <c r="I80" s="2" t="s">
        <v>193</v>
      </c>
      <c r="J80" s="2" t="s">
        <v>194</v>
      </c>
      <c r="K80" s="2" t="s">
        <v>195</v>
      </c>
      <c r="L80" s="2" t="s">
        <v>196</v>
      </c>
      <c r="M80" s="2" t="s">
        <v>197</v>
      </c>
    </row>
    <row r="81" spans="2:13">
      <c r="B81" s="2" t="s">
        <v>293</v>
      </c>
    </row>
    <row r="82" spans="2:13">
      <c r="B82" s="2" t="s">
        <v>294</v>
      </c>
    </row>
    <row r="83" spans="2:13">
      <c r="B83" s="2" t="s">
        <v>232</v>
      </c>
      <c r="C83" s="2" t="s">
        <v>233</v>
      </c>
    </row>
    <row r="84" spans="2:13">
      <c r="B84" s="2" t="s">
        <v>295</v>
      </c>
    </row>
    <row r="85" spans="2:13">
      <c r="B85" s="2" t="s">
        <v>296</v>
      </c>
    </row>
    <row r="86" spans="2:13">
      <c r="B86" s="2" t="s">
        <v>297</v>
      </c>
      <c r="C86" s="2" t="s">
        <v>233</v>
      </c>
    </row>
    <row r="87" spans="2:13">
      <c r="B87" s="2" t="s">
        <v>298</v>
      </c>
      <c r="I87" s="2">
        <f>SUM(I85:I86)</f>
        <v>0</v>
      </c>
      <c r="J87" s="2">
        <f>SUM(J85:J86)</f>
        <v>0</v>
      </c>
      <c r="K87" s="2">
        <f>SUM(K85:K86)</f>
        <v>0</v>
      </c>
      <c r="L87" s="2">
        <f>SUM(L85:L86)</f>
        <v>0</v>
      </c>
      <c r="M87" s="2">
        <f>SUM(M85:M86)</f>
        <v>0</v>
      </c>
    </row>
    <row r="88" spans="2:13">
      <c r="B88" s="2" t="s">
        <v>306</v>
      </c>
    </row>
    <row r="89" spans="2:13">
      <c r="B89" s="2" t="s">
        <v>232</v>
      </c>
      <c r="C89" s="2" t="s">
        <v>233</v>
      </c>
    </row>
    <row r="90" spans="2:13">
      <c r="B90" s="2" t="s">
        <v>295</v>
      </c>
    </row>
    <row r="91" spans="2:13">
      <c r="B91" s="2" t="s">
        <v>286</v>
      </c>
    </row>
    <row r="92" spans="2:13">
      <c r="B92" s="2" t="s">
        <v>287</v>
      </c>
      <c r="C92" s="2" t="s">
        <v>233</v>
      </c>
    </row>
    <row r="93" spans="2:13">
      <c r="B93" s="2" t="s">
        <v>300</v>
      </c>
      <c r="I93" s="2">
        <f>SUM(I91:I92)</f>
        <v>0</v>
      </c>
      <c r="J93" s="2">
        <f>SUM(J91:J92)</f>
        <v>0</v>
      </c>
      <c r="K93" s="2">
        <f>SUM(K91:K92)</f>
        <v>0</v>
      </c>
      <c r="L93" s="2">
        <f>SUM(L91:L92)</f>
        <v>0</v>
      </c>
      <c r="M93" s="2">
        <f>SUM(M91:M92)</f>
        <v>0</v>
      </c>
    </row>
    <row r="94" spans="2:13">
      <c r="B94" s="2" t="s">
        <v>307</v>
      </c>
    </row>
    <row r="95" spans="2:13">
      <c r="B95" s="2" t="s">
        <v>232</v>
      </c>
      <c r="C95" s="2" t="s">
        <v>233</v>
      </c>
    </row>
    <row r="96" spans="2:13">
      <c r="B96" s="2" t="s">
        <v>295</v>
      </c>
    </row>
    <row r="97" spans="2:13">
      <c r="B97" s="2" t="s">
        <v>288</v>
      </c>
    </row>
    <row r="98" spans="2:13">
      <c r="B98" s="2" t="s">
        <v>289</v>
      </c>
      <c r="C98" s="2" t="s">
        <v>233</v>
      </c>
    </row>
    <row r="99" spans="2:13">
      <c r="B99" s="2" t="s">
        <v>302</v>
      </c>
      <c r="I99" s="2">
        <f>SUM(I97:I98)</f>
        <v>0</v>
      </c>
      <c r="J99" s="2">
        <f>SUM(J97:J98)</f>
        <v>0</v>
      </c>
      <c r="K99" s="2">
        <f>SUM(K97:K98)</f>
        <v>0</v>
      </c>
      <c r="L99" s="2">
        <f>SUM(L97:L98)</f>
        <v>0</v>
      </c>
      <c r="M99" s="2">
        <f>SUM(M97:M98)</f>
        <v>0</v>
      </c>
    </row>
    <row r="100" spans="2:13">
      <c r="B100" s="2" t="s">
        <v>308</v>
      </c>
    </row>
    <row r="101" spans="2:13">
      <c r="B101" s="2" t="s">
        <v>232</v>
      </c>
      <c r="C101" s="2" t="s">
        <v>233</v>
      </c>
    </row>
    <row r="102" spans="2:13">
      <c r="B102" s="2" t="s">
        <v>295</v>
      </c>
    </row>
    <row r="103" spans="2:13">
      <c r="B103" s="2" t="s">
        <v>290</v>
      </c>
    </row>
    <row r="104" spans="2:13">
      <c r="B104" s="2" t="s">
        <v>291</v>
      </c>
      <c r="C104" s="2" t="s">
        <v>233</v>
      </c>
    </row>
    <row r="105" spans="2:13">
      <c r="B105" s="2" t="s">
        <v>304</v>
      </c>
      <c r="I105" s="2">
        <f>SUM(I103:I104)</f>
        <v>0</v>
      </c>
      <c r="J105" s="2">
        <f>SUM(J103:J104)</f>
        <v>0</v>
      </c>
      <c r="K105" s="2">
        <f>SUM(K103:K104)</f>
        <v>0</v>
      </c>
      <c r="L105" s="2">
        <f>SUM(L103:L104)</f>
        <v>0</v>
      </c>
      <c r="M105" s="2">
        <f>SUM(M103:M104)</f>
        <v>0</v>
      </c>
    </row>
    <row r="106" spans="2:13">
      <c r="B106" s="2" t="s">
        <v>239</v>
      </c>
      <c r="C106" s="2" t="s">
        <v>233</v>
      </c>
      <c r="D106" s="2">
        <f t="shared" ref="D106:M106" si="21">SUM(D83:D84,D87,D89:D90,D93,D95:D96,D99,D101:D102,D105)</f>
        <v>0</v>
      </c>
      <c r="E106" s="2">
        <f t="shared" si="21"/>
        <v>0</v>
      </c>
      <c r="F106" s="2">
        <f t="shared" si="21"/>
        <v>0</v>
      </c>
      <c r="G106" s="2">
        <f t="shared" si="21"/>
        <v>0</v>
      </c>
      <c r="H106" s="2">
        <f t="shared" si="21"/>
        <v>0</v>
      </c>
      <c r="I106" s="2">
        <f t="shared" si="21"/>
        <v>0</v>
      </c>
      <c r="J106" s="2">
        <f t="shared" si="21"/>
        <v>0</v>
      </c>
      <c r="K106" s="2">
        <f t="shared" si="21"/>
        <v>0</v>
      </c>
      <c r="L106" s="2">
        <f t="shared" si="21"/>
        <v>0</v>
      </c>
      <c r="M106" s="2">
        <f t="shared" si="21"/>
        <v>0</v>
      </c>
    </row>
    <row r="108" spans="2:13">
      <c r="B108" s="2" t="s">
        <v>309</v>
      </c>
    </row>
    <row r="110" spans="2:13">
      <c r="C110" s="2" t="s">
        <v>190</v>
      </c>
      <c r="D110" s="2" t="s">
        <v>191</v>
      </c>
      <c r="I110" s="2" t="s">
        <v>192</v>
      </c>
    </row>
    <row r="111" spans="2:13">
      <c r="D111" s="2" t="s">
        <v>79</v>
      </c>
      <c r="E111" s="2" t="s">
        <v>80</v>
      </c>
      <c r="F111" s="2" t="s">
        <v>81</v>
      </c>
      <c r="G111" s="2" t="s">
        <v>82</v>
      </c>
      <c r="H111" s="2" t="s">
        <v>44</v>
      </c>
      <c r="I111" s="2" t="s">
        <v>193</v>
      </c>
      <c r="J111" s="2" t="s">
        <v>194</v>
      </c>
      <c r="K111" s="2" t="s">
        <v>195</v>
      </c>
      <c r="L111" s="2" t="s">
        <v>196</v>
      </c>
      <c r="M111" s="2" t="s">
        <v>197</v>
      </c>
    </row>
    <row r="112" spans="2:13">
      <c r="B112" s="2" t="s">
        <v>293</v>
      </c>
    </row>
    <row r="113" spans="2:13">
      <c r="B113" s="2" t="s">
        <v>294</v>
      </c>
    </row>
    <row r="114" spans="2:13">
      <c r="B114" s="2" t="s">
        <v>232</v>
      </c>
      <c r="C114" s="2" t="s">
        <v>233</v>
      </c>
    </row>
    <row r="115" spans="2:13">
      <c r="B115" s="2" t="s">
        <v>295</v>
      </c>
    </row>
    <row r="116" spans="2:13">
      <c r="B116" s="2" t="s">
        <v>296</v>
      </c>
    </row>
    <row r="117" spans="2:13">
      <c r="B117" s="2" t="s">
        <v>297</v>
      </c>
      <c r="C117" s="2" t="s">
        <v>233</v>
      </c>
    </row>
    <row r="118" spans="2:13">
      <c r="B118" s="2" t="s">
        <v>298</v>
      </c>
      <c r="I118" s="2">
        <f>SUM(I116:I117)</f>
        <v>0</v>
      </c>
      <c r="J118" s="2">
        <f>SUM(J116:J117)</f>
        <v>0</v>
      </c>
      <c r="K118" s="2">
        <f>SUM(K116:K117)</f>
        <v>0</v>
      </c>
      <c r="L118" s="2">
        <f>SUM(L116:L117)</f>
        <v>0</v>
      </c>
      <c r="M118" s="2">
        <f>SUM(M116:M117)</f>
        <v>0</v>
      </c>
    </row>
    <row r="119" spans="2:13">
      <c r="B119" s="2" t="s">
        <v>306</v>
      </c>
    </row>
    <row r="120" spans="2:13">
      <c r="B120" s="2" t="s">
        <v>232</v>
      </c>
      <c r="C120" s="2" t="s">
        <v>233</v>
      </c>
    </row>
    <row r="121" spans="2:13">
      <c r="B121" s="2" t="s">
        <v>295</v>
      </c>
    </row>
    <row r="122" spans="2:13">
      <c r="B122" s="2" t="s">
        <v>286</v>
      </c>
    </row>
    <row r="123" spans="2:13">
      <c r="B123" s="2" t="s">
        <v>287</v>
      </c>
      <c r="C123" s="2" t="s">
        <v>233</v>
      </c>
    </row>
    <row r="124" spans="2:13">
      <c r="B124" s="2" t="s">
        <v>300</v>
      </c>
      <c r="I124" s="2">
        <f>SUM(I122:I123)</f>
        <v>0</v>
      </c>
      <c r="J124" s="2">
        <f>SUM(J122:J123)</f>
        <v>0</v>
      </c>
      <c r="K124" s="2">
        <f>SUM(K122:K123)</f>
        <v>0</v>
      </c>
      <c r="L124" s="2">
        <f>SUM(L122:L123)</f>
        <v>0</v>
      </c>
      <c r="M124" s="2">
        <f>SUM(M122:M123)</f>
        <v>0</v>
      </c>
    </row>
    <row r="125" spans="2:13">
      <c r="B125" s="2" t="s">
        <v>307</v>
      </c>
    </row>
    <row r="126" spans="2:13">
      <c r="B126" s="2" t="s">
        <v>232</v>
      </c>
      <c r="C126" s="2" t="s">
        <v>233</v>
      </c>
    </row>
    <row r="127" spans="2:13">
      <c r="B127" s="2" t="s">
        <v>295</v>
      </c>
    </row>
    <row r="128" spans="2:13">
      <c r="B128" s="2" t="s">
        <v>288</v>
      </c>
    </row>
    <row r="129" spans="2:20">
      <c r="B129" s="2" t="s">
        <v>289</v>
      </c>
      <c r="C129" s="2" t="s">
        <v>233</v>
      </c>
    </row>
    <row r="130" spans="2:20">
      <c r="B130" s="2" t="s">
        <v>302</v>
      </c>
      <c r="I130" s="2">
        <f>SUM(I128:I129)</f>
        <v>0</v>
      </c>
      <c r="J130" s="2">
        <f>SUM(J128:J129)</f>
        <v>0</v>
      </c>
      <c r="K130" s="2">
        <f>SUM(K128:K129)</f>
        <v>0</v>
      </c>
      <c r="L130" s="2">
        <f>SUM(L128:L129)</f>
        <v>0</v>
      </c>
      <c r="M130" s="2">
        <f>SUM(M128:M129)</f>
        <v>0</v>
      </c>
    </row>
    <row r="131" spans="2:20">
      <c r="B131" s="2" t="s">
        <v>308</v>
      </c>
    </row>
    <row r="132" spans="2:20">
      <c r="B132" s="2" t="s">
        <v>232</v>
      </c>
      <c r="C132" s="2" t="s">
        <v>233</v>
      </c>
    </row>
    <row r="133" spans="2:20">
      <c r="B133" s="2" t="s">
        <v>295</v>
      </c>
    </row>
    <row r="134" spans="2:20">
      <c r="B134" s="2" t="s">
        <v>290</v>
      </c>
    </row>
    <row r="135" spans="2:20">
      <c r="B135" s="2" t="s">
        <v>291</v>
      </c>
      <c r="C135" s="2" t="s">
        <v>233</v>
      </c>
    </row>
    <row r="136" spans="2:20">
      <c r="B136" s="2" t="s">
        <v>304</v>
      </c>
      <c r="I136" s="2">
        <f>SUM(I134:I135)</f>
        <v>0</v>
      </c>
      <c r="J136" s="2">
        <f>SUM(J134:J135)</f>
        <v>0</v>
      </c>
      <c r="K136" s="2">
        <f>SUM(K134:K135)</f>
        <v>0</v>
      </c>
      <c r="L136" s="2">
        <f>SUM(L134:L135)</f>
        <v>0</v>
      </c>
      <c r="M136" s="2">
        <f>SUM(M134:M135)</f>
        <v>0</v>
      </c>
    </row>
    <row r="137" spans="2:20">
      <c r="B137" s="2" t="s">
        <v>239</v>
      </c>
      <c r="C137" s="2" t="s">
        <v>233</v>
      </c>
      <c r="D137" s="2">
        <f t="shared" ref="D137:M137" si="22">SUM(D114:D115,D118,D120:D121,D124,D126:D127,D130,D132:D133,D136)</f>
        <v>0</v>
      </c>
      <c r="E137" s="2">
        <f t="shared" si="22"/>
        <v>0</v>
      </c>
      <c r="F137" s="2">
        <f t="shared" si="22"/>
        <v>0</v>
      </c>
      <c r="G137" s="2">
        <f t="shared" si="22"/>
        <v>0</v>
      </c>
      <c r="H137" s="2">
        <f t="shared" si="22"/>
        <v>0</v>
      </c>
      <c r="I137" s="2">
        <f t="shared" si="22"/>
        <v>0</v>
      </c>
      <c r="J137" s="2">
        <f t="shared" si="22"/>
        <v>0</v>
      </c>
      <c r="K137" s="2">
        <f t="shared" si="22"/>
        <v>0</v>
      </c>
      <c r="L137" s="2">
        <f t="shared" si="22"/>
        <v>0</v>
      </c>
      <c r="M137" s="2">
        <f t="shared" si="22"/>
        <v>0</v>
      </c>
    </row>
    <row r="141" spans="2:20">
      <c r="B141" s="2" t="s">
        <v>310</v>
      </c>
    </row>
    <row r="143" spans="2:20">
      <c r="B143" s="2" t="s">
        <v>241</v>
      </c>
      <c r="C143" s="2" t="s">
        <v>190</v>
      </c>
      <c r="D143" s="2" t="s">
        <v>191</v>
      </c>
      <c r="I143" s="2" t="s">
        <v>192</v>
      </c>
      <c r="O143" s="2" t="s">
        <v>191</v>
      </c>
      <c r="S143" s="2" t="s">
        <v>192</v>
      </c>
    </row>
    <row r="144" spans="2:20">
      <c r="D144" s="2" t="s">
        <v>79</v>
      </c>
      <c r="E144" s="2" t="s">
        <v>80</v>
      </c>
      <c r="F144" s="2" t="s">
        <v>81</v>
      </c>
      <c r="G144" s="2" t="s">
        <v>82</v>
      </c>
      <c r="H144" s="2" t="s">
        <v>44</v>
      </c>
      <c r="I144" s="2" t="s">
        <v>193</v>
      </c>
      <c r="J144" s="2" t="s">
        <v>194</v>
      </c>
      <c r="K144" s="2" t="s">
        <v>195</v>
      </c>
      <c r="L144" s="2" t="s">
        <v>196</v>
      </c>
      <c r="M144" s="2" t="s">
        <v>197</v>
      </c>
      <c r="O144" s="2" t="s">
        <v>198</v>
      </c>
      <c r="P144" s="2" t="s">
        <v>199</v>
      </c>
      <c r="Q144" s="2" t="s">
        <v>200</v>
      </c>
      <c r="S144" s="2" t="s">
        <v>199</v>
      </c>
      <c r="T144" s="2" t="s">
        <v>201</v>
      </c>
    </row>
    <row r="145" spans="2:20">
      <c r="B145" s="2" t="s">
        <v>242</v>
      </c>
    </row>
    <row r="146" spans="2:20">
      <c r="B146" s="2" t="s">
        <v>243</v>
      </c>
    </row>
    <row r="147" spans="2:20">
      <c r="B147" s="2" t="s">
        <v>284</v>
      </c>
      <c r="C147" s="2" t="s">
        <v>203</v>
      </c>
    </row>
    <row r="148" spans="2:20">
      <c r="B148" s="2" t="s">
        <v>311</v>
      </c>
      <c r="C148" s="2" t="s">
        <v>312</v>
      </c>
    </row>
    <row r="149" spans="2:20">
      <c r="B149" s="2" t="s">
        <v>313</v>
      </c>
      <c r="C149" s="2" t="s">
        <v>312</v>
      </c>
      <c r="I149" s="2">
        <f>1-I148</f>
        <v>1</v>
      </c>
      <c r="J149" s="2">
        <f>1-J148</f>
        <v>1</v>
      </c>
      <c r="K149" s="2">
        <f>1-K148</f>
        <v>1</v>
      </c>
      <c r="L149" s="2">
        <f>1-L148</f>
        <v>1</v>
      </c>
      <c r="M149" s="2">
        <f>1-M148</f>
        <v>1</v>
      </c>
    </row>
    <row r="150" spans="2:20">
      <c r="B150" s="2" t="s">
        <v>285</v>
      </c>
      <c r="C150" s="2" t="s">
        <v>203</v>
      </c>
    </row>
    <row r="151" spans="2:20">
      <c r="B151" s="2" t="s">
        <v>314</v>
      </c>
      <c r="C151" s="2" t="s">
        <v>312</v>
      </c>
    </row>
    <row r="152" spans="2:20">
      <c r="B152" s="2" t="s">
        <v>315</v>
      </c>
      <c r="C152" s="2" t="s">
        <v>312</v>
      </c>
      <c r="I152" s="2">
        <f>1-I151</f>
        <v>1</v>
      </c>
      <c r="J152" s="2">
        <f>1-J151</f>
        <v>1</v>
      </c>
      <c r="K152" s="2">
        <f>1-K151</f>
        <v>1</v>
      </c>
      <c r="L152" s="2">
        <f>1-L151</f>
        <v>1</v>
      </c>
      <c r="M152" s="2">
        <f>1-M151</f>
        <v>1</v>
      </c>
    </row>
    <row r="153" spans="2:20">
      <c r="B153" s="2" t="s">
        <v>246</v>
      </c>
      <c r="C153" s="2" t="s">
        <v>203</v>
      </c>
      <c r="I153" s="2">
        <f>SUM(I147,I150)</f>
        <v>0</v>
      </c>
      <c r="J153" s="2">
        <f>SUM(J147,J150)</f>
        <v>0</v>
      </c>
      <c r="K153" s="2">
        <f>SUM(K147,K150)</f>
        <v>0</v>
      </c>
      <c r="L153" s="2">
        <f>SUM(L147,L150)</f>
        <v>0</v>
      </c>
      <c r="M153" s="2">
        <f>SUM(M147,M150)</f>
        <v>0</v>
      </c>
      <c r="O153" s="2">
        <f>SUM(D153:G153)</f>
        <v>0</v>
      </c>
      <c r="P153" s="2">
        <f>SUM(H153)</f>
        <v>0</v>
      </c>
      <c r="Q153" s="2">
        <f>SUM(D153:H153)</f>
        <v>0</v>
      </c>
      <c r="S153" s="2">
        <f>SUM(I153:M153)</f>
        <v>0</v>
      </c>
      <c r="T153" s="2" t="str">
        <f>IF(Q153&lt;&gt;0,(S153-Q153)/Q153,"0")</f>
        <v>0</v>
      </c>
    </row>
    <row r="154" spans="2:20">
      <c r="B154" s="2" t="s">
        <v>316</v>
      </c>
    </row>
    <row r="155" spans="2:20">
      <c r="B155" s="2" t="s">
        <v>286</v>
      </c>
      <c r="C155" s="2" t="s">
        <v>203</v>
      </c>
    </row>
    <row r="156" spans="2:20">
      <c r="B156" s="2" t="s">
        <v>317</v>
      </c>
      <c r="C156" s="2" t="s">
        <v>312</v>
      </c>
    </row>
    <row r="157" spans="2:20">
      <c r="B157" s="2" t="s">
        <v>318</v>
      </c>
      <c r="C157" s="2" t="s">
        <v>312</v>
      </c>
      <c r="I157" s="2">
        <f>1-I156</f>
        <v>1</v>
      </c>
      <c r="J157" s="2">
        <f>1-J156</f>
        <v>1</v>
      </c>
      <c r="K157" s="2">
        <f>1-K156</f>
        <v>1</v>
      </c>
      <c r="L157" s="2">
        <f>1-L156</f>
        <v>1</v>
      </c>
      <c r="M157" s="2">
        <f>1-M156</f>
        <v>1</v>
      </c>
    </row>
    <row r="158" spans="2:20">
      <c r="B158" s="2" t="s">
        <v>287</v>
      </c>
      <c r="C158" s="2" t="s">
        <v>203</v>
      </c>
    </row>
    <row r="159" spans="2:20">
      <c r="B159" s="2" t="s">
        <v>319</v>
      </c>
      <c r="C159" s="2" t="s">
        <v>312</v>
      </c>
    </row>
    <row r="160" spans="2:20">
      <c r="B160" s="2" t="s">
        <v>320</v>
      </c>
      <c r="C160" s="2" t="s">
        <v>312</v>
      </c>
      <c r="I160" s="2">
        <f>1-I159</f>
        <v>1</v>
      </c>
      <c r="J160" s="2">
        <f>1-J159</f>
        <v>1</v>
      </c>
      <c r="K160" s="2">
        <f>1-K159</f>
        <v>1</v>
      </c>
      <c r="L160" s="2">
        <f>1-L159</f>
        <v>1</v>
      </c>
      <c r="M160" s="2">
        <f>1-M159</f>
        <v>1</v>
      </c>
    </row>
    <row r="161" spans="2:20">
      <c r="B161" s="2" t="s">
        <v>248</v>
      </c>
      <c r="C161" s="2" t="s">
        <v>203</v>
      </c>
      <c r="I161" s="2">
        <f>SUM(I155,I158)</f>
        <v>0</v>
      </c>
      <c r="J161" s="2">
        <f>SUM(J155,J158)</f>
        <v>0</v>
      </c>
      <c r="K161" s="2">
        <f>SUM(K155,K158)</f>
        <v>0</v>
      </c>
      <c r="L161" s="2">
        <f>SUM(L155,L158)</f>
        <v>0</v>
      </c>
      <c r="M161" s="2">
        <f>SUM(M155,M158)</f>
        <v>0</v>
      </c>
      <c r="O161" s="2">
        <f>SUM(D161:G161)</f>
        <v>0</v>
      </c>
      <c r="P161" s="2">
        <f>SUM(H161)</f>
        <v>0</v>
      </c>
      <c r="Q161" s="2">
        <f>SUM(D161:H161)</f>
        <v>0</v>
      </c>
      <c r="S161" s="2">
        <f>SUM(I161:M161)</f>
        <v>0</v>
      </c>
      <c r="T161" s="2" t="str">
        <f>IF(Q161&lt;&gt;0,(S161-Q161)/Q161,"0")</f>
        <v>0</v>
      </c>
    </row>
    <row r="162" spans="2:20">
      <c r="B162" s="2" t="s">
        <v>321</v>
      </c>
    </row>
    <row r="163" spans="2:20">
      <c r="B163" s="2" t="s">
        <v>288</v>
      </c>
      <c r="C163" s="2" t="s">
        <v>203</v>
      </c>
    </row>
    <row r="164" spans="2:20">
      <c r="B164" s="2" t="s">
        <v>322</v>
      </c>
      <c r="C164" s="2" t="s">
        <v>312</v>
      </c>
    </row>
    <row r="165" spans="2:20">
      <c r="B165" s="2" t="s">
        <v>323</v>
      </c>
      <c r="C165" s="2" t="s">
        <v>312</v>
      </c>
      <c r="I165" s="2">
        <f>1-I164</f>
        <v>1</v>
      </c>
      <c r="J165" s="2">
        <f>1-J164</f>
        <v>1</v>
      </c>
      <c r="K165" s="2">
        <f>1-K164</f>
        <v>1</v>
      </c>
      <c r="L165" s="2">
        <f>1-L164</f>
        <v>1</v>
      </c>
      <c r="M165" s="2">
        <f>1-M164</f>
        <v>1</v>
      </c>
    </row>
    <row r="166" spans="2:20">
      <c r="B166" s="2" t="s">
        <v>289</v>
      </c>
      <c r="C166" s="2" t="s">
        <v>203</v>
      </c>
    </row>
    <row r="167" spans="2:20">
      <c r="B167" s="2" t="s">
        <v>324</v>
      </c>
      <c r="C167" s="2" t="s">
        <v>312</v>
      </c>
    </row>
    <row r="168" spans="2:20">
      <c r="B168" s="2" t="s">
        <v>325</v>
      </c>
      <c r="C168" s="2" t="s">
        <v>312</v>
      </c>
      <c r="I168" s="2">
        <f>1-I167</f>
        <v>1</v>
      </c>
      <c r="J168" s="2">
        <f>1-J167</f>
        <v>1</v>
      </c>
      <c r="K168" s="2">
        <f>1-K167</f>
        <v>1</v>
      </c>
      <c r="L168" s="2">
        <f>1-L167</f>
        <v>1</v>
      </c>
      <c r="M168" s="2">
        <f>1-M167</f>
        <v>1</v>
      </c>
    </row>
    <row r="169" spans="2:20">
      <c r="B169" s="2" t="s">
        <v>250</v>
      </c>
      <c r="C169" s="2" t="s">
        <v>203</v>
      </c>
      <c r="I169" s="2">
        <f>SUM(I163,I166)</f>
        <v>0</v>
      </c>
      <c r="J169" s="2">
        <f>SUM(J163,J166)</f>
        <v>0</v>
      </c>
      <c r="K169" s="2">
        <f>SUM(K163,K166)</f>
        <v>0</v>
      </c>
      <c r="L169" s="2">
        <f>SUM(L163,L166)</f>
        <v>0</v>
      </c>
      <c r="M169" s="2">
        <f>SUM(M163,M166)</f>
        <v>0</v>
      </c>
      <c r="O169" s="2">
        <f>SUM(D169:G169)</f>
        <v>0</v>
      </c>
      <c r="P169" s="2">
        <f>SUM(H169)</f>
        <v>0</v>
      </c>
      <c r="Q169" s="2">
        <f>SUM(D169:H169)</f>
        <v>0</v>
      </c>
      <c r="S169" s="2">
        <f>SUM(I169:M169)</f>
        <v>0</v>
      </c>
      <c r="T169" s="2" t="str">
        <f>IF(Q169&lt;&gt;0,(S169-Q169)/Q169,"0")</f>
        <v>0</v>
      </c>
    </row>
    <row r="170" spans="2:20">
      <c r="B170" s="2" t="s">
        <v>326</v>
      </c>
    </row>
    <row r="171" spans="2:20">
      <c r="B171" s="2" t="s">
        <v>290</v>
      </c>
      <c r="C171" s="2" t="s">
        <v>203</v>
      </c>
    </row>
    <row r="172" spans="2:20">
      <c r="B172" s="2" t="s">
        <v>327</v>
      </c>
      <c r="C172" s="2" t="s">
        <v>312</v>
      </c>
    </row>
    <row r="173" spans="2:20">
      <c r="B173" s="2" t="s">
        <v>328</v>
      </c>
      <c r="C173" s="2" t="s">
        <v>312</v>
      </c>
      <c r="I173" s="2">
        <f>1-I172</f>
        <v>1</v>
      </c>
      <c r="J173" s="2">
        <f>1-J172</f>
        <v>1</v>
      </c>
      <c r="K173" s="2">
        <f>1-K172</f>
        <v>1</v>
      </c>
      <c r="L173" s="2">
        <f>1-L172</f>
        <v>1</v>
      </c>
      <c r="M173" s="2">
        <f>1-M172</f>
        <v>1</v>
      </c>
    </row>
    <row r="174" spans="2:20">
      <c r="B174" s="2" t="s">
        <v>291</v>
      </c>
      <c r="C174" s="2" t="s">
        <v>203</v>
      </c>
    </row>
    <row r="175" spans="2:20">
      <c r="B175" s="2" t="s">
        <v>329</v>
      </c>
      <c r="C175" s="2" t="s">
        <v>312</v>
      </c>
    </row>
    <row r="176" spans="2:20">
      <c r="B176" s="2" t="s">
        <v>330</v>
      </c>
      <c r="C176" s="2" t="s">
        <v>312</v>
      </c>
      <c r="I176" s="2">
        <f>1-I175</f>
        <v>1</v>
      </c>
      <c r="J176" s="2">
        <f>1-J175</f>
        <v>1</v>
      </c>
      <c r="K176" s="2">
        <f>1-K175</f>
        <v>1</v>
      </c>
      <c r="L176" s="2">
        <f>1-L175</f>
        <v>1</v>
      </c>
      <c r="M176" s="2">
        <f>1-M175</f>
        <v>1</v>
      </c>
    </row>
    <row r="177" spans="2:20">
      <c r="B177" s="2" t="s">
        <v>252</v>
      </c>
      <c r="C177" s="2" t="s">
        <v>203</v>
      </c>
      <c r="I177" s="2">
        <f>SUM(I171,I174)</f>
        <v>0</v>
      </c>
      <c r="J177" s="2">
        <f>SUM(J171,J174)</f>
        <v>0</v>
      </c>
      <c r="K177" s="2">
        <f>SUM(K171,K174)</f>
        <v>0</v>
      </c>
      <c r="L177" s="2">
        <f>SUM(L171,L174)</f>
        <v>0</v>
      </c>
      <c r="M177" s="2">
        <f>SUM(M171,M174)</f>
        <v>0</v>
      </c>
      <c r="O177" s="2">
        <f>SUM(D177:G177)</f>
        <v>0</v>
      </c>
      <c r="P177" s="2">
        <f>SUM(H177)</f>
        <v>0</v>
      </c>
      <c r="Q177" s="2">
        <f>SUM(D177:H177)</f>
        <v>0</v>
      </c>
      <c r="S177" s="2">
        <f>SUM(I177:M177)</f>
        <v>0</v>
      </c>
      <c r="T177" s="2" t="str">
        <f>IF(Q177&lt;&gt;0,(S177-Q177)/Q177,"0")</f>
        <v>0</v>
      </c>
    </row>
    <row r="178" spans="2:20">
      <c r="B178" s="2" t="s">
        <v>331</v>
      </c>
      <c r="D178" s="2">
        <f t="shared" ref="D178:M178" si="23">SUM(D153,D161,D169,D177)</f>
        <v>0</v>
      </c>
      <c r="E178" s="2">
        <f t="shared" si="23"/>
        <v>0</v>
      </c>
      <c r="F178" s="2">
        <f t="shared" si="23"/>
        <v>0</v>
      </c>
      <c r="G178" s="2">
        <f t="shared" si="23"/>
        <v>0</v>
      </c>
      <c r="H178" s="2">
        <f t="shared" si="23"/>
        <v>0</v>
      </c>
      <c r="I178" s="2">
        <f t="shared" si="23"/>
        <v>0</v>
      </c>
      <c r="J178" s="2">
        <f t="shared" si="23"/>
        <v>0</v>
      </c>
      <c r="K178" s="2">
        <f t="shared" si="23"/>
        <v>0</v>
      </c>
      <c r="L178" s="2">
        <f t="shared" si="23"/>
        <v>0</v>
      </c>
      <c r="M178" s="2">
        <f t="shared" si="23"/>
        <v>0</v>
      </c>
      <c r="O178" s="2">
        <f>SUM(O153,O161,O169,O177)</f>
        <v>0</v>
      </c>
      <c r="P178" s="2">
        <f>SUM(P153,P161,P169,P177)</f>
        <v>0</v>
      </c>
      <c r="Q178" s="2">
        <f>SUM(Q153,Q161,Q169,Q177)</f>
        <v>0</v>
      </c>
      <c r="S178" s="2">
        <f>SUM(S153,S161,S169,S177)</f>
        <v>0</v>
      </c>
      <c r="T178" s="2" t="str">
        <f>IF(Q178&lt;&gt;0,(S178-Q178)/Q178,"0")</f>
        <v>0</v>
      </c>
    </row>
    <row r="180" spans="2:20">
      <c r="B180" s="2" t="s">
        <v>332</v>
      </c>
    </row>
    <row r="182" spans="2:20">
      <c r="B182" s="2" t="s">
        <v>241</v>
      </c>
      <c r="C182" s="2" t="s">
        <v>190</v>
      </c>
      <c r="D182" s="2" t="s">
        <v>191</v>
      </c>
      <c r="I182" s="2" t="s">
        <v>192</v>
      </c>
      <c r="O182" s="2" t="s">
        <v>191</v>
      </c>
      <c r="S182" s="2" t="s">
        <v>192</v>
      </c>
    </row>
    <row r="183" spans="2:20">
      <c r="D183" s="2" t="s">
        <v>79</v>
      </c>
      <c r="E183" s="2" t="s">
        <v>80</v>
      </c>
      <c r="F183" s="2" t="s">
        <v>81</v>
      </c>
      <c r="G183" s="2" t="s">
        <v>82</v>
      </c>
      <c r="H183" s="2" t="s">
        <v>44</v>
      </c>
      <c r="I183" s="2" t="s">
        <v>193</v>
      </c>
      <c r="J183" s="2" t="s">
        <v>194</v>
      </c>
      <c r="K183" s="2" t="s">
        <v>195</v>
      </c>
      <c r="L183" s="2" t="s">
        <v>196</v>
      </c>
      <c r="M183" s="2" t="s">
        <v>197</v>
      </c>
      <c r="O183" s="2" t="s">
        <v>198</v>
      </c>
      <c r="P183" s="2" t="s">
        <v>199</v>
      </c>
      <c r="Q183" s="2" t="s">
        <v>200</v>
      </c>
      <c r="S183" s="2" t="s">
        <v>199</v>
      </c>
      <c r="T183" s="2" t="s">
        <v>201</v>
      </c>
    </row>
    <row r="184" spans="2:20">
      <c r="B184" s="2" t="s">
        <v>242</v>
      </c>
    </row>
    <row r="185" spans="2:20">
      <c r="B185" s="2" t="s">
        <v>243</v>
      </c>
    </row>
    <row r="186" spans="2:20">
      <c r="B186" s="2" t="s">
        <v>284</v>
      </c>
      <c r="C186" s="2" t="s">
        <v>203</v>
      </c>
    </row>
    <row r="187" spans="2:20">
      <c r="B187" s="2" t="s">
        <v>311</v>
      </c>
      <c r="C187" s="2" t="s">
        <v>312</v>
      </c>
    </row>
    <row r="188" spans="2:20">
      <c r="B188" s="2" t="s">
        <v>313</v>
      </c>
      <c r="C188" s="2" t="s">
        <v>312</v>
      </c>
      <c r="I188" s="2">
        <f>1-I187</f>
        <v>1</v>
      </c>
      <c r="J188" s="2">
        <f>1-J187</f>
        <v>1</v>
      </c>
      <c r="K188" s="2">
        <f>1-K187</f>
        <v>1</v>
      </c>
      <c r="L188" s="2">
        <f>1-L187</f>
        <v>1</v>
      </c>
      <c r="M188" s="2">
        <f>1-M187</f>
        <v>1</v>
      </c>
    </row>
    <row r="189" spans="2:20">
      <c r="B189" s="2" t="s">
        <v>285</v>
      </c>
      <c r="C189" s="2" t="s">
        <v>203</v>
      </c>
    </row>
    <row r="190" spans="2:20">
      <c r="B190" s="2" t="s">
        <v>314</v>
      </c>
      <c r="C190" s="2" t="s">
        <v>312</v>
      </c>
    </row>
    <row r="191" spans="2:20">
      <c r="B191" s="2" t="s">
        <v>315</v>
      </c>
      <c r="C191" s="2" t="s">
        <v>312</v>
      </c>
      <c r="I191" s="2">
        <f>1-I190</f>
        <v>1</v>
      </c>
      <c r="J191" s="2">
        <f>1-J190</f>
        <v>1</v>
      </c>
      <c r="K191" s="2">
        <f>1-K190</f>
        <v>1</v>
      </c>
      <c r="L191" s="2">
        <f>1-L190</f>
        <v>1</v>
      </c>
      <c r="M191" s="2">
        <f>1-M190</f>
        <v>1</v>
      </c>
    </row>
    <row r="192" spans="2:20">
      <c r="B192" s="2" t="s">
        <v>246</v>
      </c>
      <c r="C192" s="2" t="s">
        <v>203</v>
      </c>
      <c r="I192" s="2">
        <f>SUM(I186,I189)</f>
        <v>0</v>
      </c>
      <c r="J192" s="2">
        <f>SUM(J186,J189)</f>
        <v>0</v>
      </c>
      <c r="K192" s="2">
        <f>SUM(K186,K189)</f>
        <v>0</v>
      </c>
      <c r="L192" s="2">
        <f>SUM(L186,L189)</f>
        <v>0</v>
      </c>
      <c r="M192" s="2">
        <f>SUM(M186,M189)</f>
        <v>0</v>
      </c>
      <c r="O192" s="2">
        <f>SUM(D192:G192)</f>
        <v>0</v>
      </c>
      <c r="P192" s="2">
        <f>SUM(H192)</f>
        <v>0</v>
      </c>
      <c r="Q192" s="2">
        <f>SUM(D192:H192)</f>
        <v>0</v>
      </c>
      <c r="S192" s="2">
        <f>SUM(I192:M192)</f>
        <v>0</v>
      </c>
      <c r="T192" s="2" t="str">
        <f>IF(Q192&lt;&gt;0,(S192-Q192)/Q192,"0")</f>
        <v>0</v>
      </c>
    </row>
    <row r="193" spans="2:20">
      <c r="B193" s="2" t="s">
        <v>316</v>
      </c>
    </row>
    <row r="194" spans="2:20">
      <c r="B194" s="2" t="s">
        <v>286</v>
      </c>
      <c r="C194" s="2" t="s">
        <v>203</v>
      </c>
    </row>
    <row r="195" spans="2:20">
      <c r="B195" s="2" t="s">
        <v>317</v>
      </c>
      <c r="C195" s="2" t="s">
        <v>312</v>
      </c>
    </row>
    <row r="196" spans="2:20">
      <c r="B196" s="2" t="s">
        <v>318</v>
      </c>
      <c r="C196" s="2" t="s">
        <v>312</v>
      </c>
      <c r="I196" s="2">
        <f>1-I195</f>
        <v>1</v>
      </c>
      <c r="J196" s="2">
        <f>1-J195</f>
        <v>1</v>
      </c>
      <c r="K196" s="2">
        <f>1-K195</f>
        <v>1</v>
      </c>
      <c r="L196" s="2">
        <f>1-L195</f>
        <v>1</v>
      </c>
      <c r="M196" s="2">
        <f>1-M195</f>
        <v>1</v>
      </c>
    </row>
    <row r="197" spans="2:20">
      <c r="B197" s="2" t="s">
        <v>287</v>
      </c>
      <c r="C197" s="2" t="s">
        <v>203</v>
      </c>
    </row>
    <row r="198" spans="2:20">
      <c r="B198" s="2" t="s">
        <v>319</v>
      </c>
      <c r="C198" s="2" t="s">
        <v>312</v>
      </c>
    </row>
    <row r="199" spans="2:20">
      <c r="B199" s="2" t="s">
        <v>320</v>
      </c>
      <c r="C199" s="2" t="s">
        <v>312</v>
      </c>
      <c r="I199" s="2">
        <f>1-I198</f>
        <v>1</v>
      </c>
      <c r="J199" s="2">
        <f>1-J198</f>
        <v>1</v>
      </c>
      <c r="K199" s="2">
        <f>1-K198</f>
        <v>1</v>
      </c>
      <c r="L199" s="2">
        <f>1-L198</f>
        <v>1</v>
      </c>
      <c r="M199" s="2">
        <f>1-M198</f>
        <v>1</v>
      </c>
    </row>
    <row r="200" spans="2:20">
      <c r="B200" s="2" t="s">
        <v>248</v>
      </c>
      <c r="C200" s="2" t="s">
        <v>203</v>
      </c>
      <c r="I200" s="2">
        <f>SUM(I194,I197)</f>
        <v>0</v>
      </c>
      <c r="J200" s="2">
        <f>SUM(J194,J197)</f>
        <v>0</v>
      </c>
      <c r="K200" s="2">
        <f>SUM(K194,K197)</f>
        <v>0</v>
      </c>
      <c r="L200" s="2">
        <f>SUM(L194,L197)</f>
        <v>0</v>
      </c>
      <c r="M200" s="2">
        <f>SUM(M194,M197)</f>
        <v>0</v>
      </c>
      <c r="O200" s="2">
        <f>SUM(D200:G200)</f>
        <v>0</v>
      </c>
      <c r="P200" s="2">
        <f>SUM(H200)</f>
        <v>0</v>
      </c>
      <c r="Q200" s="2">
        <f>SUM(D200:H200)</f>
        <v>0</v>
      </c>
      <c r="S200" s="2">
        <f>SUM(I200:M200)</f>
        <v>0</v>
      </c>
      <c r="T200" s="2" t="str">
        <f>IF(Q200&lt;&gt;0,(S200-Q200)/Q200,"0")</f>
        <v>0</v>
      </c>
    </row>
    <row r="201" spans="2:20">
      <c r="B201" s="2" t="s">
        <v>321</v>
      </c>
    </row>
    <row r="202" spans="2:20">
      <c r="B202" s="2" t="s">
        <v>288</v>
      </c>
      <c r="C202" s="2" t="s">
        <v>203</v>
      </c>
    </row>
    <row r="203" spans="2:20">
      <c r="B203" s="2" t="s">
        <v>322</v>
      </c>
      <c r="C203" s="2" t="s">
        <v>312</v>
      </c>
    </row>
    <row r="204" spans="2:20">
      <c r="B204" s="2" t="s">
        <v>323</v>
      </c>
      <c r="C204" s="2" t="s">
        <v>312</v>
      </c>
      <c r="I204" s="2">
        <f>1-I203</f>
        <v>1</v>
      </c>
      <c r="J204" s="2">
        <f>1-J203</f>
        <v>1</v>
      </c>
      <c r="K204" s="2">
        <f>1-K203</f>
        <v>1</v>
      </c>
      <c r="L204" s="2">
        <f>1-L203</f>
        <v>1</v>
      </c>
      <c r="M204" s="2">
        <f>1-M203</f>
        <v>1</v>
      </c>
    </row>
    <row r="205" spans="2:20">
      <c r="B205" s="2" t="s">
        <v>289</v>
      </c>
      <c r="C205" s="2" t="s">
        <v>203</v>
      </c>
    </row>
    <row r="206" spans="2:20">
      <c r="B206" s="2" t="s">
        <v>324</v>
      </c>
      <c r="C206" s="2" t="s">
        <v>312</v>
      </c>
    </row>
    <row r="207" spans="2:20">
      <c r="B207" s="2" t="s">
        <v>325</v>
      </c>
      <c r="C207" s="2" t="s">
        <v>312</v>
      </c>
      <c r="I207" s="2">
        <f>1-I206</f>
        <v>1</v>
      </c>
      <c r="J207" s="2">
        <f>1-J206</f>
        <v>1</v>
      </c>
      <c r="K207" s="2">
        <f>1-K206</f>
        <v>1</v>
      </c>
      <c r="L207" s="2">
        <f>1-L206</f>
        <v>1</v>
      </c>
      <c r="M207" s="2">
        <f>1-M206</f>
        <v>1</v>
      </c>
    </row>
    <row r="208" spans="2:20">
      <c r="B208" s="2" t="s">
        <v>250</v>
      </c>
      <c r="C208" s="2" t="s">
        <v>203</v>
      </c>
      <c r="I208" s="2">
        <f>SUM(I202,I205)</f>
        <v>0</v>
      </c>
      <c r="J208" s="2">
        <f>SUM(J202,J205)</f>
        <v>0</v>
      </c>
      <c r="K208" s="2">
        <f>SUM(K202,K205)</f>
        <v>0</v>
      </c>
      <c r="L208" s="2">
        <f>SUM(L202,L205)</f>
        <v>0</v>
      </c>
      <c r="M208" s="2">
        <f>SUM(M202,M205)</f>
        <v>0</v>
      </c>
      <c r="O208" s="2">
        <f>SUM(D208:G208)</f>
        <v>0</v>
      </c>
      <c r="P208" s="2">
        <f>SUM(H208)</f>
        <v>0</v>
      </c>
      <c r="Q208" s="2">
        <f>SUM(D208:H208)</f>
        <v>0</v>
      </c>
      <c r="S208" s="2">
        <f>SUM(I208:M208)</f>
        <v>0</v>
      </c>
      <c r="T208" s="2" t="str">
        <f>IF(Q208&lt;&gt;0,(S208-Q208)/Q208,"0")</f>
        <v>0</v>
      </c>
    </row>
    <row r="209" spans="2:20">
      <c r="B209" s="2" t="s">
        <v>326</v>
      </c>
    </row>
    <row r="210" spans="2:20">
      <c r="B210" s="2" t="s">
        <v>290</v>
      </c>
      <c r="C210" s="2" t="s">
        <v>203</v>
      </c>
    </row>
    <row r="211" spans="2:20">
      <c r="B211" s="2" t="s">
        <v>327</v>
      </c>
      <c r="C211" s="2" t="s">
        <v>312</v>
      </c>
    </row>
    <row r="212" spans="2:20">
      <c r="B212" s="2" t="s">
        <v>328</v>
      </c>
      <c r="C212" s="2" t="s">
        <v>312</v>
      </c>
      <c r="I212" s="2">
        <f>1-I211</f>
        <v>1</v>
      </c>
      <c r="J212" s="2">
        <f>1-J211</f>
        <v>1</v>
      </c>
      <c r="K212" s="2">
        <f>1-K211</f>
        <v>1</v>
      </c>
      <c r="L212" s="2">
        <f>1-L211</f>
        <v>1</v>
      </c>
      <c r="M212" s="2">
        <f>1-M211</f>
        <v>1</v>
      </c>
    </row>
    <row r="213" spans="2:20">
      <c r="B213" s="2" t="s">
        <v>291</v>
      </c>
      <c r="C213" s="2" t="s">
        <v>203</v>
      </c>
    </row>
    <row r="214" spans="2:20">
      <c r="B214" s="2" t="s">
        <v>329</v>
      </c>
      <c r="C214" s="2" t="s">
        <v>312</v>
      </c>
    </row>
    <row r="215" spans="2:20">
      <c r="B215" s="2" t="s">
        <v>330</v>
      </c>
      <c r="C215" s="2" t="s">
        <v>312</v>
      </c>
      <c r="I215" s="2">
        <f>1-I214</f>
        <v>1</v>
      </c>
      <c r="J215" s="2">
        <f>1-J214</f>
        <v>1</v>
      </c>
      <c r="K215" s="2">
        <f>1-K214</f>
        <v>1</v>
      </c>
      <c r="L215" s="2">
        <f>1-L214</f>
        <v>1</v>
      </c>
      <c r="M215" s="2">
        <f>1-M214</f>
        <v>1</v>
      </c>
    </row>
    <row r="216" spans="2:20">
      <c r="B216" s="2" t="s">
        <v>252</v>
      </c>
      <c r="C216" s="2" t="s">
        <v>203</v>
      </c>
      <c r="I216" s="2">
        <f>SUM(I210,I213)</f>
        <v>0</v>
      </c>
      <c r="J216" s="2">
        <f>SUM(J210,J213)</f>
        <v>0</v>
      </c>
      <c r="K216" s="2">
        <f>SUM(K210,K213)</f>
        <v>0</v>
      </c>
      <c r="L216" s="2">
        <f>SUM(L210,L213)</f>
        <v>0</v>
      </c>
      <c r="M216" s="2">
        <f>SUM(M210,M213)</f>
        <v>0</v>
      </c>
      <c r="O216" s="2">
        <f>SUM(D216:G216)</f>
        <v>0</v>
      </c>
      <c r="P216" s="2">
        <f>SUM(H216)</f>
        <v>0</v>
      </c>
      <c r="Q216" s="2">
        <f>SUM(D216:H216)</f>
        <v>0</v>
      </c>
      <c r="S216" s="2">
        <f>SUM(I216:M216)</f>
        <v>0</v>
      </c>
      <c r="T216" s="2" t="str">
        <f>IF(Q216&lt;&gt;0,(S216-Q216)/Q216,"0")</f>
        <v>0</v>
      </c>
    </row>
    <row r="217" spans="2:20">
      <c r="B217" s="2" t="s">
        <v>333</v>
      </c>
      <c r="D217" s="2">
        <f t="shared" ref="D217:M217" si="24">SUM(D192,D200,D208,D216)</f>
        <v>0</v>
      </c>
      <c r="E217" s="2">
        <f t="shared" si="24"/>
        <v>0</v>
      </c>
      <c r="F217" s="2">
        <f t="shared" si="24"/>
        <v>0</v>
      </c>
      <c r="G217" s="2">
        <f t="shared" si="24"/>
        <v>0</v>
      </c>
      <c r="H217" s="2">
        <f t="shared" si="24"/>
        <v>0</v>
      </c>
      <c r="I217" s="2">
        <f t="shared" si="24"/>
        <v>0</v>
      </c>
      <c r="J217" s="2">
        <f t="shared" si="24"/>
        <v>0</v>
      </c>
      <c r="K217" s="2">
        <f t="shared" si="24"/>
        <v>0</v>
      </c>
      <c r="L217" s="2">
        <f t="shared" si="24"/>
        <v>0</v>
      </c>
      <c r="M217" s="2">
        <f t="shared" si="24"/>
        <v>0</v>
      </c>
      <c r="O217" s="2">
        <f>SUM(O192,O200,O208,O216)</f>
        <v>0</v>
      </c>
      <c r="P217" s="2">
        <f>SUM(P192,P200,P208,P216)</f>
        <v>0</v>
      </c>
      <c r="Q217" s="2">
        <f>SUM(Q192,Q200,Q208,Q216)</f>
        <v>0</v>
      </c>
      <c r="S217" s="2">
        <f>SUM(S192,S200,S208,S216)</f>
        <v>0</v>
      </c>
      <c r="T217" s="2" t="str">
        <f>IF(Q217&lt;&gt;0,(S217-Q217)/Q217,"0")</f>
        <v>0</v>
      </c>
    </row>
    <row r="219" spans="2:20">
      <c r="B219" s="2" t="s">
        <v>334</v>
      </c>
    </row>
    <row r="221" spans="2:20">
      <c r="B221" s="2" t="s">
        <v>241</v>
      </c>
      <c r="C221" s="2" t="s">
        <v>190</v>
      </c>
      <c r="D221" s="2" t="s">
        <v>191</v>
      </c>
      <c r="I221" s="2" t="s">
        <v>192</v>
      </c>
      <c r="O221" s="2" t="s">
        <v>191</v>
      </c>
      <c r="S221" s="2" t="s">
        <v>192</v>
      </c>
    </row>
    <row r="222" spans="2:20">
      <c r="D222" s="2" t="s">
        <v>79</v>
      </c>
      <c r="E222" s="2" t="s">
        <v>80</v>
      </c>
      <c r="F222" s="2" t="s">
        <v>81</v>
      </c>
      <c r="G222" s="2" t="s">
        <v>82</v>
      </c>
      <c r="H222" s="2" t="s">
        <v>44</v>
      </c>
      <c r="I222" s="2" t="s">
        <v>193</v>
      </c>
      <c r="J222" s="2" t="s">
        <v>194</v>
      </c>
      <c r="K222" s="2" t="s">
        <v>195</v>
      </c>
      <c r="L222" s="2" t="s">
        <v>196</v>
      </c>
      <c r="M222" s="2" t="s">
        <v>197</v>
      </c>
      <c r="O222" s="2" t="s">
        <v>198</v>
      </c>
      <c r="P222" s="2" t="s">
        <v>199</v>
      </c>
      <c r="Q222" s="2" t="s">
        <v>200</v>
      </c>
      <c r="S222" s="2" t="s">
        <v>199</v>
      </c>
      <c r="T222" s="2" t="s">
        <v>201</v>
      </c>
    </row>
    <row r="223" spans="2:20">
      <c r="B223" s="2" t="s">
        <v>242</v>
      </c>
    </row>
    <row r="224" spans="2:20">
      <c r="B224" s="2" t="s">
        <v>243</v>
      </c>
    </row>
    <row r="225" spans="2:20">
      <c r="B225" s="2" t="s">
        <v>284</v>
      </c>
      <c r="C225" s="2" t="s">
        <v>203</v>
      </c>
    </row>
    <row r="226" spans="2:20">
      <c r="B226" s="2" t="s">
        <v>285</v>
      </c>
      <c r="C226" s="2" t="s">
        <v>203</v>
      </c>
    </row>
    <row r="227" spans="2:20">
      <c r="B227" s="2" t="s">
        <v>246</v>
      </c>
      <c r="C227" s="2" t="s">
        <v>203</v>
      </c>
      <c r="I227" s="2">
        <f>SUM(I225,I226)</f>
        <v>0</v>
      </c>
      <c r="J227" s="2">
        <f>SUM(J225,J226)</f>
        <v>0</v>
      </c>
      <c r="K227" s="2">
        <f>SUM(K225,K226)</f>
        <v>0</v>
      </c>
      <c r="L227" s="2">
        <f>SUM(L225,L226)</f>
        <v>0</v>
      </c>
      <c r="M227" s="2">
        <f>SUM(M225,M226)</f>
        <v>0</v>
      </c>
      <c r="O227" s="2">
        <f>SUM(D227:G227)</f>
        <v>0</v>
      </c>
      <c r="P227" s="2">
        <f>SUM(H227)</f>
        <v>0</v>
      </c>
      <c r="Q227" s="2">
        <f>SUM(D227:H227)</f>
        <v>0</v>
      </c>
      <c r="S227" s="2">
        <f>SUM(I227:M227)</f>
        <v>0</v>
      </c>
      <c r="T227" s="2" t="str">
        <f>IF(Q227&lt;&gt;0,(S227-Q227)/Q227,"0")</f>
        <v>0</v>
      </c>
    </row>
    <row r="228" spans="2:20">
      <c r="B228" s="2" t="s">
        <v>316</v>
      </c>
    </row>
    <row r="229" spans="2:20">
      <c r="B229" s="2" t="s">
        <v>286</v>
      </c>
      <c r="C229" s="2" t="s">
        <v>203</v>
      </c>
    </row>
    <row r="230" spans="2:20">
      <c r="B230" s="2" t="s">
        <v>287</v>
      </c>
      <c r="C230" s="2" t="s">
        <v>203</v>
      </c>
    </row>
    <row r="231" spans="2:20">
      <c r="B231" s="2" t="s">
        <v>248</v>
      </c>
      <c r="C231" s="2" t="s">
        <v>203</v>
      </c>
      <c r="I231" s="2">
        <f>SUM(I229,I230)</f>
        <v>0</v>
      </c>
      <c r="J231" s="2">
        <f>SUM(J229,J230)</f>
        <v>0</v>
      </c>
      <c r="K231" s="2">
        <f>SUM(K229,K230)</f>
        <v>0</v>
      </c>
      <c r="L231" s="2">
        <f>SUM(L229,L230)</f>
        <v>0</v>
      </c>
      <c r="M231" s="2">
        <f>SUM(M229,M230)</f>
        <v>0</v>
      </c>
      <c r="O231" s="2">
        <f>SUM(D231:G231)</f>
        <v>0</v>
      </c>
      <c r="P231" s="2">
        <f>SUM(H231)</f>
        <v>0</v>
      </c>
      <c r="Q231" s="2">
        <f>SUM(D231:H231)</f>
        <v>0</v>
      </c>
      <c r="S231" s="2">
        <f>SUM(I231:M231)</f>
        <v>0</v>
      </c>
      <c r="T231" s="2" t="str">
        <f>IF(Q231&lt;&gt;0,(S231-Q231)/Q231,"0")</f>
        <v>0</v>
      </c>
    </row>
    <row r="232" spans="2:20">
      <c r="B232" s="2" t="s">
        <v>321</v>
      </c>
    </row>
    <row r="233" spans="2:20">
      <c r="B233" s="2" t="s">
        <v>288</v>
      </c>
      <c r="C233" s="2" t="s">
        <v>203</v>
      </c>
    </row>
    <row r="234" spans="2:20">
      <c r="B234" s="2" t="s">
        <v>289</v>
      </c>
      <c r="C234" s="2" t="s">
        <v>203</v>
      </c>
    </row>
    <row r="235" spans="2:20">
      <c r="B235" s="2" t="s">
        <v>250</v>
      </c>
      <c r="C235" s="2" t="s">
        <v>203</v>
      </c>
      <c r="I235" s="2">
        <f>SUM(I233,I234)</f>
        <v>0</v>
      </c>
      <c r="J235" s="2">
        <f>SUM(J233,J234)</f>
        <v>0</v>
      </c>
      <c r="K235" s="2">
        <f>SUM(K233,K234)</f>
        <v>0</v>
      </c>
      <c r="L235" s="2">
        <f>SUM(L233,L234)</f>
        <v>0</v>
      </c>
      <c r="M235" s="2">
        <f>SUM(M233,M234)</f>
        <v>0</v>
      </c>
      <c r="O235" s="2">
        <f>SUM(D235:G235)</f>
        <v>0</v>
      </c>
      <c r="P235" s="2">
        <f>SUM(H235)</f>
        <v>0</v>
      </c>
      <c r="Q235" s="2">
        <f>SUM(D235:H235)</f>
        <v>0</v>
      </c>
      <c r="S235" s="2">
        <f>SUM(I235:M235)</f>
        <v>0</v>
      </c>
      <c r="T235" s="2" t="str">
        <f>IF(Q235&lt;&gt;0,(S235-Q235)/Q235,"0")</f>
        <v>0</v>
      </c>
    </row>
    <row r="236" spans="2:20">
      <c r="B236" s="2" t="s">
        <v>326</v>
      </c>
    </row>
    <row r="237" spans="2:20">
      <c r="B237" s="2" t="s">
        <v>290</v>
      </c>
      <c r="C237" s="2" t="s">
        <v>203</v>
      </c>
    </row>
    <row r="238" spans="2:20">
      <c r="B238" s="2" t="s">
        <v>291</v>
      </c>
      <c r="C238" s="2" t="s">
        <v>203</v>
      </c>
    </row>
    <row r="239" spans="2:20">
      <c r="B239" s="2" t="s">
        <v>252</v>
      </c>
      <c r="C239" s="2" t="s">
        <v>203</v>
      </c>
      <c r="I239" s="2">
        <f>SUM(I237,I238)</f>
        <v>0</v>
      </c>
      <c r="J239" s="2">
        <f>SUM(J237,J238)</f>
        <v>0</v>
      </c>
      <c r="K239" s="2">
        <f>SUM(K237,K238)</f>
        <v>0</v>
      </c>
      <c r="L239" s="2">
        <f>SUM(L237,L238)</f>
        <v>0</v>
      </c>
      <c r="M239" s="2">
        <f>SUM(M237,M238)</f>
        <v>0</v>
      </c>
      <c r="O239" s="2">
        <f>SUM(D239:G239)</f>
        <v>0</v>
      </c>
      <c r="P239" s="2">
        <f>SUM(H239)</f>
        <v>0</v>
      </c>
      <c r="Q239" s="2">
        <f>SUM(D239:H239)</f>
        <v>0</v>
      </c>
      <c r="S239" s="2">
        <f>SUM(I239:M239)</f>
        <v>0</v>
      </c>
      <c r="T239" s="2" t="str">
        <f>IF(Q239&lt;&gt;0,(S239-Q239)/Q239,"0")</f>
        <v>0</v>
      </c>
    </row>
    <row r="240" spans="2:20">
      <c r="B240" s="2" t="s">
        <v>335</v>
      </c>
      <c r="D240" s="2">
        <f t="shared" ref="D240:M240" si="25">SUM(D227,D231,D235,D239)</f>
        <v>0</v>
      </c>
      <c r="E240" s="2">
        <f t="shared" si="25"/>
        <v>0</v>
      </c>
      <c r="F240" s="2">
        <f t="shared" si="25"/>
        <v>0</v>
      </c>
      <c r="G240" s="2">
        <f t="shared" si="25"/>
        <v>0</v>
      </c>
      <c r="H240" s="2">
        <f t="shared" si="25"/>
        <v>0</v>
      </c>
      <c r="I240" s="2">
        <f t="shared" si="25"/>
        <v>0</v>
      </c>
      <c r="J240" s="2">
        <f t="shared" si="25"/>
        <v>0</v>
      </c>
      <c r="K240" s="2">
        <f t="shared" si="25"/>
        <v>0</v>
      </c>
      <c r="L240" s="2">
        <f t="shared" si="25"/>
        <v>0</v>
      </c>
      <c r="M240" s="2">
        <f t="shared" si="25"/>
        <v>0</v>
      </c>
      <c r="O240" s="2">
        <f>SUM(O227,O231,O235,O239)</f>
        <v>0</v>
      </c>
      <c r="P240" s="2">
        <f>SUM(P227,P231,P235,P239)</f>
        <v>0</v>
      </c>
      <c r="Q240" s="2">
        <f>SUM(Q227,Q231,Q235,Q239)</f>
        <v>0</v>
      </c>
      <c r="S240" s="2">
        <f>SUM(S227,S231,S235,S239)</f>
        <v>0</v>
      </c>
      <c r="T240" s="2" t="str">
        <f>IF(Q240&lt;&gt;0,(S240-Q240)/Q240,"0")</f>
        <v>0</v>
      </c>
    </row>
    <row r="243" spans="2:20">
      <c r="B243" s="2" t="s">
        <v>336</v>
      </c>
    </row>
    <row r="245" spans="2:20">
      <c r="B245" s="2" t="s">
        <v>257</v>
      </c>
      <c r="C245" s="2" t="s">
        <v>190</v>
      </c>
      <c r="D245" s="2" t="s">
        <v>191</v>
      </c>
      <c r="I245" s="2" t="s">
        <v>192</v>
      </c>
      <c r="O245" s="2" t="s">
        <v>191</v>
      </c>
      <c r="S245" s="2" t="s">
        <v>192</v>
      </c>
    </row>
    <row r="246" spans="2:20">
      <c r="D246" s="2" t="s">
        <v>79</v>
      </c>
      <c r="E246" s="2" t="s">
        <v>80</v>
      </c>
      <c r="F246" s="2" t="s">
        <v>81</v>
      </c>
      <c r="G246" s="2" t="s">
        <v>82</v>
      </c>
      <c r="H246" s="2" t="s">
        <v>44</v>
      </c>
      <c r="I246" s="2" t="s">
        <v>193</v>
      </c>
      <c r="J246" s="2" t="s">
        <v>194</v>
      </c>
      <c r="K246" s="2" t="s">
        <v>195</v>
      </c>
      <c r="L246" s="2" t="s">
        <v>196</v>
      </c>
      <c r="M246" s="2" t="s">
        <v>197</v>
      </c>
      <c r="O246" s="2" t="s">
        <v>198</v>
      </c>
      <c r="P246" s="2" t="s">
        <v>199</v>
      </c>
      <c r="Q246" s="2" t="s">
        <v>200</v>
      </c>
      <c r="S246" s="2" t="s">
        <v>199</v>
      </c>
      <c r="T246" s="2" t="s">
        <v>201</v>
      </c>
    </row>
    <row r="247" spans="2:20">
      <c r="B247" s="2" t="s">
        <v>258</v>
      </c>
    </row>
    <row r="248" spans="2:20">
      <c r="B248" s="2" t="s">
        <v>284</v>
      </c>
      <c r="C248" s="2" t="s">
        <v>203</v>
      </c>
    </row>
    <row r="249" spans="2:20">
      <c r="B249" s="2" t="s">
        <v>285</v>
      </c>
    </row>
    <row r="250" spans="2:20">
      <c r="B250" s="2" t="s">
        <v>246</v>
      </c>
      <c r="C250" s="2" t="s">
        <v>203</v>
      </c>
      <c r="I250" s="2">
        <f>SUM(I248:I249)</f>
        <v>0</v>
      </c>
      <c r="J250" s="2">
        <f>SUM(J248:J249)</f>
        <v>0</v>
      </c>
      <c r="K250" s="2">
        <f>SUM(K248:K249)</f>
        <v>0</v>
      </c>
      <c r="L250" s="2">
        <f>SUM(L248:L249)</f>
        <v>0</v>
      </c>
      <c r="M250" s="2">
        <f>SUM(M248:M249)</f>
        <v>0</v>
      </c>
      <c r="O250" s="2">
        <f>SUM(D250:G250)</f>
        <v>0</v>
      </c>
      <c r="P250" s="2">
        <f>SUM(H250)</f>
        <v>0</v>
      </c>
      <c r="Q250" s="2">
        <f>SUM(D250:H250)</f>
        <v>0</v>
      </c>
      <c r="S250" s="2">
        <f>SUM(I250:M250)</f>
        <v>0</v>
      </c>
      <c r="T250" s="2" t="str">
        <f>IF(Q250&lt;&gt;0,(S250-Q250)/Q250,"0")</f>
        <v>0</v>
      </c>
    </row>
    <row r="251" spans="2:20">
      <c r="B251" s="2" t="s">
        <v>337</v>
      </c>
    </row>
    <row r="252" spans="2:20">
      <c r="B252" s="2" t="s">
        <v>286</v>
      </c>
      <c r="C252" s="2" t="s">
        <v>203</v>
      </c>
    </row>
    <row r="253" spans="2:20">
      <c r="B253" s="2" t="s">
        <v>287</v>
      </c>
      <c r="C253" s="2" t="s">
        <v>203</v>
      </c>
    </row>
    <row r="254" spans="2:20">
      <c r="B254" s="2" t="s">
        <v>248</v>
      </c>
      <c r="C254" s="2" t="s">
        <v>203</v>
      </c>
      <c r="I254" s="2">
        <f>SUM(I252:I253)</f>
        <v>0</v>
      </c>
      <c r="J254" s="2">
        <f>SUM(J252:J253)</f>
        <v>0</v>
      </c>
      <c r="K254" s="2">
        <f>SUM(K252:K253)</f>
        <v>0</v>
      </c>
      <c r="L254" s="2">
        <f>SUM(L252:L253)</f>
        <v>0</v>
      </c>
      <c r="M254" s="2">
        <f>SUM(M252:M253)</f>
        <v>0</v>
      </c>
      <c r="O254" s="2">
        <f>SUM(D254:G254)</f>
        <v>0</v>
      </c>
      <c r="P254" s="2">
        <f>SUM(H254)</f>
        <v>0</v>
      </c>
      <c r="Q254" s="2">
        <f>SUM(D254:H254)</f>
        <v>0</v>
      </c>
      <c r="S254" s="2">
        <f>SUM(I254:M254)</f>
        <v>0</v>
      </c>
      <c r="T254" s="2" t="str">
        <f>IF(Q254&lt;&gt;0,(S254-Q254)/Q254,"0")</f>
        <v>0</v>
      </c>
    </row>
    <row r="255" spans="2:20">
      <c r="B255" s="2" t="s">
        <v>338</v>
      </c>
    </row>
    <row r="256" spans="2:20">
      <c r="B256" s="2" t="s">
        <v>288</v>
      </c>
      <c r="C256" s="2" t="s">
        <v>203</v>
      </c>
    </row>
    <row r="257" spans="2:20">
      <c r="B257" s="2" t="s">
        <v>289</v>
      </c>
      <c r="C257" s="2" t="s">
        <v>203</v>
      </c>
    </row>
    <row r="258" spans="2:20">
      <c r="B258" s="2" t="s">
        <v>250</v>
      </c>
      <c r="C258" s="2" t="s">
        <v>203</v>
      </c>
      <c r="I258" s="2">
        <f>SUM(I256:I257)</f>
        <v>0</v>
      </c>
      <c r="J258" s="2">
        <f>SUM(J256:J257)</f>
        <v>0</v>
      </c>
      <c r="K258" s="2">
        <f>SUM(K256:K257)</f>
        <v>0</v>
      </c>
      <c r="L258" s="2">
        <f>SUM(L256:L257)</f>
        <v>0</v>
      </c>
      <c r="M258" s="2">
        <f>SUM(M256:M257)</f>
        <v>0</v>
      </c>
      <c r="O258" s="2">
        <f>SUM(D258:G258)</f>
        <v>0</v>
      </c>
      <c r="P258" s="2">
        <f>SUM(H258)</f>
        <v>0</v>
      </c>
      <c r="Q258" s="2">
        <f>SUM(D258:H258)</f>
        <v>0</v>
      </c>
      <c r="S258" s="2">
        <f>SUM(I258:M258)</f>
        <v>0</v>
      </c>
      <c r="T258" s="2" t="str">
        <f>IF(Q258&lt;&gt;0,(S258-Q258)/Q258,"0")</f>
        <v>0</v>
      </c>
    </row>
    <row r="259" spans="2:20">
      <c r="B259" s="2" t="s">
        <v>339</v>
      </c>
    </row>
    <row r="260" spans="2:20">
      <c r="B260" s="2" t="s">
        <v>290</v>
      </c>
      <c r="C260" s="2" t="s">
        <v>203</v>
      </c>
    </row>
    <row r="261" spans="2:20">
      <c r="B261" s="2" t="s">
        <v>291</v>
      </c>
      <c r="C261" s="2" t="s">
        <v>203</v>
      </c>
    </row>
    <row r="262" spans="2:20">
      <c r="B262" s="2" t="s">
        <v>252</v>
      </c>
      <c r="C262" s="2" t="s">
        <v>203</v>
      </c>
      <c r="I262" s="2">
        <f>SUM(I260:I261)</f>
        <v>0</v>
      </c>
      <c r="J262" s="2">
        <f>SUM(J260:J261)</f>
        <v>0</v>
      </c>
      <c r="K262" s="2">
        <f>SUM(K260:K261)</f>
        <v>0</v>
      </c>
      <c r="L262" s="2">
        <f>SUM(L260:L261)</f>
        <v>0</v>
      </c>
      <c r="M262" s="2">
        <f>SUM(M260:M261)</f>
        <v>0</v>
      </c>
      <c r="O262" s="2">
        <f>SUM(D262:G262)</f>
        <v>0</v>
      </c>
      <c r="P262" s="2">
        <f>SUM(H262)</f>
        <v>0</v>
      </c>
      <c r="Q262" s="2">
        <f>SUM(D262:H262)</f>
        <v>0</v>
      </c>
      <c r="S262" s="2">
        <f>SUM(I262:M262)</f>
        <v>0</v>
      </c>
      <c r="T262" s="2" t="str">
        <f>IF(Q262&lt;&gt;0,(S262-Q262)/Q262,"0")</f>
        <v>0</v>
      </c>
    </row>
    <row r="263" spans="2:20">
      <c r="B263" s="2" t="s">
        <v>340</v>
      </c>
      <c r="D263" s="2">
        <f t="shared" ref="D263:M263" si="26">SUM(D250,D254,D258,D262)</f>
        <v>0</v>
      </c>
      <c r="E263" s="2">
        <f t="shared" si="26"/>
        <v>0</v>
      </c>
      <c r="F263" s="2">
        <f t="shared" si="26"/>
        <v>0</v>
      </c>
      <c r="G263" s="2">
        <f t="shared" si="26"/>
        <v>0</v>
      </c>
      <c r="H263" s="2">
        <f t="shared" si="26"/>
        <v>0</v>
      </c>
      <c r="I263" s="2">
        <f t="shared" si="26"/>
        <v>0</v>
      </c>
      <c r="J263" s="2">
        <f t="shared" si="26"/>
        <v>0</v>
      </c>
      <c r="K263" s="2">
        <f t="shared" si="26"/>
        <v>0</v>
      </c>
      <c r="L263" s="2">
        <f t="shared" si="26"/>
        <v>0</v>
      </c>
      <c r="M263" s="2">
        <f t="shared" si="26"/>
        <v>0</v>
      </c>
      <c r="O263" s="2">
        <f>SUM(O250,O254,O258,O262)</f>
        <v>0</v>
      </c>
      <c r="P263" s="2">
        <f>SUM(P250,P254,P258,P262)</f>
        <v>0</v>
      </c>
      <c r="Q263" s="2">
        <f>SUM(Q250,Q254,Q258,Q262)</f>
        <v>0</v>
      </c>
      <c r="S263" s="2">
        <f>SUM(S250,S254,S258,S262)</f>
        <v>0</v>
      </c>
      <c r="T263" s="2" t="str">
        <f>IF(Q263&lt;&gt;0,(S263-Q263)/Q263,"0")</f>
        <v>0</v>
      </c>
    </row>
    <row r="266" spans="2:20">
      <c r="D266" s="2">
        <f>SUM(D240:M240) - SUM(D263:M263)</f>
        <v>0</v>
      </c>
    </row>
  </sheetData>
  <phoneticPr fontId="1" type="noConversion"/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5FFFF"/>
    <pageSetUpPr fitToPage="1"/>
  </sheetPr>
  <dimension ref="A1:AK116"/>
  <sheetViews>
    <sheetView workbookViewId="0">
      <selection sqref="A1:XFD1048576"/>
    </sheetView>
  </sheetViews>
  <sheetFormatPr defaultRowHeight="12.75"/>
  <cols>
    <col min="1" max="1" width="9.42578125" style="280" customWidth="1"/>
    <col min="2" max="2" width="4.7109375" style="280" customWidth="1"/>
    <col min="3" max="3" width="39" style="280" customWidth="1"/>
    <col min="4" max="5" width="10.85546875" style="280" bestFit="1" customWidth="1"/>
    <col min="6" max="6" width="10.140625" style="280" bestFit="1" customWidth="1"/>
    <col min="7" max="7" width="11.28515625" style="280" customWidth="1"/>
    <col min="8" max="9" width="10.85546875" style="280" bestFit="1" customWidth="1"/>
    <col min="10" max="10" width="10.140625" style="280" bestFit="1" customWidth="1"/>
    <col min="11" max="11" width="9.85546875" style="280" bestFit="1" customWidth="1"/>
    <col min="12" max="13" width="11.42578125" style="280" bestFit="1" customWidth="1"/>
    <col min="14" max="36" width="15.42578125" style="280" customWidth="1"/>
    <col min="37" max="37" width="109.28515625" style="280" customWidth="1"/>
    <col min="38" max="16384" width="9.140625" style="280"/>
  </cols>
  <sheetData>
    <row r="1" spans="1:36" s="271" customFormat="1" ht="26.25">
      <c r="A1" s="270" t="s">
        <v>341</v>
      </c>
      <c r="D1" s="270"/>
      <c r="E1" s="272"/>
      <c r="F1" s="273"/>
      <c r="G1" s="273"/>
      <c r="I1" s="274"/>
      <c r="J1" s="274"/>
      <c r="L1" s="274"/>
    </row>
    <row r="2" spans="1:36" s="271" customFormat="1" ht="18">
      <c r="A2" s="275" t="s">
        <v>990</v>
      </c>
      <c r="E2" s="276"/>
    </row>
    <row r="3" spans="1:36" s="278" customFormat="1" ht="18.75" thickBot="1">
      <c r="A3" s="277" t="s">
        <v>342</v>
      </c>
      <c r="D3" s="277"/>
      <c r="E3" s="279"/>
    </row>
    <row r="5" spans="1:36">
      <c r="B5" s="281" t="s">
        <v>343</v>
      </c>
      <c r="C5" s="281"/>
    </row>
    <row r="6" spans="1:36" ht="13.5" thickBot="1">
      <c r="B6" s="281"/>
      <c r="C6" s="281"/>
    </row>
    <row r="7" spans="1:36">
      <c r="B7" s="281"/>
      <c r="C7" s="282"/>
      <c r="D7" s="155" t="s">
        <v>191</v>
      </c>
      <c r="E7" s="156"/>
      <c r="F7" s="156"/>
      <c r="G7" s="156"/>
      <c r="H7" s="157"/>
      <c r="I7" s="156" t="s">
        <v>192</v>
      </c>
      <c r="J7" s="158"/>
      <c r="K7" s="158"/>
      <c r="L7" s="158"/>
      <c r="M7" s="157"/>
      <c r="N7" s="283"/>
      <c r="O7" s="229" t="s">
        <v>191</v>
      </c>
      <c r="P7" s="230"/>
      <c r="Q7" s="231"/>
      <c r="S7" s="1226" t="s">
        <v>192</v>
      </c>
      <c r="T7" s="1227"/>
      <c r="U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</row>
    <row r="8" spans="1:36">
      <c r="C8" s="285"/>
      <c r="D8" s="232" t="s">
        <v>79</v>
      </c>
      <c r="E8" s="233" t="s">
        <v>80</v>
      </c>
      <c r="F8" s="233" t="s">
        <v>81</v>
      </c>
      <c r="G8" s="233" t="s">
        <v>82</v>
      </c>
      <c r="H8" s="234" t="s">
        <v>44</v>
      </c>
      <c r="I8" s="286" t="s">
        <v>193</v>
      </c>
      <c r="J8" s="233" t="s">
        <v>194</v>
      </c>
      <c r="K8" s="233" t="s">
        <v>195</v>
      </c>
      <c r="L8" s="233" t="s">
        <v>196</v>
      </c>
      <c r="M8" s="234" t="s">
        <v>197</v>
      </c>
      <c r="N8" s="283"/>
      <c r="O8" s="232" t="s">
        <v>198</v>
      </c>
      <c r="P8" s="233" t="s">
        <v>199</v>
      </c>
      <c r="Q8" s="234" t="s">
        <v>200</v>
      </c>
      <c r="S8" s="232" t="s">
        <v>199</v>
      </c>
      <c r="T8" s="234" t="s">
        <v>201</v>
      </c>
      <c r="U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</row>
    <row r="9" spans="1:36">
      <c r="C9" s="288"/>
      <c r="D9" s="289" t="s">
        <v>344</v>
      </c>
      <c r="E9" s="290" t="s">
        <v>344</v>
      </c>
      <c r="F9" s="290" t="s">
        <v>344</v>
      </c>
      <c r="G9" s="290" t="s">
        <v>344</v>
      </c>
      <c r="H9" s="291" t="s">
        <v>344</v>
      </c>
      <c r="I9" s="292" t="s">
        <v>344</v>
      </c>
      <c r="J9" s="290" t="s">
        <v>344</v>
      </c>
      <c r="K9" s="290" t="s">
        <v>344</v>
      </c>
      <c r="L9" s="290" t="s">
        <v>344</v>
      </c>
      <c r="M9" s="291" t="s">
        <v>344</v>
      </c>
      <c r="N9" s="293"/>
      <c r="O9" s="289" t="s">
        <v>344</v>
      </c>
      <c r="P9" s="290" t="s">
        <v>344</v>
      </c>
      <c r="Q9" s="291" t="s">
        <v>344</v>
      </c>
      <c r="S9" s="289" t="s">
        <v>344</v>
      </c>
      <c r="T9" s="291" t="s">
        <v>344</v>
      </c>
      <c r="U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</row>
    <row r="10" spans="1:36">
      <c r="C10" s="295" t="s">
        <v>345</v>
      </c>
      <c r="D10" s="296"/>
      <c r="E10" s="297"/>
      <c r="F10" s="297"/>
      <c r="G10" s="297"/>
      <c r="H10" s="298"/>
      <c r="I10" s="297"/>
      <c r="J10" s="297"/>
      <c r="K10" s="297"/>
      <c r="L10" s="297"/>
      <c r="M10" s="298"/>
      <c r="N10" s="293"/>
      <c r="O10" s="296"/>
      <c r="P10" s="182"/>
      <c r="Q10" s="183"/>
      <c r="S10" s="296"/>
      <c r="T10" s="299"/>
      <c r="U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</row>
    <row r="11" spans="1:36">
      <c r="C11" s="301" t="s">
        <v>346</v>
      </c>
      <c r="D11" s="171">
        <v>0.1</v>
      </c>
      <c r="E11" s="172">
        <v>0.1</v>
      </c>
      <c r="F11" s="172">
        <v>0.3</v>
      </c>
      <c r="G11" s="172">
        <v>0.2</v>
      </c>
      <c r="H11" s="173">
        <v>0.2</v>
      </c>
      <c r="I11" s="172">
        <v>0.2</v>
      </c>
      <c r="J11" s="174">
        <v>0.2</v>
      </c>
      <c r="K11" s="174">
        <v>0.2</v>
      </c>
      <c r="L11" s="174">
        <v>0.2</v>
      </c>
      <c r="M11" s="173">
        <v>0.2</v>
      </c>
      <c r="N11" s="302"/>
      <c r="O11" s="130">
        <f t="shared" ref="O11:O16" si="0">SUM(D11:G11)</f>
        <v>0.7</v>
      </c>
      <c r="P11" s="131">
        <f t="shared" ref="P11:P16" si="1">H11</f>
        <v>0.2</v>
      </c>
      <c r="Q11" s="132">
        <f t="shared" ref="Q11:Q19" si="2">SUM(D11:H11)</f>
        <v>0.89999999999999991</v>
      </c>
      <c r="S11" s="130">
        <f t="shared" ref="S11:S16" si="3">SUM(I11:M11)</f>
        <v>1</v>
      </c>
      <c r="T11" s="134">
        <f t="shared" ref="T11:T16" si="4">IF(Q11&lt;&gt;0,(S11-Q11)/Q11,"0")</f>
        <v>0.11111111111111122</v>
      </c>
      <c r="U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</row>
    <row r="12" spans="1:36">
      <c r="C12" s="301" t="s">
        <v>347</v>
      </c>
      <c r="D12" s="171">
        <v>1.3</v>
      </c>
      <c r="E12" s="172">
        <v>2</v>
      </c>
      <c r="F12" s="172">
        <v>0.9</v>
      </c>
      <c r="G12" s="172">
        <v>1</v>
      </c>
      <c r="H12" s="173">
        <v>1.1000000000000001</v>
      </c>
      <c r="I12" s="172">
        <v>1.2</v>
      </c>
      <c r="J12" s="174">
        <v>1.2</v>
      </c>
      <c r="K12" s="174">
        <v>1.3</v>
      </c>
      <c r="L12" s="174">
        <v>1.3</v>
      </c>
      <c r="M12" s="173">
        <v>1.3</v>
      </c>
      <c r="N12" s="302"/>
      <c r="O12" s="130">
        <f t="shared" si="0"/>
        <v>5.2</v>
      </c>
      <c r="P12" s="131">
        <f t="shared" si="1"/>
        <v>1.1000000000000001</v>
      </c>
      <c r="Q12" s="132">
        <f t="shared" si="2"/>
        <v>6.3000000000000007</v>
      </c>
      <c r="S12" s="130">
        <f t="shared" si="3"/>
        <v>6.3</v>
      </c>
      <c r="T12" s="134">
        <f t="shared" si="4"/>
        <v>-1.4098070153970241E-16</v>
      </c>
      <c r="U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</row>
    <row r="13" spans="1:36">
      <c r="C13" s="301" t="s">
        <v>348</v>
      </c>
      <c r="D13" s="171">
        <v>2.2000000000000002</v>
      </c>
      <c r="E13" s="172">
        <v>1.6</v>
      </c>
      <c r="F13" s="172">
        <v>1.4</v>
      </c>
      <c r="G13" s="172">
        <v>2</v>
      </c>
      <c r="H13" s="173">
        <v>2.7</v>
      </c>
      <c r="I13" s="172">
        <v>2.6</v>
      </c>
      <c r="J13" s="174">
        <v>1.8</v>
      </c>
      <c r="K13" s="174">
        <v>1.5</v>
      </c>
      <c r="L13" s="174">
        <v>1.1000000000000001</v>
      </c>
      <c r="M13" s="173">
        <v>0.8</v>
      </c>
      <c r="N13" s="302"/>
      <c r="O13" s="130">
        <f t="shared" si="0"/>
        <v>7.2</v>
      </c>
      <c r="P13" s="131">
        <f t="shared" si="1"/>
        <v>2.7</v>
      </c>
      <c r="Q13" s="132">
        <f t="shared" si="2"/>
        <v>9.9</v>
      </c>
      <c r="S13" s="130">
        <f t="shared" si="3"/>
        <v>7.8</v>
      </c>
      <c r="T13" s="134">
        <f t="shared" si="4"/>
        <v>-0.21212121212121215</v>
      </c>
      <c r="U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</row>
    <row r="14" spans="1:36">
      <c r="C14" s="301" t="s">
        <v>349</v>
      </c>
      <c r="D14" s="171">
        <v>1.3</v>
      </c>
      <c r="E14" s="172">
        <v>2</v>
      </c>
      <c r="F14" s="172">
        <v>1.1000000000000001</v>
      </c>
      <c r="G14" s="172">
        <v>0.9</v>
      </c>
      <c r="H14" s="173">
        <v>0.8</v>
      </c>
      <c r="I14" s="172">
        <v>1.2</v>
      </c>
      <c r="J14" s="174">
        <v>0.2</v>
      </c>
      <c r="K14" s="174">
        <v>0.6</v>
      </c>
      <c r="L14" s="174">
        <v>0.6</v>
      </c>
      <c r="M14" s="173">
        <v>0.6</v>
      </c>
      <c r="N14" s="302"/>
      <c r="O14" s="130">
        <f t="shared" si="0"/>
        <v>5.3000000000000007</v>
      </c>
      <c r="P14" s="131">
        <f t="shared" si="1"/>
        <v>0.8</v>
      </c>
      <c r="Q14" s="132">
        <f t="shared" si="2"/>
        <v>6.1000000000000005</v>
      </c>
      <c r="S14" s="130">
        <f t="shared" si="3"/>
        <v>3.2</v>
      </c>
      <c r="T14" s="134">
        <f t="shared" si="4"/>
        <v>-0.4754098360655738</v>
      </c>
      <c r="U14" s="303"/>
      <c r="W14" s="303" t="s">
        <v>47</v>
      </c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</row>
    <row r="15" spans="1:36" ht="25.5">
      <c r="C15" s="304" t="s">
        <v>991</v>
      </c>
      <c r="D15" s="248"/>
      <c r="E15" s="249"/>
      <c r="F15" s="249"/>
      <c r="G15" s="172">
        <v>0</v>
      </c>
      <c r="H15" s="173">
        <v>0</v>
      </c>
      <c r="I15" s="172">
        <v>0</v>
      </c>
      <c r="J15" s="174">
        <v>0</v>
      </c>
      <c r="K15" s="174">
        <v>0</v>
      </c>
      <c r="L15" s="174">
        <v>0</v>
      </c>
      <c r="M15" s="173">
        <v>0</v>
      </c>
      <c r="N15" s="305"/>
      <c r="O15" s="130">
        <f t="shared" si="0"/>
        <v>0</v>
      </c>
      <c r="P15" s="131">
        <f t="shared" si="1"/>
        <v>0</v>
      </c>
      <c r="Q15" s="132">
        <f>SUM(D15:H15)</f>
        <v>0</v>
      </c>
      <c r="S15" s="130">
        <f t="shared" si="3"/>
        <v>0</v>
      </c>
      <c r="T15" s="134" t="str">
        <f t="shared" si="4"/>
        <v>0</v>
      </c>
      <c r="U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</row>
    <row r="16" spans="1:36">
      <c r="C16" s="304" t="s">
        <v>200</v>
      </c>
      <c r="D16" s="140">
        <v>4.9000000000000004</v>
      </c>
      <c r="E16" s="143">
        <v>5.7</v>
      </c>
      <c r="F16" s="143">
        <v>3.7</v>
      </c>
      <c r="G16" s="143">
        <v>4.0999999999999996</v>
      </c>
      <c r="H16" s="142">
        <v>4.8</v>
      </c>
      <c r="I16" s="143">
        <f>SUM(I11:I15)</f>
        <v>5.2</v>
      </c>
      <c r="J16" s="143">
        <f>SUM(J11:J15)</f>
        <v>3.4000000000000004</v>
      </c>
      <c r="K16" s="143">
        <f>SUM(K11:K15)</f>
        <v>3.6</v>
      </c>
      <c r="L16" s="143">
        <f>SUM(L11:L15)</f>
        <v>3.2</v>
      </c>
      <c r="M16" s="143">
        <f>SUM(M11:M15)</f>
        <v>2.9</v>
      </c>
      <c r="N16" s="306"/>
      <c r="O16" s="140">
        <f t="shared" si="0"/>
        <v>18.399999999999999</v>
      </c>
      <c r="P16" s="141">
        <f t="shared" si="1"/>
        <v>4.8</v>
      </c>
      <c r="Q16" s="142">
        <f t="shared" si="2"/>
        <v>23.2</v>
      </c>
      <c r="S16" s="140">
        <f t="shared" si="3"/>
        <v>18.3</v>
      </c>
      <c r="T16" s="307">
        <f t="shared" si="4"/>
        <v>-0.21120689655172409</v>
      </c>
      <c r="U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</row>
    <row r="17" spans="1:36">
      <c r="C17" s="304"/>
      <c r="D17" s="309"/>
      <c r="E17" s="310"/>
      <c r="F17" s="310"/>
      <c r="G17" s="310"/>
      <c r="H17" s="311"/>
      <c r="I17" s="310"/>
      <c r="J17" s="310"/>
      <c r="K17" s="310"/>
      <c r="L17" s="310"/>
      <c r="M17" s="311"/>
      <c r="N17" s="302"/>
      <c r="O17" s="309"/>
      <c r="P17" s="312"/>
      <c r="Q17" s="313"/>
      <c r="S17" s="309"/>
      <c r="T17" s="314"/>
      <c r="U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</row>
    <row r="18" spans="1:36">
      <c r="C18" s="304" t="s">
        <v>255</v>
      </c>
      <c r="D18" s="248"/>
      <c r="E18" s="249"/>
      <c r="F18" s="249"/>
      <c r="G18" s="172">
        <v>0</v>
      </c>
      <c r="H18" s="173">
        <v>0</v>
      </c>
      <c r="I18" s="172">
        <v>0</v>
      </c>
      <c r="J18" s="174">
        <v>0</v>
      </c>
      <c r="K18" s="174">
        <v>0</v>
      </c>
      <c r="L18" s="174">
        <v>0</v>
      </c>
      <c r="M18" s="173">
        <v>0</v>
      </c>
      <c r="N18" s="305"/>
      <c r="O18" s="130">
        <f>SUM(D18:G18)</f>
        <v>0</v>
      </c>
      <c r="P18" s="131">
        <f>H18</f>
        <v>0</v>
      </c>
      <c r="Q18" s="132">
        <f t="shared" si="2"/>
        <v>0</v>
      </c>
      <c r="S18" s="130">
        <f>SUM(I18:M18)</f>
        <v>0</v>
      </c>
      <c r="T18" s="134" t="str">
        <f>IF(Q18&lt;&gt;0,(S18-Q18)/Q18,"0")</f>
        <v>0</v>
      </c>
      <c r="U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</row>
    <row r="19" spans="1:36" ht="13.5" thickBot="1">
      <c r="C19" s="315" t="s">
        <v>256</v>
      </c>
      <c r="D19" s="251"/>
      <c r="E19" s="252"/>
      <c r="F19" s="252"/>
      <c r="G19" s="253">
        <v>0</v>
      </c>
      <c r="H19" s="254">
        <v>0</v>
      </c>
      <c r="I19" s="253">
        <v>0</v>
      </c>
      <c r="J19" s="255">
        <v>0</v>
      </c>
      <c r="K19" s="255">
        <v>0</v>
      </c>
      <c r="L19" s="255">
        <v>0</v>
      </c>
      <c r="M19" s="254">
        <v>0</v>
      </c>
      <c r="N19" s="305"/>
      <c r="O19" s="150">
        <f>SUM(D19:G19)</f>
        <v>0</v>
      </c>
      <c r="P19" s="151">
        <f>H19</f>
        <v>0</v>
      </c>
      <c r="Q19" s="152">
        <f t="shared" si="2"/>
        <v>0</v>
      </c>
      <c r="S19" s="150">
        <f>SUM(I19:M19)</f>
        <v>0</v>
      </c>
      <c r="T19" s="153" t="str">
        <f>IF(Q19&lt;&gt;0,(S19-Q19)/Q19,"0")</f>
        <v>0</v>
      </c>
      <c r="U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</row>
    <row r="20" spans="1:36">
      <c r="U20" s="316"/>
    </row>
    <row r="21" spans="1:36" s="317" customFormat="1"/>
    <row r="22" spans="1:36" s="317" customFormat="1">
      <c r="B22" s="281" t="s">
        <v>350</v>
      </c>
    </row>
    <row r="23" spans="1:36" s="317" customFormat="1" ht="13.5" thickBot="1">
      <c r="A23" s="281"/>
      <c r="B23" s="281"/>
    </row>
    <row r="24" spans="1:36" s="317" customFormat="1" ht="27" customHeight="1">
      <c r="A24" s="281"/>
      <c r="B24" s="281"/>
      <c r="C24" s="1228" t="s">
        <v>351</v>
      </c>
      <c r="D24" s="155" t="s">
        <v>352</v>
      </c>
      <c r="E24" s="156"/>
      <c r="F24" s="156"/>
      <c r="G24" s="318"/>
      <c r="H24" s="155" t="s">
        <v>353</v>
      </c>
      <c r="I24" s="156"/>
      <c r="J24" s="156"/>
      <c r="K24" s="318"/>
      <c r="L24" s="319" t="s">
        <v>352</v>
      </c>
      <c r="M24" s="320" t="s">
        <v>353</v>
      </c>
    </row>
    <row r="25" spans="1:36" s="317" customFormat="1">
      <c r="A25" s="281"/>
      <c r="B25" s="281"/>
      <c r="C25" s="1229"/>
      <c r="D25" s="321" t="s">
        <v>354</v>
      </c>
      <c r="E25" s="322" t="s">
        <v>355</v>
      </c>
      <c r="F25" s="322" t="s">
        <v>356</v>
      </c>
      <c r="G25" s="323" t="s">
        <v>357</v>
      </c>
      <c r="H25" s="321" t="s">
        <v>354</v>
      </c>
      <c r="I25" s="322" t="s">
        <v>355</v>
      </c>
      <c r="J25" s="322" t="s">
        <v>356</v>
      </c>
      <c r="K25" s="323" t="s">
        <v>357</v>
      </c>
      <c r="L25" s="324" t="s">
        <v>200</v>
      </c>
      <c r="M25" s="323" t="s">
        <v>200</v>
      </c>
    </row>
    <row r="26" spans="1:36" s="317" customFormat="1" ht="18" customHeight="1">
      <c r="A26" s="281"/>
      <c r="B26" s="281"/>
      <c r="C26" s="325" t="s">
        <v>358</v>
      </c>
      <c r="D26" s="326"/>
      <c r="E26" s="327"/>
      <c r="F26" s="327"/>
      <c r="G26" s="328"/>
      <c r="H26" s="326"/>
      <c r="I26" s="327"/>
      <c r="J26" s="327"/>
      <c r="K26" s="328"/>
      <c r="L26" s="329">
        <f>SUM(D26:G26)</f>
        <v>0</v>
      </c>
      <c r="M26" s="330">
        <f>SUM(H26:K26)</f>
        <v>0</v>
      </c>
    </row>
    <row r="27" spans="1:36" s="317" customFormat="1" ht="18" customHeight="1">
      <c r="A27" s="281"/>
      <c r="B27" s="281"/>
      <c r="C27" s="331" t="s">
        <v>359</v>
      </c>
      <c r="D27" s="326"/>
      <c r="E27" s="327"/>
      <c r="F27" s="327"/>
      <c r="G27" s="328"/>
      <c r="H27" s="326"/>
      <c r="I27" s="327"/>
      <c r="J27" s="327"/>
      <c r="K27" s="328"/>
      <c r="L27" s="329">
        <f>SUM(D27:G27)</f>
        <v>0</v>
      </c>
      <c r="M27" s="330">
        <f>SUM(H27:K27)</f>
        <v>0</v>
      </c>
    </row>
    <row r="28" spans="1:36" s="317" customFormat="1" ht="18" customHeight="1">
      <c r="A28" s="281"/>
      <c r="B28" s="281"/>
      <c r="C28" s="331" t="s">
        <v>360</v>
      </c>
      <c r="D28" s="326"/>
      <c r="E28" s="327"/>
      <c r="F28" s="327"/>
      <c r="G28" s="328"/>
      <c r="H28" s="326"/>
      <c r="I28" s="327"/>
      <c r="J28" s="327"/>
      <c r="K28" s="328"/>
      <c r="L28" s="329">
        <f>SUM(D28:G28)</f>
        <v>0</v>
      </c>
      <c r="M28" s="330">
        <f>SUM(H28:K28)</f>
        <v>0</v>
      </c>
    </row>
    <row r="29" spans="1:36" s="317" customFormat="1" ht="26.25" thickBot="1">
      <c r="A29" s="281"/>
      <c r="B29" s="281"/>
      <c r="C29" s="332" t="s">
        <v>361</v>
      </c>
      <c r="D29" s="333" t="str">
        <f>IF(D27,D27/D28,"-")</f>
        <v>-</v>
      </c>
      <c r="E29" s="334" t="str">
        <f t="shared" ref="E29:M29" si="5">IF(E27,E27/E28,"-")</f>
        <v>-</v>
      </c>
      <c r="F29" s="334" t="str">
        <f t="shared" si="5"/>
        <v>-</v>
      </c>
      <c r="G29" s="335" t="str">
        <f t="shared" si="5"/>
        <v>-</v>
      </c>
      <c r="H29" s="333" t="str">
        <f t="shared" si="5"/>
        <v>-</v>
      </c>
      <c r="I29" s="334" t="str">
        <f t="shared" si="5"/>
        <v>-</v>
      </c>
      <c r="J29" s="334" t="str">
        <f t="shared" si="5"/>
        <v>-</v>
      </c>
      <c r="K29" s="335" t="str">
        <f t="shared" si="5"/>
        <v>-</v>
      </c>
      <c r="L29" s="336" t="str">
        <f t="shared" si="5"/>
        <v>-</v>
      </c>
      <c r="M29" s="337" t="str">
        <f t="shared" si="5"/>
        <v>-</v>
      </c>
    </row>
    <row r="30" spans="1:36" s="317" customFormat="1">
      <c r="A30" s="281"/>
      <c r="B30" s="281"/>
      <c r="C30" s="338"/>
      <c r="D30" s="339"/>
      <c r="E30" s="339"/>
      <c r="F30" s="339"/>
      <c r="G30" s="339"/>
    </row>
    <row r="31" spans="1:36" s="317" customFormat="1" ht="13.5" thickBot="1">
      <c r="A31" s="281"/>
      <c r="B31" s="281"/>
      <c r="C31" s="338"/>
      <c r="D31" s="339"/>
      <c r="E31" s="339"/>
      <c r="F31" s="339"/>
      <c r="G31" s="339"/>
    </row>
    <row r="32" spans="1:36" s="317" customFormat="1" ht="30" customHeight="1">
      <c r="A32" s="281"/>
      <c r="B32" s="281"/>
      <c r="C32" s="1230" t="s">
        <v>362</v>
      </c>
      <c r="D32" s="155" t="s">
        <v>352</v>
      </c>
      <c r="E32" s="156"/>
      <c r="F32" s="156"/>
      <c r="G32" s="318"/>
      <c r="H32" s="155" t="s">
        <v>353</v>
      </c>
      <c r="I32" s="156"/>
      <c r="J32" s="156"/>
      <c r="K32" s="318"/>
      <c r="L32" s="319" t="s">
        <v>352</v>
      </c>
      <c r="M32" s="320" t="s">
        <v>353</v>
      </c>
    </row>
    <row r="33" spans="1:37" s="317" customFormat="1">
      <c r="A33" s="281"/>
      <c r="B33" s="281"/>
      <c r="C33" s="1231"/>
      <c r="D33" s="321" t="s">
        <v>354</v>
      </c>
      <c r="E33" s="322" t="s">
        <v>355</v>
      </c>
      <c r="F33" s="322" t="s">
        <v>356</v>
      </c>
      <c r="G33" s="323" t="s">
        <v>357</v>
      </c>
      <c r="H33" s="321" t="s">
        <v>354</v>
      </c>
      <c r="I33" s="322" t="s">
        <v>355</v>
      </c>
      <c r="J33" s="322" t="s">
        <v>356</v>
      </c>
      <c r="K33" s="323" t="s">
        <v>357</v>
      </c>
      <c r="L33" s="324" t="s">
        <v>200</v>
      </c>
      <c r="M33" s="323" t="s">
        <v>200</v>
      </c>
    </row>
    <row r="34" spans="1:37" s="317" customFormat="1" ht="25.5">
      <c r="A34" s="281"/>
      <c r="B34" s="281"/>
      <c r="C34" s="340" t="s">
        <v>363</v>
      </c>
      <c r="D34" s="326"/>
      <c r="E34" s="327"/>
      <c r="F34" s="327"/>
      <c r="G34" s="328"/>
      <c r="H34" s="326"/>
      <c r="I34" s="327"/>
      <c r="J34" s="327"/>
      <c r="K34" s="328"/>
      <c r="L34" s="329">
        <f t="shared" ref="L34:L39" si="6">SUM(D34:G34)</f>
        <v>0</v>
      </c>
      <c r="M34" s="330">
        <f t="shared" ref="M34:M39" si="7">SUM(H34:K34)</f>
        <v>0</v>
      </c>
    </row>
    <row r="35" spans="1:37" s="317" customFormat="1" ht="25.5">
      <c r="A35" s="281"/>
      <c r="B35" s="281"/>
      <c r="C35" s="340" t="s">
        <v>364</v>
      </c>
      <c r="D35" s="326"/>
      <c r="E35" s="327"/>
      <c r="F35" s="327"/>
      <c r="G35" s="328"/>
      <c r="H35" s="326"/>
      <c r="I35" s="327"/>
      <c r="J35" s="327"/>
      <c r="K35" s="328"/>
      <c r="L35" s="329">
        <f t="shared" si="6"/>
        <v>0</v>
      </c>
      <c r="M35" s="330">
        <f t="shared" si="7"/>
        <v>0</v>
      </c>
    </row>
    <row r="36" spans="1:37" s="317" customFormat="1" ht="25.5">
      <c r="A36" s="281"/>
      <c r="B36" s="281"/>
      <c r="C36" s="340" t="s">
        <v>365</v>
      </c>
      <c r="D36" s="326"/>
      <c r="E36" s="327"/>
      <c r="F36" s="327"/>
      <c r="G36" s="328"/>
      <c r="H36" s="326"/>
      <c r="I36" s="327"/>
      <c r="J36" s="327"/>
      <c r="K36" s="328"/>
      <c r="L36" s="329">
        <f t="shared" si="6"/>
        <v>0</v>
      </c>
      <c r="M36" s="330">
        <f t="shared" si="7"/>
        <v>0</v>
      </c>
    </row>
    <row r="37" spans="1:37" s="317" customFormat="1" ht="38.25">
      <c r="A37" s="281"/>
      <c r="B37" s="281"/>
      <c r="C37" s="340" t="s">
        <v>366</v>
      </c>
      <c r="D37" s="341" t="str">
        <f>IF(D35,D35/D36,"-")</f>
        <v>-</v>
      </c>
      <c r="E37" s="342" t="str">
        <f t="shared" ref="E37:M37" si="8">IF(E35,E35/E36,"-")</f>
        <v>-</v>
      </c>
      <c r="F37" s="342" t="str">
        <f t="shared" si="8"/>
        <v>-</v>
      </c>
      <c r="G37" s="343" t="str">
        <f t="shared" si="8"/>
        <v>-</v>
      </c>
      <c r="H37" s="341" t="str">
        <f t="shared" si="8"/>
        <v>-</v>
      </c>
      <c r="I37" s="342" t="str">
        <f t="shared" si="8"/>
        <v>-</v>
      </c>
      <c r="J37" s="342" t="str">
        <f t="shared" si="8"/>
        <v>-</v>
      </c>
      <c r="K37" s="343" t="str">
        <f t="shared" si="8"/>
        <v>-</v>
      </c>
      <c r="L37" s="344" t="str">
        <f t="shared" si="8"/>
        <v>-</v>
      </c>
      <c r="M37" s="345" t="str">
        <f t="shared" si="8"/>
        <v>-</v>
      </c>
    </row>
    <row r="38" spans="1:37" s="317" customFormat="1" ht="25.5">
      <c r="A38" s="281"/>
      <c r="B38" s="281"/>
      <c r="C38" s="340" t="s">
        <v>367</v>
      </c>
      <c r="D38" s="326"/>
      <c r="E38" s="327"/>
      <c r="F38" s="327"/>
      <c r="G38" s="328"/>
      <c r="H38" s="326"/>
      <c r="I38" s="327"/>
      <c r="J38" s="327"/>
      <c r="K38" s="328"/>
      <c r="L38" s="329">
        <f t="shared" si="6"/>
        <v>0</v>
      </c>
      <c r="M38" s="330">
        <f t="shared" si="7"/>
        <v>0</v>
      </c>
    </row>
    <row r="39" spans="1:37" s="317" customFormat="1" ht="26.25" thickBot="1">
      <c r="A39" s="281"/>
      <c r="B39" s="281"/>
      <c r="C39" s="346" t="s">
        <v>368</v>
      </c>
      <c r="D39" s="347"/>
      <c r="E39" s="348"/>
      <c r="F39" s="348"/>
      <c r="G39" s="349"/>
      <c r="H39" s="347"/>
      <c r="I39" s="348"/>
      <c r="J39" s="348"/>
      <c r="K39" s="349"/>
      <c r="L39" s="350">
        <f t="shared" si="6"/>
        <v>0</v>
      </c>
      <c r="M39" s="351">
        <f t="shared" si="7"/>
        <v>0</v>
      </c>
    </row>
    <row r="41" spans="1:37">
      <c r="B41" s="281" t="s">
        <v>369</v>
      </c>
    </row>
    <row r="42" spans="1:37" ht="13.5" thickBot="1"/>
    <row r="43" spans="1:37" ht="13.5" thickBot="1">
      <c r="B43" s="352"/>
      <c r="C43" s="1232" t="s">
        <v>370</v>
      </c>
      <c r="D43" s="1233"/>
      <c r="E43" s="1233"/>
      <c r="F43" s="1233"/>
      <c r="G43" s="1233"/>
      <c r="H43" s="1233"/>
      <c r="I43" s="1233"/>
      <c r="J43" s="1233"/>
      <c r="K43" s="1234"/>
      <c r="L43" s="1226" t="s">
        <v>371</v>
      </c>
      <c r="M43" s="1235"/>
      <c r="N43" s="1235"/>
      <c r="O43" s="1235"/>
      <c r="P43" s="1227"/>
      <c r="Q43" s="1226" t="s">
        <v>372</v>
      </c>
      <c r="R43" s="1235"/>
      <c r="S43" s="1235"/>
      <c r="T43" s="1235"/>
      <c r="U43" s="1227"/>
      <c r="V43" s="1218" t="s">
        <v>373</v>
      </c>
      <c r="W43" s="1219"/>
      <c r="X43" s="1219"/>
      <c r="Y43" s="1219"/>
      <c r="Z43" s="1219"/>
      <c r="AA43" s="1219"/>
      <c r="AB43" s="1219"/>
      <c r="AC43" s="1219"/>
      <c r="AD43" s="1219"/>
      <c r="AE43" s="1219"/>
      <c r="AF43" s="1219"/>
      <c r="AG43" s="1219"/>
      <c r="AH43" s="1219"/>
      <c r="AI43" s="1220"/>
      <c r="AJ43" s="1221" t="s">
        <v>374</v>
      </c>
      <c r="AK43" s="353" t="s">
        <v>375</v>
      </c>
    </row>
    <row r="44" spans="1:37" ht="78.75" customHeight="1">
      <c r="B44" s="354"/>
      <c r="C44" s="355" t="s">
        <v>376</v>
      </c>
      <c r="D44" s="356" t="s">
        <v>377</v>
      </c>
      <c r="E44" s="356" t="s">
        <v>378</v>
      </c>
      <c r="F44" s="356" t="s">
        <v>379</v>
      </c>
      <c r="G44" s="356" t="s">
        <v>380</v>
      </c>
      <c r="H44" s="356" t="s">
        <v>992</v>
      </c>
      <c r="I44" s="356" t="s">
        <v>381</v>
      </c>
      <c r="J44" s="356" t="s">
        <v>382</v>
      </c>
      <c r="K44" s="357" t="s">
        <v>383</v>
      </c>
      <c r="L44" s="286" t="s">
        <v>79</v>
      </c>
      <c r="M44" s="233" t="s">
        <v>80</v>
      </c>
      <c r="N44" s="233" t="s">
        <v>81</v>
      </c>
      <c r="O44" s="233" t="s">
        <v>82</v>
      </c>
      <c r="P44" s="234" t="s">
        <v>44</v>
      </c>
      <c r="Q44" s="232" t="s">
        <v>193</v>
      </c>
      <c r="R44" s="233" t="s">
        <v>194</v>
      </c>
      <c r="S44" s="233" t="s">
        <v>195</v>
      </c>
      <c r="T44" s="233" t="s">
        <v>196</v>
      </c>
      <c r="U44" s="234" t="s">
        <v>197</v>
      </c>
      <c r="V44" s="1223" t="s">
        <v>384</v>
      </c>
      <c r="W44" s="1224"/>
      <c r="X44" s="1224"/>
      <c r="Y44" s="1224"/>
      <c r="Z44" s="1224"/>
      <c r="AA44" s="1224"/>
      <c r="AB44" s="1224"/>
      <c r="AC44" s="1224"/>
      <c r="AD44" s="1224"/>
      <c r="AE44" s="1225"/>
      <c r="AF44" s="160" t="s">
        <v>385</v>
      </c>
      <c r="AG44" s="160" t="s">
        <v>386</v>
      </c>
      <c r="AH44" s="160" t="s">
        <v>387</v>
      </c>
      <c r="AI44" s="160" t="s">
        <v>388</v>
      </c>
      <c r="AJ44" s="1222"/>
      <c r="AK44" s="358" t="s">
        <v>389</v>
      </c>
    </row>
    <row r="45" spans="1:37" ht="13.5" thickBot="1">
      <c r="B45" s="359"/>
      <c r="C45" s="360" t="s">
        <v>390</v>
      </c>
      <c r="D45" s="361" t="s">
        <v>391</v>
      </c>
      <c r="E45" s="361" t="s">
        <v>391</v>
      </c>
      <c r="F45" s="362" t="s">
        <v>392</v>
      </c>
      <c r="G45" s="363" t="s">
        <v>393</v>
      </c>
      <c r="H45" s="363" t="s">
        <v>393</v>
      </c>
      <c r="I45" s="362" t="s">
        <v>394</v>
      </c>
      <c r="J45" s="362" t="s">
        <v>344</v>
      </c>
      <c r="K45" s="364" t="s">
        <v>344</v>
      </c>
      <c r="L45" s="292" t="s">
        <v>344</v>
      </c>
      <c r="M45" s="290" t="s">
        <v>344</v>
      </c>
      <c r="N45" s="290" t="s">
        <v>344</v>
      </c>
      <c r="O45" s="290" t="s">
        <v>344</v>
      </c>
      <c r="P45" s="291" t="s">
        <v>344</v>
      </c>
      <c r="Q45" s="289" t="s">
        <v>344</v>
      </c>
      <c r="R45" s="290" t="s">
        <v>344</v>
      </c>
      <c r="S45" s="290" t="s">
        <v>344</v>
      </c>
      <c r="T45" s="290" t="s">
        <v>344</v>
      </c>
      <c r="U45" s="291" t="s">
        <v>344</v>
      </c>
      <c r="V45" s="365" t="s">
        <v>79</v>
      </c>
      <c r="W45" s="366" t="s">
        <v>80</v>
      </c>
      <c r="X45" s="366" t="s">
        <v>81</v>
      </c>
      <c r="Y45" s="366" t="s">
        <v>82</v>
      </c>
      <c r="Z45" s="366" t="s">
        <v>44</v>
      </c>
      <c r="AA45" s="366" t="s">
        <v>193</v>
      </c>
      <c r="AB45" s="366" t="s">
        <v>194</v>
      </c>
      <c r="AC45" s="366" t="s">
        <v>195</v>
      </c>
      <c r="AD45" s="366" t="s">
        <v>196</v>
      </c>
      <c r="AE45" s="367" t="s">
        <v>197</v>
      </c>
      <c r="AF45" s="368" t="s">
        <v>394</v>
      </c>
      <c r="AG45" s="369" t="s">
        <v>394</v>
      </c>
      <c r="AH45" s="369" t="s">
        <v>394</v>
      </c>
      <c r="AI45" s="369" t="s">
        <v>395</v>
      </c>
      <c r="AJ45" s="370" t="s">
        <v>396</v>
      </c>
      <c r="AK45" s="371" t="s">
        <v>397</v>
      </c>
    </row>
    <row r="46" spans="1:37" s="372" customFormat="1">
      <c r="B46" s="373">
        <v>1</v>
      </c>
      <c r="C46" s="374"/>
      <c r="D46" s="375" t="s">
        <v>993</v>
      </c>
      <c r="E46" s="375"/>
      <c r="F46" s="375" t="s">
        <v>994</v>
      </c>
      <c r="G46" s="376" t="s">
        <v>43</v>
      </c>
      <c r="H46" s="376"/>
      <c r="I46" s="376">
        <v>10</v>
      </c>
      <c r="J46" s="377">
        <v>0.6</v>
      </c>
      <c r="K46" s="378">
        <f>SUM(Q46:U46)</f>
        <v>0.6</v>
      </c>
      <c r="L46" s="377"/>
      <c r="M46" s="379"/>
      <c r="N46" s="379"/>
      <c r="O46" s="379"/>
      <c r="P46" s="380"/>
      <c r="Q46" s="379">
        <v>0.6</v>
      </c>
      <c r="R46" s="381">
        <v>0</v>
      </c>
      <c r="S46" s="381">
        <v>0</v>
      </c>
      <c r="T46" s="381">
        <v>0</v>
      </c>
      <c r="U46" s="380">
        <v>0</v>
      </c>
      <c r="V46" s="382"/>
      <c r="W46" s="383"/>
      <c r="X46" s="383"/>
      <c r="Y46" s="383"/>
      <c r="Z46" s="384"/>
      <c r="AA46" s="382"/>
      <c r="AB46" s="383"/>
      <c r="AC46" s="383"/>
      <c r="AD46" s="383"/>
      <c r="AE46" s="384"/>
      <c r="AF46" s="379"/>
      <c r="AG46" s="381"/>
      <c r="AH46" s="381"/>
      <c r="AI46" s="385"/>
      <c r="AJ46" s="386"/>
      <c r="AK46" s="387" t="s">
        <v>995</v>
      </c>
    </row>
    <row r="47" spans="1:37" s="372" customFormat="1">
      <c r="B47" s="388">
        <v>2</v>
      </c>
      <c r="C47" s="374"/>
      <c r="D47" s="375">
        <v>33</v>
      </c>
      <c r="E47" s="375"/>
      <c r="F47" s="375" t="s">
        <v>996</v>
      </c>
      <c r="G47" s="376" t="s">
        <v>43</v>
      </c>
      <c r="H47" s="376"/>
      <c r="I47" s="376">
        <v>4.5999999999999996</v>
      </c>
      <c r="J47" s="377">
        <v>1.4</v>
      </c>
      <c r="K47" s="378">
        <f t="shared" ref="K47:K79" si="9">SUM(Q47:U47)</f>
        <v>1.4</v>
      </c>
      <c r="L47" s="377"/>
      <c r="M47" s="379"/>
      <c r="N47" s="379"/>
      <c r="O47" s="379"/>
      <c r="P47" s="380"/>
      <c r="Q47" s="379">
        <v>0</v>
      </c>
      <c r="R47" s="381">
        <v>0.7</v>
      </c>
      <c r="S47" s="381">
        <v>0.7</v>
      </c>
      <c r="T47" s="381">
        <v>0</v>
      </c>
      <c r="U47" s="380">
        <v>0</v>
      </c>
      <c r="V47" s="377"/>
      <c r="W47" s="381"/>
      <c r="X47" s="381"/>
      <c r="Y47" s="381"/>
      <c r="Z47" s="380"/>
      <c r="AA47" s="377"/>
      <c r="AB47" s="381"/>
      <c r="AC47" s="381"/>
      <c r="AD47" s="381"/>
      <c r="AE47" s="380"/>
      <c r="AF47" s="379"/>
      <c r="AG47" s="381"/>
      <c r="AH47" s="381"/>
      <c r="AI47" s="385"/>
      <c r="AJ47" s="386"/>
      <c r="AK47" s="387" t="s">
        <v>997</v>
      </c>
    </row>
    <row r="48" spans="1:37" s="372" customFormat="1">
      <c r="B48" s="388">
        <v>3</v>
      </c>
      <c r="C48" s="374"/>
      <c r="D48" s="375">
        <v>33</v>
      </c>
      <c r="E48" s="375"/>
      <c r="F48" s="375" t="s">
        <v>994</v>
      </c>
      <c r="G48" s="376" t="s">
        <v>194</v>
      </c>
      <c r="H48" s="376"/>
      <c r="I48" s="376">
        <v>3</v>
      </c>
      <c r="J48" s="377">
        <v>0.45</v>
      </c>
      <c r="K48" s="378">
        <f t="shared" si="9"/>
        <v>0.45</v>
      </c>
      <c r="L48" s="377"/>
      <c r="M48" s="379"/>
      <c r="N48" s="379"/>
      <c r="O48" s="379"/>
      <c r="P48" s="380"/>
      <c r="Q48" s="379">
        <v>0</v>
      </c>
      <c r="R48" s="381">
        <v>0.45</v>
      </c>
      <c r="S48" s="381">
        <v>0</v>
      </c>
      <c r="T48" s="381">
        <v>0</v>
      </c>
      <c r="U48" s="380">
        <v>0</v>
      </c>
      <c r="V48" s="377"/>
      <c r="W48" s="381"/>
      <c r="X48" s="381"/>
      <c r="Y48" s="381"/>
      <c r="Z48" s="380"/>
      <c r="AA48" s="377"/>
      <c r="AB48" s="381"/>
      <c r="AC48" s="381"/>
      <c r="AD48" s="381"/>
      <c r="AE48" s="380"/>
      <c r="AF48" s="379"/>
      <c r="AG48" s="381"/>
      <c r="AH48" s="381"/>
      <c r="AI48" s="385"/>
      <c r="AJ48" s="386"/>
      <c r="AK48" s="387" t="s">
        <v>998</v>
      </c>
    </row>
    <row r="49" spans="2:37" s="372" customFormat="1">
      <c r="B49" s="388">
        <v>4</v>
      </c>
      <c r="C49" s="374"/>
      <c r="D49" s="375">
        <v>33</v>
      </c>
      <c r="E49" s="375"/>
      <c r="F49" s="375" t="s">
        <v>999</v>
      </c>
      <c r="G49" s="376" t="s">
        <v>197</v>
      </c>
      <c r="H49" s="376"/>
      <c r="I49" s="376">
        <v>23</v>
      </c>
      <c r="J49" s="377">
        <v>0.8</v>
      </c>
      <c r="K49" s="378">
        <f t="shared" si="9"/>
        <v>0.8</v>
      </c>
      <c r="L49" s="377"/>
      <c r="M49" s="379"/>
      <c r="N49" s="379"/>
      <c r="O49" s="379"/>
      <c r="P49" s="380"/>
      <c r="Q49" s="379">
        <v>0</v>
      </c>
      <c r="R49" s="381">
        <v>0</v>
      </c>
      <c r="S49" s="381">
        <v>0</v>
      </c>
      <c r="T49" s="381">
        <v>0.6</v>
      </c>
      <c r="U49" s="380">
        <v>0.2</v>
      </c>
      <c r="V49" s="377"/>
      <c r="W49" s="381"/>
      <c r="X49" s="381"/>
      <c r="Y49" s="381"/>
      <c r="Z49" s="380"/>
      <c r="AA49" s="377"/>
      <c r="AB49" s="381"/>
      <c r="AC49" s="381"/>
      <c r="AD49" s="381"/>
      <c r="AE49" s="380"/>
      <c r="AF49" s="379"/>
      <c r="AG49" s="381"/>
      <c r="AH49" s="381"/>
      <c r="AI49" s="385"/>
      <c r="AJ49" s="386"/>
      <c r="AK49" s="387" t="s">
        <v>1000</v>
      </c>
    </row>
    <row r="50" spans="2:37" s="372" customFormat="1">
      <c r="B50" s="388">
        <v>5</v>
      </c>
      <c r="C50" s="374"/>
      <c r="D50" s="375">
        <v>33</v>
      </c>
      <c r="E50" s="375"/>
      <c r="F50" s="375" t="s">
        <v>1001</v>
      </c>
      <c r="G50" s="376" t="s">
        <v>194</v>
      </c>
      <c r="H50" s="376"/>
      <c r="I50" s="376">
        <v>7.1</v>
      </c>
      <c r="J50" s="377">
        <v>0.3</v>
      </c>
      <c r="K50" s="378">
        <f t="shared" si="9"/>
        <v>0.3</v>
      </c>
      <c r="L50" s="377"/>
      <c r="M50" s="379"/>
      <c r="N50" s="379"/>
      <c r="O50" s="379"/>
      <c r="P50" s="380"/>
      <c r="Q50" s="379">
        <v>0</v>
      </c>
      <c r="R50" s="381">
        <v>0.3</v>
      </c>
      <c r="S50" s="381">
        <v>0</v>
      </c>
      <c r="T50" s="381">
        <v>0</v>
      </c>
      <c r="U50" s="380">
        <v>0</v>
      </c>
      <c r="V50" s="377"/>
      <c r="W50" s="381"/>
      <c r="X50" s="381"/>
      <c r="Y50" s="381"/>
      <c r="Z50" s="380"/>
      <c r="AA50" s="377"/>
      <c r="AB50" s="381"/>
      <c r="AC50" s="381"/>
      <c r="AD50" s="381"/>
      <c r="AE50" s="380"/>
      <c r="AF50" s="379"/>
      <c r="AG50" s="381"/>
      <c r="AH50" s="381"/>
      <c r="AI50" s="385"/>
      <c r="AJ50" s="386"/>
      <c r="AK50" s="387" t="s">
        <v>1002</v>
      </c>
    </row>
    <row r="51" spans="2:37" s="372" customFormat="1">
      <c r="B51" s="388">
        <v>6</v>
      </c>
      <c r="C51" s="374"/>
      <c r="D51" s="375">
        <v>33</v>
      </c>
      <c r="E51" s="375"/>
      <c r="F51" s="375" t="s">
        <v>996</v>
      </c>
      <c r="G51" s="376" t="s">
        <v>44</v>
      </c>
      <c r="H51" s="376"/>
      <c r="I51" s="376">
        <v>7.1</v>
      </c>
      <c r="J51" s="377">
        <v>0.8</v>
      </c>
      <c r="K51" s="378">
        <f t="shared" si="9"/>
        <v>0.79999999999999993</v>
      </c>
      <c r="L51" s="377"/>
      <c r="M51" s="379"/>
      <c r="N51" s="379"/>
      <c r="O51" s="379"/>
      <c r="P51" s="380"/>
      <c r="Q51" s="379">
        <v>0.3</v>
      </c>
      <c r="R51" s="381">
        <v>0.4</v>
      </c>
      <c r="S51" s="381">
        <v>0.1</v>
      </c>
      <c r="T51" s="381">
        <v>0</v>
      </c>
      <c r="U51" s="380">
        <v>0</v>
      </c>
      <c r="V51" s="377"/>
      <c r="W51" s="381"/>
      <c r="X51" s="381"/>
      <c r="Y51" s="381"/>
      <c r="Z51" s="380"/>
      <c r="AA51" s="377"/>
      <c r="AB51" s="381"/>
      <c r="AC51" s="381"/>
      <c r="AD51" s="381"/>
      <c r="AE51" s="380"/>
      <c r="AF51" s="379"/>
      <c r="AG51" s="381"/>
      <c r="AH51" s="381"/>
      <c r="AI51" s="385"/>
      <c r="AJ51" s="386"/>
      <c r="AK51" s="387" t="s">
        <v>1003</v>
      </c>
    </row>
    <row r="52" spans="2:37" s="372" customFormat="1">
      <c r="B52" s="388">
        <v>7</v>
      </c>
      <c r="C52" s="374"/>
      <c r="D52" s="375">
        <v>33</v>
      </c>
      <c r="E52" s="375"/>
      <c r="F52" s="375" t="s">
        <v>1004</v>
      </c>
      <c r="G52" s="376" t="s">
        <v>196</v>
      </c>
      <c r="H52" s="376"/>
      <c r="I52" s="376">
        <v>6</v>
      </c>
      <c r="J52" s="377">
        <v>1.2</v>
      </c>
      <c r="K52" s="378">
        <f t="shared" si="9"/>
        <v>1.2</v>
      </c>
      <c r="L52" s="377"/>
      <c r="M52" s="379"/>
      <c r="N52" s="379"/>
      <c r="O52" s="379"/>
      <c r="P52" s="380"/>
      <c r="Q52" s="379">
        <v>0</v>
      </c>
      <c r="R52" s="381">
        <v>0</v>
      </c>
      <c r="S52" s="381">
        <v>1.2</v>
      </c>
      <c r="T52" s="381">
        <v>0</v>
      </c>
      <c r="U52" s="380">
        <v>0</v>
      </c>
      <c r="V52" s="377"/>
      <c r="W52" s="381"/>
      <c r="X52" s="381"/>
      <c r="Y52" s="381"/>
      <c r="Z52" s="380"/>
      <c r="AA52" s="377"/>
      <c r="AB52" s="381"/>
      <c r="AC52" s="381"/>
      <c r="AD52" s="381"/>
      <c r="AE52" s="380"/>
      <c r="AF52" s="379"/>
      <c r="AG52" s="381"/>
      <c r="AH52" s="381"/>
      <c r="AI52" s="385"/>
      <c r="AJ52" s="386"/>
      <c r="AK52" s="387" t="s">
        <v>1005</v>
      </c>
    </row>
    <row r="53" spans="2:37" s="372" customFormat="1">
      <c r="B53" s="388">
        <v>8</v>
      </c>
      <c r="C53" s="374"/>
      <c r="D53" s="375" t="s">
        <v>993</v>
      </c>
      <c r="E53" s="375"/>
      <c r="F53" s="375" t="s">
        <v>994</v>
      </c>
      <c r="G53" s="376" t="s">
        <v>196</v>
      </c>
      <c r="H53" s="376"/>
      <c r="I53" s="376">
        <v>17.899999999999999</v>
      </c>
      <c r="J53" s="377">
        <v>0.7</v>
      </c>
      <c r="K53" s="378">
        <f t="shared" si="9"/>
        <v>0.7</v>
      </c>
      <c r="L53" s="377"/>
      <c r="M53" s="379"/>
      <c r="N53" s="379"/>
      <c r="O53" s="379"/>
      <c r="P53" s="380"/>
      <c r="Q53" s="379">
        <v>0</v>
      </c>
      <c r="R53" s="381">
        <v>0</v>
      </c>
      <c r="S53" s="381">
        <v>0</v>
      </c>
      <c r="T53" s="381">
        <v>0.7</v>
      </c>
      <c r="U53" s="380">
        <v>0</v>
      </c>
      <c r="V53" s="377"/>
      <c r="W53" s="381"/>
      <c r="X53" s="381"/>
      <c r="Y53" s="381"/>
      <c r="Z53" s="380"/>
      <c r="AA53" s="377"/>
      <c r="AB53" s="381"/>
      <c r="AC53" s="381"/>
      <c r="AD53" s="381"/>
      <c r="AE53" s="380"/>
      <c r="AF53" s="379"/>
      <c r="AG53" s="381"/>
      <c r="AH53" s="381"/>
      <c r="AI53" s="385"/>
      <c r="AJ53" s="386"/>
      <c r="AK53" s="387" t="s">
        <v>1006</v>
      </c>
    </row>
    <row r="54" spans="2:37" s="372" customFormat="1">
      <c r="B54" s="388">
        <v>9</v>
      </c>
      <c r="C54" s="374"/>
      <c r="D54" s="375">
        <v>33</v>
      </c>
      <c r="E54" s="375"/>
      <c r="F54" s="375" t="s">
        <v>1001</v>
      </c>
      <c r="G54" s="376">
        <v>2009</v>
      </c>
      <c r="H54" s="376"/>
      <c r="I54" s="376">
        <v>20</v>
      </c>
      <c r="J54" s="377">
        <v>0.4</v>
      </c>
      <c r="K54" s="378">
        <f t="shared" si="9"/>
        <v>0.4</v>
      </c>
      <c r="L54" s="377"/>
      <c r="M54" s="379"/>
      <c r="N54" s="379"/>
      <c r="O54" s="379"/>
      <c r="P54" s="380"/>
      <c r="Q54" s="379">
        <v>0.4</v>
      </c>
      <c r="R54" s="381">
        <v>0</v>
      </c>
      <c r="S54" s="381">
        <v>0</v>
      </c>
      <c r="T54" s="381">
        <v>0</v>
      </c>
      <c r="U54" s="380">
        <v>0</v>
      </c>
      <c r="V54" s="377"/>
      <c r="W54" s="381"/>
      <c r="X54" s="381"/>
      <c r="Y54" s="381"/>
      <c r="Z54" s="380"/>
      <c r="AA54" s="377"/>
      <c r="AB54" s="381"/>
      <c r="AC54" s="381"/>
      <c r="AD54" s="381"/>
      <c r="AE54" s="380"/>
      <c r="AF54" s="379"/>
      <c r="AG54" s="381"/>
      <c r="AH54" s="381"/>
      <c r="AI54" s="385"/>
      <c r="AJ54" s="386"/>
      <c r="AK54" s="387" t="s">
        <v>1007</v>
      </c>
    </row>
    <row r="55" spans="2:37" s="372" customFormat="1">
      <c r="B55" s="388">
        <v>10</v>
      </c>
      <c r="C55" s="374"/>
      <c r="D55" s="375">
        <v>66</v>
      </c>
      <c r="E55" s="375"/>
      <c r="F55" s="375" t="s">
        <v>1008</v>
      </c>
      <c r="G55" s="376" t="s">
        <v>44</v>
      </c>
      <c r="H55" s="376"/>
      <c r="I55" s="376">
        <v>6</v>
      </c>
      <c r="J55" s="377">
        <v>0.2</v>
      </c>
      <c r="K55" s="378">
        <f t="shared" si="9"/>
        <v>0.2</v>
      </c>
      <c r="L55" s="377"/>
      <c r="M55" s="379"/>
      <c r="N55" s="379"/>
      <c r="O55" s="379"/>
      <c r="P55" s="380"/>
      <c r="Q55" s="379">
        <v>0.2</v>
      </c>
      <c r="R55" s="381">
        <v>0</v>
      </c>
      <c r="S55" s="381">
        <v>0</v>
      </c>
      <c r="T55" s="381">
        <v>0</v>
      </c>
      <c r="U55" s="380">
        <v>0</v>
      </c>
      <c r="V55" s="377"/>
      <c r="W55" s="381"/>
      <c r="X55" s="381"/>
      <c r="Y55" s="381"/>
      <c r="Z55" s="380"/>
      <c r="AA55" s="377"/>
      <c r="AB55" s="381"/>
      <c r="AC55" s="381"/>
      <c r="AD55" s="381"/>
      <c r="AE55" s="380"/>
      <c r="AF55" s="379"/>
      <c r="AG55" s="381"/>
      <c r="AH55" s="381"/>
      <c r="AI55" s="385"/>
      <c r="AJ55" s="386"/>
      <c r="AK55" s="387" t="s">
        <v>1009</v>
      </c>
    </row>
    <row r="56" spans="2:37" s="372" customFormat="1">
      <c r="B56" s="388">
        <v>11</v>
      </c>
      <c r="C56" s="374"/>
      <c r="D56" s="375">
        <v>66</v>
      </c>
      <c r="E56" s="375"/>
      <c r="F56" s="375" t="s">
        <v>1008</v>
      </c>
      <c r="G56" s="376" t="s">
        <v>43</v>
      </c>
      <c r="H56" s="376"/>
      <c r="I56" s="376">
        <v>12</v>
      </c>
      <c r="J56" s="377">
        <v>0.3</v>
      </c>
      <c r="K56" s="378">
        <f t="shared" si="9"/>
        <v>0.3</v>
      </c>
      <c r="L56" s="377"/>
      <c r="M56" s="379"/>
      <c r="N56" s="379"/>
      <c r="O56" s="379"/>
      <c r="P56" s="380"/>
      <c r="Q56" s="379">
        <v>0.3</v>
      </c>
      <c r="R56" s="381">
        <v>0</v>
      </c>
      <c r="S56" s="381">
        <v>0</v>
      </c>
      <c r="T56" s="381">
        <v>0</v>
      </c>
      <c r="U56" s="380">
        <v>0</v>
      </c>
      <c r="V56" s="377"/>
      <c r="W56" s="381"/>
      <c r="X56" s="381"/>
      <c r="Y56" s="381"/>
      <c r="Z56" s="380"/>
      <c r="AA56" s="377"/>
      <c r="AB56" s="381"/>
      <c r="AC56" s="381"/>
      <c r="AD56" s="381"/>
      <c r="AE56" s="380"/>
      <c r="AF56" s="379"/>
      <c r="AG56" s="381"/>
      <c r="AH56" s="381"/>
      <c r="AI56" s="385"/>
      <c r="AJ56" s="386"/>
      <c r="AK56" s="387" t="s">
        <v>1010</v>
      </c>
    </row>
    <row r="57" spans="2:37" s="372" customFormat="1">
      <c r="B57" s="388">
        <v>12</v>
      </c>
      <c r="C57" s="374"/>
      <c r="D57" s="375">
        <v>33</v>
      </c>
      <c r="E57" s="375"/>
      <c r="F57" s="375" t="s">
        <v>1001</v>
      </c>
      <c r="G57" s="376" t="s">
        <v>43</v>
      </c>
      <c r="H57" s="376"/>
      <c r="I57" s="376">
        <v>6</v>
      </c>
      <c r="J57" s="377">
        <v>0.9</v>
      </c>
      <c r="K57" s="378">
        <f t="shared" si="9"/>
        <v>0.9</v>
      </c>
      <c r="L57" s="377"/>
      <c r="M57" s="379"/>
      <c r="N57" s="379"/>
      <c r="O57" s="379"/>
      <c r="P57" s="380"/>
      <c r="Q57" s="379">
        <v>0</v>
      </c>
      <c r="R57" s="381">
        <v>0.5</v>
      </c>
      <c r="S57" s="381">
        <v>0.4</v>
      </c>
      <c r="T57" s="381">
        <v>0</v>
      </c>
      <c r="U57" s="380">
        <v>0</v>
      </c>
      <c r="V57" s="377"/>
      <c r="W57" s="381"/>
      <c r="X57" s="381"/>
      <c r="Y57" s="381"/>
      <c r="Z57" s="380"/>
      <c r="AA57" s="377"/>
      <c r="AB57" s="381"/>
      <c r="AC57" s="381"/>
      <c r="AD57" s="381"/>
      <c r="AE57" s="380"/>
      <c r="AF57" s="379"/>
      <c r="AG57" s="381"/>
      <c r="AH57" s="381"/>
      <c r="AI57" s="385"/>
      <c r="AJ57" s="386"/>
      <c r="AK57" s="387" t="s">
        <v>1011</v>
      </c>
    </row>
    <row r="58" spans="2:37" s="372" customFormat="1">
      <c r="B58" s="388">
        <v>13</v>
      </c>
      <c r="C58" s="374"/>
      <c r="D58" s="375" t="s">
        <v>993</v>
      </c>
      <c r="E58" s="375"/>
      <c r="F58" s="375" t="s">
        <v>994</v>
      </c>
      <c r="G58" s="376" t="s">
        <v>196</v>
      </c>
      <c r="H58" s="376"/>
      <c r="I58" s="376">
        <v>14</v>
      </c>
      <c r="J58" s="377">
        <v>1.7</v>
      </c>
      <c r="K58" s="378">
        <f t="shared" si="9"/>
        <v>1.7</v>
      </c>
      <c r="L58" s="377"/>
      <c r="M58" s="379"/>
      <c r="N58" s="379"/>
      <c r="O58" s="379"/>
      <c r="P58" s="380"/>
      <c r="Q58" s="379">
        <v>0.2</v>
      </c>
      <c r="R58" s="381">
        <v>0</v>
      </c>
      <c r="S58" s="381">
        <v>0.7</v>
      </c>
      <c r="T58" s="381">
        <v>0.8</v>
      </c>
      <c r="U58" s="380">
        <v>0</v>
      </c>
      <c r="V58" s="377"/>
      <c r="W58" s="381"/>
      <c r="X58" s="381"/>
      <c r="Y58" s="381"/>
      <c r="Z58" s="380"/>
      <c r="AA58" s="377"/>
      <c r="AB58" s="381"/>
      <c r="AC58" s="381"/>
      <c r="AD58" s="381"/>
      <c r="AE58" s="380"/>
      <c r="AF58" s="379"/>
      <c r="AG58" s="381"/>
      <c r="AH58" s="381"/>
      <c r="AI58" s="385"/>
      <c r="AJ58" s="386"/>
      <c r="AK58" s="387" t="s">
        <v>1012</v>
      </c>
    </row>
    <row r="59" spans="2:37" s="372" customFormat="1">
      <c r="B59" s="388">
        <v>14</v>
      </c>
      <c r="C59" s="374"/>
      <c r="D59" s="375">
        <v>33</v>
      </c>
      <c r="E59" s="375"/>
      <c r="F59" s="375" t="s">
        <v>994</v>
      </c>
      <c r="G59" s="376" t="s">
        <v>43</v>
      </c>
      <c r="H59" s="376"/>
      <c r="I59" s="376">
        <v>15</v>
      </c>
      <c r="J59" s="377">
        <v>1.6</v>
      </c>
      <c r="K59" s="378">
        <f t="shared" si="9"/>
        <v>1.6</v>
      </c>
      <c r="L59" s="377"/>
      <c r="M59" s="379"/>
      <c r="N59" s="379"/>
      <c r="O59" s="379"/>
      <c r="P59" s="380"/>
      <c r="Q59" s="379">
        <v>0</v>
      </c>
      <c r="R59" s="381">
        <v>0</v>
      </c>
      <c r="S59" s="381">
        <v>0.4</v>
      </c>
      <c r="T59" s="381">
        <v>0.6</v>
      </c>
      <c r="U59" s="380">
        <v>0.6</v>
      </c>
      <c r="V59" s="377"/>
      <c r="W59" s="381"/>
      <c r="X59" s="381"/>
      <c r="Y59" s="381"/>
      <c r="Z59" s="380"/>
      <c r="AA59" s="377"/>
      <c r="AB59" s="381"/>
      <c r="AC59" s="381"/>
      <c r="AD59" s="381"/>
      <c r="AE59" s="380"/>
      <c r="AF59" s="379"/>
      <c r="AG59" s="381"/>
      <c r="AH59" s="381"/>
      <c r="AI59" s="385"/>
      <c r="AJ59" s="386"/>
      <c r="AK59" s="387" t="s">
        <v>1013</v>
      </c>
    </row>
    <row r="60" spans="2:37" s="372" customFormat="1">
      <c r="B60" s="388">
        <v>15</v>
      </c>
      <c r="C60" s="374"/>
      <c r="D60" s="375" t="s">
        <v>993</v>
      </c>
      <c r="E60" s="375"/>
      <c r="F60" s="375" t="s">
        <v>1014</v>
      </c>
      <c r="G60" s="376" t="s">
        <v>43</v>
      </c>
      <c r="H60" s="376"/>
      <c r="I60" s="376">
        <v>6.2</v>
      </c>
      <c r="J60" s="377">
        <v>0.8</v>
      </c>
      <c r="K60" s="378">
        <f t="shared" si="9"/>
        <v>0.8</v>
      </c>
      <c r="L60" s="377"/>
      <c r="M60" s="379"/>
      <c r="N60" s="379"/>
      <c r="O60" s="379"/>
      <c r="P60" s="380"/>
      <c r="Q60" s="379">
        <v>0.6</v>
      </c>
      <c r="R60" s="381">
        <v>0.2</v>
      </c>
      <c r="S60" s="381">
        <v>0</v>
      </c>
      <c r="T60" s="381">
        <v>0</v>
      </c>
      <c r="U60" s="380">
        <v>0</v>
      </c>
      <c r="V60" s="377"/>
      <c r="W60" s="381"/>
      <c r="X60" s="381"/>
      <c r="Y60" s="381"/>
      <c r="Z60" s="380"/>
      <c r="AA60" s="377"/>
      <c r="AB60" s="381"/>
      <c r="AC60" s="381"/>
      <c r="AD60" s="381"/>
      <c r="AE60" s="380"/>
      <c r="AF60" s="379"/>
      <c r="AG60" s="381"/>
      <c r="AH60" s="381"/>
      <c r="AI60" s="385"/>
      <c r="AJ60" s="386"/>
      <c r="AK60" s="387" t="s">
        <v>1015</v>
      </c>
    </row>
    <row r="61" spans="2:37" s="372" customFormat="1">
      <c r="B61" s="388">
        <v>16</v>
      </c>
      <c r="C61" s="374"/>
      <c r="D61" s="375" t="s">
        <v>993</v>
      </c>
      <c r="E61" s="375"/>
      <c r="F61" s="375" t="s">
        <v>994</v>
      </c>
      <c r="G61" s="376" t="s">
        <v>43</v>
      </c>
      <c r="H61" s="376"/>
      <c r="I61" s="376">
        <v>15</v>
      </c>
      <c r="J61" s="377">
        <v>0.45</v>
      </c>
      <c r="K61" s="378">
        <f t="shared" si="9"/>
        <v>0.45</v>
      </c>
      <c r="L61" s="377"/>
      <c r="M61" s="379"/>
      <c r="N61" s="379"/>
      <c r="O61" s="379"/>
      <c r="P61" s="380"/>
      <c r="Q61" s="379">
        <v>0</v>
      </c>
      <c r="R61" s="381">
        <v>0.45</v>
      </c>
      <c r="S61" s="381">
        <v>0</v>
      </c>
      <c r="T61" s="381">
        <v>0</v>
      </c>
      <c r="U61" s="380">
        <v>0</v>
      </c>
      <c r="V61" s="377"/>
      <c r="W61" s="381"/>
      <c r="X61" s="381"/>
      <c r="Y61" s="381"/>
      <c r="Z61" s="380"/>
      <c r="AA61" s="377"/>
      <c r="AB61" s="381"/>
      <c r="AC61" s="381"/>
      <c r="AD61" s="381"/>
      <c r="AE61" s="380"/>
      <c r="AF61" s="379"/>
      <c r="AG61" s="381"/>
      <c r="AH61" s="381"/>
      <c r="AI61" s="385"/>
      <c r="AJ61" s="386"/>
      <c r="AK61" s="387" t="s">
        <v>1016</v>
      </c>
    </row>
    <row r="62" spans="2:37" s="372" customFormat="1">
      <c r="B62" s="388">
        <v>17</v>
      </c>
      <c r="C62" s="374"/>
      <c r="D62" s="375">
        <v>33</v>
      </c>
      <c r="E62" s="375"/>
      <c r="F62" s="375" t="s">
        <v>47</v>
      </c>
      <c r="G62" s="376" t="s">
        <v>47</v>
      </c>
      <c r="H62" s="376"/>
      <c r="I62" s="376" t="s">
        <v>47</v>
      </c>
      <c r="J62" s="377">
        <v>2.2999999999999998</v>
      </c>
      <c r="K62" s="378">
        <f t="shared" si="9"/>
        <v>2.2999999999999998</v>
      </c>
      <c r="L62" s="377"/>
      <c r="M62" s="379"/>
      <c r="N62" s="379"/>
      <c r="O62" s="379"/>
      <c r="P62" s="380"/>
      <c r="Q62" s="379">
        <v>0.2</v>
      </c>
      <c r="R62" s="381">
        <v>0.2</v>
      </c>
      <c r="S62" s="381">
        <v>0.2</v>
      </c>
      <c r="T62" s="381">
        <v>0.2</v>
      </c>
      <c r="U62" s="380">
        <v>1.5</v>
      </c>
      <c r="V62" s="377"/>
      <c r="W62" s="381"/>
      <c r="X62" s="381"/>
      <c r="Y62" s="381"/>
      <c r="Z62" s="380"/>
      <c r="AA62" s="377"/>
      <c r="AB62" s="381"/>
      <c r="AC62" s="381"/>
      <c r="AD62" s="381"/>
      <c r="AE62" s="380"/>
      <c r="AF62" s="379"/>
      <c r="AG62" s="381"/>
      <c r="AH62" s="381"/>
      <c r="AI62" s="385"/>
      <c r="AJ62" s="386"/>
      <c r="AK62" s="387" t="s">
        <v>1017</v>
      </c>
    </row>
    <row r="63" spans="2:37" s="372" customFormat="1">
      <c r="B63" s="388">
        <v>18</v>
      </c>
      <c r="C63" s="374"/>
      <c r="D63" s="375" t="s">
        <v>1018</v>
      </c>
      <c r="E63" s="375"/>
      <c r="F63" s="375" t="s">
        <v>994</v>
      </c>
      <c r="G63" s="376" t="s">
        <v>193</v>
      </c>
      <c r="H63" s="376"/>
      <c r="I63" s="376">
        <v>11.3</v>
      </c>
      <c r="J63" s="377">
        <v>2.5</v>
      </c>
      <c r="K63" s="378">
        <f t="shared" si="9"/>
        <v>0.5</v>
      </c>
      <c r="L63" s="377"/>
      <c r="M63" s="379"/>
      <c r="N63" s="379"/>
      <c r="O63" s="379">
        <v>1</v>
      </c>
      <c r="P63" s="380">
        <v>1</v>
      </c>
      <c r="Q63" s="379">
        <v>0.5</v>
      </c>
      <c r="R63" s="381">
        <v>0</v>
      </c>
      <c r="S63" s="381">
        <v>0</v>
      </c>
      <c r="T63" s="381">
        <v>0</v>
      </c>
      <c r="U63" s="380">
        <v>0</v>
      </c>
      <c r="V63" s="377"/>
      <c r="W63" s="381"/>
      <c r="X63" s="381"/>
      <c r="Y63" s="381"/>
      <c r="Z63" s="380"/>
      <c r="AA63" s="377"/>
      <c r="AB63" s="381"/>
      <c r="AC63" s="381"/>
      <c r="AD63" s="381"/>
      <c r="AE63" s="380"/>
      <c r="AF63" s="379"/>
      <c r="AG63" s="381"/>
      <c r="AH63" s="381"/>
      <c r="AI63" s="385"/>
      <c r="AJ63" s="386"/>
      <c r="AK63" s="387" t="s">
        <v>1019</v>
      </c>
    </row>
    <row r="64" spans="2:37" s="372" customFormat="1">
      <c r="B64" s="388">
        <v>19</v>
      </c>
      <c r="C64" s="374"/>
      <c r="D64" s="375" t="s">
        <v>1018</v>
      </c>
      <c r="E64" s="375"/>
      <c r="F64" s="375" t="s">
        <v>1001</v>
      </c>
      <c r="G64" s="376" t="s">
        <v>193</v>
      </c>
      <c r="H64" s="376"/>
      <c r="I64" s="376">
        <v>14.5</v>
      </c>
      <c r="J64" s="377">
        <v>2</v>
      </c>
      <c r="K64" s="378">
        <f t="shared" si="9"/>
        <v>1.5</v>
      </c>
      <c r="L64" s="377"/>
      <c r="M64" s="379"/>
      <c r="N64" s="379"/>
      <c r="O64" s="379"/>
      <c r="P64" s="380">
        <v>0.5</v>
      </c>
      <c r="Q64" s="379">
        <v>1.5</v>
      </c>
      <c r="R64" s="381">
        <v>0</v>
      </c>
      <c r="S64" s="381">
        <v>0</v>
      </c>
      <c r="T64" s="381">
        <v>0</v>
      </c>
      <c r="U64" s="380">
        <v>0</v>
      </c>
      <c r="V64" s="377"/>
      <c r="W64" s="381"/>
      <c r="X64" s="381"/>
      <c r="Y64" s="381"/>
      <c r="Z64" s="380"/>
      <c r="AA64" s="377"/>
      <c r="AB64" s="381"/>
      <c r="AC64" s="381"/>
      <c r="AD64" s="381"/>
      <c r="AE64" s="380"/>
      <c r="AF64" s="379"/>
      <c r="AG64" s="381"/>
      <c r="AH64" s="381"/>
      <c r="AI64" s="385"/>
      <c r="AJ64" s="386"/>
      <c r="AK64" s="387" t="s">
        <v>1020</v>
      </c>
    </row>
    <row r="65" spans="2:37" s="372" customFormat="1">
      <c r="B65" s="388">
        <v>20</v>
      </c>
      <c r="C65" s="374"/>
      <c r="D65" s="375" t="s">
        <v>1021</v>
      </c>
      <c r="E65" s="375"/>
      <c r="F65" s="375" t="s">
        <v>996</v>
      </c>
      <c r="G65" s="376" t="s">
        <v>194</v>
      </c>
      <c r="H65" s="376"/>
      <c r="I65" s="376">
        <v>11</v>
      </c>
      <c r="J65" s="377">
        <v>1</v>
      </c>
      <c r="K65" s="378">
        <f t="shared" si="9"/>
        <v>1</v>
      </c>
      <c r="L65" s="377"/>
      <c r="M65" s="379"/>
      <c r="N65" s="379"/>
      <c r="O65" s="379"/>
      <c r="P65" s="380"/>
      <c r="Q65" s="379">
        <v>0</v>
      </c>
      <c r="R65" s="381">
        <v>1</v>
      </c>
      <c r="S65" s="381">
        <v>0</v>
      </c>
      <c r="T65" s="381">
        <v>0</v>
      </c>
      <c r="U65" s="380">
        <v>0</v>
      </c>
      <c r="V65" s="377"/>
      <c r="W65" s="381"/>
      <c r="X65" s="381"/>
      <c r="Y65" s="381"/>
      <c r="Z65" s="380"/>
      <c r="AA65" s="377"/>
      <c r="AB65" s="381"/>
      <c r="AC65" s="381"/>
      <c r="AD65" s="381"/>
      <c r="AE65" s="380"/>
      <c r="AF65" s="379"/>
      <c r="AG65" s="381"/>
      <c r="AH65" s="381"/>
      <c r="AI65" s="385"/>
      <c r="AJ65" s="386"/>
      <c r="AK65" s="387" t="s">
        <v>1022</v>
      </c>
    </row>
    <row r="66" spans="2:37" s="372" customFormat="1">
      <c r="B66" s="388">
        <v>21</v>
      </c>
      <c r="C66" s="374"/>
      <c r="D66" s="375" t="s">
        <v>1021</v>
      </c>
      <c r="E66" s="375"/>
      <c r="F66" s="375" t="s">
        <v>994</v>
      </c>
      <c r="G66" s="376" t="s">
        <v>196</v>
      </c>
      <c r="H66" s="376"/>
      <c r="I66" s="376">
        <v>40</v>
      </c>
      <c r="J66" s="377">
        <v>1</v>
      </c>
      <c r="K66" s="378">
        <f t="shared" si="9"/>
        <v>1</v>
      </c>
      <c r="L66" s="377"/>
      <c r="M66" s="379"/>
      <c r="N66" s="379"/>
      <c r="O66" s="379"/>
      <c r="P66" s="380"/>
      <c r="Q66" s="379">
        <v>0</v>
      </c>
      <c r="R66" s="381">
        <v>0</v>
      </c>
      <c r="S66" s="381">
        <v>0</v>
      </c>
      <c r="T66" s="381">
        <v>0</v>
      </c>
      <c r="U66" s="380">
        <v>1</v>
      </c>
      <c r="V66" s="377"/>
      <c r="W66" s="381"/>
      <c r="X66" s="381"/>
      <c r="Y66" s="381"/>
      <c r="Z66" s="380"/>
      <c r="AA66" s="377"/>
      <c r="AB66" s="381"/>
      <c r="AC66" s="381"/>
      <c r="AD66" s="381"/>
      <c r="AE66" s="380"/>
      <c r="AF66" s="379"/>
      <c r="AG66" s="381"/>
      <c r="AH66" s="381"/>
      <c r="AI66" s="385"/>
      <c r="AJ66" s="386"/>
      <c r="AK66" s="387" t="s">
        <v>1023</v>
      </c>
    </row>
    <row r="67" spans="2:37" s="372" customFormat="1">
      <c r="B67" s="388">
        <v>22</v>
      </c>
      <c r="C67" s="374"/>
      <c r="D67" s="375" t="s">
        <v>1021</v>
      </c>
      <c r="E67" s="375"/>
      <c r="F67" s="375" t="s">
        <v>996</v>
      </c>
      <c r="G67" s="376" t="s">
        <v>197</v>
      </c>
      <c r="H67" s="376"/>
      <c r="I67" s="376">
        <v>40</v>
      </c>
      <c r="J67" s="377">
        <v>1</v>
      </c>
      <c r="K67" s="378">
        <f t="shared" si="9"/>
        <v>1</v>
      </c>
      <c r="L67" s="377"/>
      <c r="M67" s="379"/>
      <c r="N67" s="379"/>
      <c r="O67" s="379"/>
      <c r="P67" s="380"/>
      <c r="Q67" s="379">
        <v>0</v>
      </c>
      <c r="R67" s="381">
        <v>0</v>
      </c>
      <c r="S67" s="381">
        <v>0</v>
      </c>
      <c r="T67" s="381">
        <v>1</v>
      </c>
      <c r="U67" s="380">
        <v>0</v>
      </c>
      <c r="V67" s="377"/>
      <c r="W67" s="381"/>
      <c r="X67" s="381"/>
      <c r="Y67" s="381"/>
      <c r="Z67" s="380"/>
      <c r="AA67" s="377"/>
      <c r="AB67" s="381"/>
      <c r="AC67" s="381"/>
      <c r="AD67" s="381"/>
      <c r="AE67" s="380"/>
      <c r="AF67" s="379"/>
      <c r="AG67" s="381"/>
      <c r="AH67" s="381"/>
      <c r="AI67" s="385"/>
      <c r="AJ67" s="386"/>
      <c r="AK67" s="387" t="s">
        <v>1023</v>
      </c>
    </row>
    <row r="68" spans="2:37" s="372" customFormat="1">
      <c r="B68" s="388">
        <v>23</v>
      </c>
      <c r="C68" s="374"/>
      <c r="D68" s="375" t="s">
        <v>1018</v>
      </c>
      <c r="E68" s="375"/>
      <c r="F68" s="375" t="s">
        <v>994</v>
      </c>
      <c r="G68" s="376" t="s">
        <v>197</v>
      </c>
      <c r="H68" s="376"/>
      <c r="I68" s="376">
        <v>30</v>
      </c>
      <c r="J68" s="377">
        <v>1.2</v>
      </c>
      <c r="K68" s="378">
        <f t="shared" si="9"/>
        <v>1.2</v>
      </c>
      <c r="L68" s="377"/>
      <c r="M68" s="379"/>
      <c r="N68" s="379"/>
      <c r="O68" s="379"/>
      <c r="P68" s="380"/>
      <c r="Q68" s="379">
        <v>0</v>
      </c>
      <c r="R68" s="381">
        <v>0</v>
      </c>
      <c r="S68" s="381">
        <v>0</v>
      </c>
      <c r="T68" s="381">
        <v>0</v>
      </c>
      <c r="U68" s="380">
        <v>1.2</v>
      </c>
      <c r="V68" s="377"/>
      <c r="W68" s="381"/>
      <c r="X68" s="381"/>
      <c r="Y68" s="381"/>
      <c r="Z68" s="380"/>
      <c r="AA68" s="377"/>
      <c r="AB68" s="381"/>
      <c r="AC68" s="381"/>
      <c r="AD68" s="381"/>
      <c r="AE68" s="380"/>
      <c r="AF68" s="379"/>
      <c r="AG68" s="381"/>
      <c r="AH68" s="381"/>
      <c r="AI68" s="385"/>
      <c r="AJ68" s="386"/>
      <c r="AK68" s="387" t="s">
        <v>1024</v>
      </c>
    </row>
    <row r="69" spans="2:37" s="372" customFormat="1">
      <c r="B69" s="388">
        <v>24</v>
      </c>
      <c r="C69" s="374"/>
      <c r="D69" s="389">
        <v>132</v>
      </c>
      <c r="E69" s="375"/>
      <c r="F69" s="389" t="s">
        <v>47</v>
      </c>
      <c r="G69" s="390" t="s">
        <v>47</v>
      </c>
      <c r="H69" s="376"/>
      <c r="I69" s="390" t="s">
        <v>47</v>
      </c>
      <c r="J69" s="391">
        <v>0.6</v>
      </c>
      <c r="K69" s="378">
        <f t="shared" si="9"/>
        <v>0.6</v>
      </c>
      <c r="L69" s="391"/>
      <c r="M69" s="392"/>
      <c r="N69" s="392"/>
      <c r="O69" s="392"/>
      <c r="P69" s="393"/>
      <c r="Q69" s="392">
        <v>0</v>
      </c>
      <c r="R69" s="394">
        <v>0</v>
      </c>
      <c r="S69" s="394">
        <v>0.6</v>
      </c>
      <c r="T69" s="394">
        <v>0</v>
      </c>
      <c r="U69" s="393" t="s">
        <v>47</v>
      </c>
      <c r="V69" s="377"/>
      <c r="W69" s="381"/>
      <c r="X69" s="381"/>
      <c r="Y69" s="381"/>
      <c r="Z69" s="380"/>
      <c r="AA69" s="377"/>
      <c r="AB69" s="381"/>
      <c r="AC69" s="381"/>
      <c r="AD69" s="381"/>
      <c r="AE69" s="380"/>
      <c r="AF69" s="379"/>
      <c r="AG69" s="381"/>
      <c r="AH69" s="381"/>
      <c r="AI69" s="385"/>
      <c r="AJ69" s="386"/>
      <c r="AK69" s="395" t="s">
        <v>1025</v>
      </c>
    </row>
    <row r="70" spans="2:37" s="372" customFormat="1">
      <c r="B70" s="388">
        <v>25</v>
      </c>
      <c r="C70" s="374"/>
      <c r="D70" s="375"/>
      <c r="E70" s="375"/>
      <c r="F70" s="376"/>
      <c r="G70" s="376"/>
      <c r="H70" s="376"/>
      <c r="I70" s="375"/>
      <c r="J70" s="381"/>
      <c r="K70" s="378">
        <f t="shared" si="9"/>
        <v>0</v>
      </c>
      <c r="L70" s="379"/>
      <c r="M70" s="379"/>
      <c r="N70" s="379"/>
      <c r="O70" s="379"/>
      <c r="P70" s="380"/>
      <c r="Q70" s="379"/>
      <c r="R70" s="381"/>
      <c r="S70" s="381"/>
      <c r="T70" s="381"/>
      <c r="U70" s="380"/>
      <c r="V70" s="377"/>
      <c r="W70" s="381"/>
      <c r="X70" s="381"/>
      <c r="Y70" s="381"/>
      <c r="Z70" s="380"/>
      <c r="AA70" s="377"/>
      <c r="AB70" s="381"/>
      <c r="AC70" s="381"/>
      <c r="AD70" s="381"/>
      <c r="AE70" s="380"/>
      <c r="AF70" s="379"/>
      <c r="AG70" s="381"/>
      <c r="AH70" s="381"/>
      <c r="AI70" s="385"/>
      <c r="AJ70" s="386"/>
      <c r="AK70" s="396"/>
    </row>
    <row r="71" spans="2:37" s="372" customFormat="1">
      <c r="B71" s="388">
        <v>26</v>
      </c>
      <c r="C71" s="374"/>
      <c r="D71" s="375"/>
      <c r="E71" s="375"/>
      <c r="F71" s="376"/>
      <c r="G71" s="376"/>
      <c r="H71" s="376"/>
      <c r="I71" s="375"/>
      <c r="J71" s="381"/>
      <c r="K71" s="378">
        <f t="shared" si="9"/>
        <v>0</v>
      </c>
      <c r="L71" s="379"/>
      <c r="M71" s="379"/>
      <c r="N71" s="379"/>
      <c r="O71" s="379"/>
      <c r="P71" s="380"/>
      <c r="Q71" s="379"/>
      <c r="R71" s="381"/>
      <c r="S71" s="381"/>
      <c r="T71" s="381"/>
      <c r="U71" s="380"/>
      <c r="V71" s="377"/>
      <c r="W71" s="381"/>
      <c r="X71" s="381"/>
      <c r="Y71" s="381"/>
      <c r="Z71" s="380"/>
      <c r="AA71" s="377"/>
      <c r="AB71" s="381"/>
      <c r="AC71" s="381"/>
      <c r="AD71" s="381"/>
      <c r="AE71" s="380"/>
      <c r="AF71" s="379"/>
      <c r="AG71" s="381"/>
      <c r="AH71" s="381"/>
      <c r="AI71" s="385"/>
      <c r="AJ71" s="386"/>
      <c r="AK71" s="396"/>
    </row>
    <row r="72" spans="2:37" s="372" customFormat="1">
      <c r="B72" s="388">
        <v>27</v>
      </c>
      <c r="C72" s="374"/>
      <c r="D72" s="375"/>
      <c r="E72" s="375"/>
      <c r="F72" s="376"/>
      <c r="G72" s="376"/>
      <c r="H72" s="376"/>
      <c r="I72" s="375"/>
      <c r="J72" s="381"/>
      <c r="K72" s="378">
        <f t="shared" si="9"/>
        <v>0</v>
      </c>
      <c r="L72" s="379"/>
      <c r="M72" s="379"/>
      <c r="N72" s="379"/>
      <c r="O72" s="379"/>
      <c r="P72" s="380"/>
      <c r="Q72" s="379"/>
      <c r="R72" s="381"/>
      <c r="S72" s="381"/>
      <c r="T72" s="381"/>
      <c r="U72" s="380"/>
      <c r="V72" s="377"/>
      <c r="W72" s="381"/>
      <c r="X72" s="381"/>
      <c r="Y72" s="381"/>
      <c r="Z72" s="380"/>
      <c r="AA72" s="377"/>
      <c r="AB72" s="381"/>
      <c r="AC72" s="381"/>
      <c r="AD72" s="381"/>
      <c r="AE72" s="380"/>
      <c r="AF72" s="379"/>
      <c r="AG72" s="381"/>
      <c r="AH72" s="381"/>
      <c r="AI72" s="385"/>
      <c r="AJ72" s="386"/>
      <c r="AK72" s="397"/>
    </row>
    <row r="73" spans="2:37" s="372" customFormat="1">
      <c r="B73" s="388">
        <v>28</v>
      </c>
      <c r="C73" s="374"/>
      <c r="D73" s="375"/>
      <c r="E73" s="375"/>
      <c r="F73" s="376"/>
      <c r="G73" s="376"/>
      <c r="H73" s="376"/>
      <c r="I73" s="375"/>
      <c r="J73" s="381"/>
      <c r="K73" s="378">
        <f t="shared" si="9"/>
        <v>0</v>
      </c>
      <c r="L73" s="379"/>
      <c r="M73" s="379"/>
      <c r="N73" s="379"/>
      <c r="O73" s="379"/>
      <c r="P73" s="380"/>
      <c r="Q73" s="379"/>
      <c r="R73" s="381"/>
      <c r="S73" s="381"/>
      <c r="T73" s="381"/>
      <c r="U73" s="380"/>
      <c r="V73" s="377"/>
      <c r="W73" s="381"/>
      <c r="X73" s="381"/>
      <c r="Y73" s="381"/>
      <c r="Z73" s="380"/>
      <c r="AA73" s="377"/>
      <c r="AB73" s="381"/>
      <c r="AC73" s="381"/>
      <c r="AD73" s="381"/>
      <c r="AE73" s="380"/>
      <c r="AF73" s="379"/>
      <c r="AG73" s="381"/>
      <c r="AH73" s="381"/>
      <c r="AI73" s="385"/>
      <c r="AJ73" s="386"/>
      <c r="AK73" s="396"/>
    </row>
    <row r="74" spans="2:37" s="372" customFormat="1">
      <c r="B74" s="388">
        <v>29</v>
      </c>
      <c r="C74" s="374"/>
      <c r="D74" s="375"/>
      <c r="E74" s="375"/>
      <c r="F74" s="376"/>
      <c r="G74" s="376"/>
      <c r="H74" s="376"/>
      <c r="I74" s="375"/>
      <c r="J74" s="381"/>
      <c r="K74" s="378">
        <f t="shared" si="9"/>
        <v>0</v>
      </c>
      <c r="L74" s="379"/>
      <c r="M74" s="379"/>
      <c r="N74" s="379"/>
      <c r="O74" s="379"/>
      <c r="P74" s="380"/>
      <c r="Q74" s="379"/>
      <c r="R74" s="381"/>
      <c r="S74" s="381"/>
      <c r="T74" s="381"/>
      <c r="U74" s="380"/>
      <c r="V74" s="377"/>
      <c r="W74" s="381"/>
      <c r="X74" s="381"/>
      <c r="Y74" s="381"/>
      <c r="Z74" s="380"/>
      <c r="AA74" s="377"/>
      <c r="AB74" s="381"/>
      <c r="AC74" s="381"/>
      <c r="AD74" s="381"/>
      <c r="AE74" s="380"/>
      <c r="AF74" s="379"/>
      <c r="AG74" s="381"/>
      <c r="AH74" s="381"/>
      <c r="AI74" s="385"/>
      <c r="AJ74" s="386"/>
      <c r="AK74" s="396"/>
    </row>
    <row r="75" spans="2:37" s="372" customFormat="1">
      <c r="B75" s="388">
        <v>30</v>
      </c>
      <c r="C75" s="374"/>
      <c r="D75" s="375"/>
      <c r="E75" s="375"/>
      <c r="F75" s="376"/>
      <c r="G75" s="376"/>
      <c r="H75" s="376"/>
      <c r="I75" s="375"/>
      <c r="J75" s="381"/>
      <c r="K75" s="378">
        <f t="shared" si="9"/>
        <v>0</v>
      </c>
      <c r="L75" s="379"/>
      <c r="M75" s="379"/>
      <c r="N75" s="379"/>
      <c r="O75" s="379"/>
      <c r="P75" s="380"/>
      <c r="Q75" s="379"/>
      <c r="R75" s="381"/>
      <c r="S75" s="381"/>
      <c r="T75" s="381"/>
      <c r="U75" s="380"/>
      <c r="V75" s="377"/>
      <c r="W75" s="381"/>
      <c r="X75" s="381"/>
      <c r="Y75" s="381"/>
      <c r="Z75" s="380"/>
      <c r="AA75" s="377"/>
      <c r="AB75" s="381"/>
      <c r="AC75" s="381"/>
      <c r="AD75" s="381"/>
      <c r="AE75" s="380"/>
      <c r="AF75" s="379"/>
      <c r="AG75" s="381"/>
      <c r="AH75" s="381"/>
      <c r="AI75" s="385"/>
      <c r="AJ75" s="386"/>
      <c r="AK75" s="396"/>
    </row>
    <row r="76" spans="2:37" s="372" customFormat="1">
      <c r="B76" s="388">
        <v>31</v>
      </c>
      <c r="C76" s="374"/>
      <c r="D76" s="375"/>
      <c r="E76" s="375"/>
      <c r="F76" s="376"/>
      <c r="G76" s="376"/>
      <c r="H76" s="376"/>
      <c r="I76" s="375"/>
      <c r="J76" s="381"/>
      <c r="K76" s="378">
        <f t="shared" si="9"/>
        <v>0</v>
      </c>
      <c r="L76" s="379"/>
      <c r="M76" s="379"/>
      <c r="N76" s="379"/>
      <c r="O76" s="379"/>
      <c r="P76" s="380"/>
      <c r="Q76" s="379"/>
      <c r="R76" s="381"/>
      <c r="S76" s="381"/>
      <c r="T76" s="381"/>
      <c r="U76" s="380"/>
      <c r="V76" s="377"/>
      <c r="W76" s="381"/>
      <c r="X76" s="381"/>
      <c r="Y76" s="381"/>
      <c r="Z76" s="380"/>
      <c r="AA76" s="377"/>
      <c r="AB76" s="381"/>
      <c r="AC76" s="381"/>
      <c r="AD76" s="381"/>
      <c r="AE76" s="380"/>
      <c r="AF76" s="379"/>
      <c r="AG76" s="381"/>
      <c r="AH76" s="381"/>
      <c r="AI76" s="385"/>
      <c r="AJ76" s="386"/>
      <c r="AK76" s="396"/>
    </row>
    <row r="77" spans="2:37" s="372" customFormat="1">
      <c r="B77" s="388">
        <v>32</v>
      </c>
      <c r="C77" s="374"/>
      <c r="D77" s="375"/>
      <c r="E77" s="375"/>
      <c r="F77" s="376"/>
      <c r="G77" s="376"/>
      <c r="H77" s="376"/>
      <c r="I77" s="375"/>
      <c r="J77" s="381"/>
      <c r="K77" s="378">
        <f t="shared" si="9"/>
        <v>0</v>
      </c>
      <c r="L77" s="379"/>
      <c r="M77" s="379"/>
      <c r="N77" s="379"/>
      <c r="O77" s="379"/>
      <c r="P77" s="380"/>
      <c r="Q77" s="379"/>
      <c r="R77" s="381"/>
      <c r="S77" s="381"/>
      <c r="T77" s="381"/>
      <c r="U77" s="380"/>
      <c r="V77" s="377"/>
      <c r="W77" s="381"/>
      <c r="X77" s="381"/>
      <c r="Y77" s="381"/>
      <c r="Z77" s="380"/>
      <c r="AA77" s="377"/>
      <c r="AB77" s="381"/>
      <c r="AC77" s="381"/>
      <c r="AD77" s="381"/>
      <c r="AE77" s="380"/>
      <c r="AF77" s="379"/>
      <c r="AG77" s="381"/>
      <c r="AH77" s="381"/>
      <c r="AI77" s="385"/>
      <c r="AJ77" s="386"/>
      <c r="AK77" s="396"/>
    </row>
    <row r="78" spans="2:37" s="372" customFormat="1">
      <c r="B78" s="388">
        <v>33</v>
      </c>
      <c r="C78" s="374"/>
      <c r="D78" s="375"/>
      <c r="E78" s="375"/>
      <c r="F78" s="376"/>
      <c r="G78" s="376"/>
      <c r="H78" s="376"/>
      <c r="I78" s="375"/>
      <c r="J78" s="381"/>
      <c r="K78" s="378">
        <f t="shared" si="9"/>
        <v>0</v>
      </c>
      <c r="L78" s="379"/>
      <c r="M78" s="379"/>
      <c r="N78" s="379"/>
      <c r="O78" s="379"/>
      <c r="P78" s="380"/>
      <c r="Q78" s="379"/>
      <c r="R78" s="381"/>
      <c r="S78" s="381"/>
      <c r="T78" s="381"/>
      <c r="U78" s="380"/>
      <c r="V78" s="377"/>
      <c r="W78" s="381"/>
      <c r="X78" s="381"/>
      <c r="Y78" s="381"/>
      <c r="Z78" s="380"/>
      <c r="AA78" s="377"/>
      <c r="AB78" s="381"/>
      <c r="AC78" s="381"/>
      <c r="AD78" s="381"/>
      <c r="AE78" s="380"/>
      <c r="AF78" s="379"/>
      <c r="AG78" s="381"/>
      <c r="AH78" s="381"/>
      <c r="AI78" s="385"/>
      <c r="AJ78" s="386"/>
      <c r="AK78" s="396"/>
    </row>
    <row r="79" spans="2:37" s="372" customFormat="1">
      <c r="B79" s="388">
        <v>34</v>
      </c>
      <c r="C79" s="398"/>
      <c r="D79" s="375"/>
      <c r="E79" s="375"/>
      <c r="F79" s="376"/>
      <c r="G79" s="376"/>
      <c r="H79" s="376"/>
      <c r="I79" s="375"/>
      <c r="J79" s="381"/>
      <c r="K79" s="378">
        <f t="shared" si="9"/>
        <v>0</v>
      </c>
      <c r="L79" s="379"/>
      <c r="M79" s="379"/>
      <c r="N79" s="379"/>
      <c r="O79" s="379"/>
      <c r="P79" s="380"/>
      <c r="Q79" s="379"/>
      <c r="R79" s="381"/>
      <c r="S79" s="381"/>
      <c r="T79" s="381"/>
      <c r="U79" s="380"/>
      <c r="V79" s="377"/>
      <c r="W79" s="381"/>
      <c r="X79" s="381"/>
      <c r="Y79" s="381"/>
      <c r="Z79" s="380"/>
      <c r="AA79" s="377"/>
      <c r="AB79" s="381"/>
      <c r="AC79" s="381"/>
      <c r="AD79" s="381"/>
      <c r="AE79" s="380"/>
      <c r="AF79" s="379"/>
      <c r="AG79" s="381"/>
      <c r="AH79" s="381"/>
      <c r="AI79" s="385"/>
      <c r="AJ79" s="386"/>
      <c r="AK79" s="396"/>
    </row>
    <row r="80" spans="2:37" s="372" customFormat="1" ht="13.5" thickBot="1">
      <c r="B80" s="388">
        <v>35</v>
      </c>
      <c r="C80" s="399"/>
      <c r="D80" s="389"/>
      <c r="E80" s="389"/>
      <c r="F80" s="390"/>
      <c r="G80" s="390"/>
      <c r="H80" s="390"/>
      <c r="I80" s="375"/>
      <c r="J80" s="381"/>
      <c r="K80" s="378">
        <f>SUM(Q80:U80)</f>
        <v>0</v>
      </c>
      <c r="L80" s="392"/>
      <c r="M80" s="392"/>
      <c r="N80" s="392"/>
      <c r="O80" s="392"/>
      <c r="P80" s="393"/>
      <c r="Q80" s="392"/>
      <c r="R80" s="394"/>
      <c r="S80" s="394"/>
      <c r="T80" s="394"/>
      <c r="U80" s="393"/>
      <c r="V80" s="400"/>
      <c r="W80" s="401"/>
      <c r="X80" s="401"/>
      <c r="Y80" s="401"/>
      <c r="Z80" s="402"/>
      <c r="AA80" s="400"/>
      <c r="AB80" s="401"/>
      <c r="AC80" s="401"/>
      <c r="AD80" s="401"/>
      <c r="AE80" s="402"/>
      <c r="AF80" s="379"/>
      <c r="AG80" s="381"/>
      <c r="AH80" s="381"/>
      <c r="AI80" s="385"/>
      <c r="AJ80" s="386"/>
      <c r="AK80" s="396"/>
    </row>
    <row r="81" spans="2:37" s="372" customFormat="1">
      <c r="B81" s="388">
        <v>36</v>
      </c>
      <c r="C81" s="374"/>
      <c r="D81" s="375"/>
      <c r="E81" s="375"/>
      <c r="F81" s="376"/>
      <c r="G81" s="376"/>
      <c r="H81" s="376"/>
      <c r="I81" s="375"/>
      <c r="J81" s="381"/>
      <c r="K81" s="378">
        <f t="shared" ref="K81:K98" si="10">SUM(Q81:U81)</f>
        <v>0</v>
      </c>
      <c r="L81" s="379"/>
      <c r="M81" s="379"/>
      <c r="N81" s="379"/>
      <c r="O81" s="379"/>
      <c r="P81" s="380"/>
      <c r="Q81" s="379"/>
      <c r="R81" s="381"/>
      <c r="S81" s="381"/>
      <c r="T81" s="381"/>
      <c r="U81" s="380"/>
      <c r="V81" s="377"/>
      <c r="W81" s="381"/>
      <c r="X81" s="381"/>
      <c r="Y81" s="381"/>
      <c r="Z81" s="380"/>
      <c r="AA81" s="377"/>
      <c r="AB81" s="381"/>
      <c r="AC81" s="381"/>
      <c r="AD81" s="381"/>
      <c r="AE81" s="380"/>
      <c r="AF81" s="379"/>
      <c r="AG81" s="381"/>
      <c r="AH81" s="381"/>
      <c r="AI81" s="385"/>
      <c r="AJ81" s="386"/>
      <c r="AK81" s="396"/>
    </row>
    <row r="82" spans="2:37" s="372" customFormat="1">
      <c r="B82" s="388">
        <v>37</v>
      </c>
      <c r="C82" s="374"/>
      <c r="D82" s="375"/>
      <c r="E82" s="375"/>
      <c r="F82" s="376"/>
      <c r="G82" s="376"/>
      <c r="H82" s="376"/>
      <c r="I82" s="375"/>
      <c r="J82" s="381"/>
      <c r="K82" s="378">
        <f t="shared" si="10"/>
        <v>0</v>
      </c>
      <c r="L82" s="379"/>
      <c r="M82" s="379"/>
      <c r="N82" s="379"/>
      <c r="O82" s="379"/>
      <c r="P82" s="380"/>
      <c r="Q82" s="379"/>
      <c r="R82" s="381"/>
      <c r="S82" s="381"/>
      <c r="T82" s="381"/>
      <c r="U82" s="380"/>
      <c r="V82" s="377"/>
      <c r="W82" s="381"/>
      <c r="X82" s="381"/>
      <c r="Y82" s="381"/>
      <c r="Z82" s="380"/>
      <c r="AA82" s="377"/>
      <c r="AB82" s="381"/>
      <c r="AC82" s="381"/>
      <c r="AD82" s="381"/>
      <c r="AE82" s="380"/>
      <c r="AF82" s="379"/>
      <c r="AG82" s="381"/>
      <c r="AH82" s="381"/>
      <c r="AI82" s="385"/>
      <c r="AJ82" s="386"/>
      <c r="AK82" s="396"/>
    </row>
    <row r="83" spans="2:37" s="372" customFormat="1">
      <c r="B83" s="388">
        <v>38</v>
      </c>
      <c r="C83" s="374"/>
      <c r="D83" s="375"/>
      <c r="E83" s="375"/>
      <c r="F83" s="376"/>
      <c r="G83" s="376"/>
      <c r="H83" s="376"/>
      <c r="I83" s="375"/>
      <c r="J83" s="381"/>
      <c r="K83" s="378">
        <f t="shared" si="10"/>
        <v>0</v>
      </c>
      <c r="L83" s="379"/>
      <c r="M83" s="379"/>
      <c r="N83" s="379"/>
      <c r="O83" s="379"/>
      <c r="P83" s="380"/>
      <c r="Q83" s="379"/>
      <c r="R83" s="381"/>
      <c r="S83" s="381"/>
      <c r="T83" s="381"/>
      <c r="U83" s="380"/>
      <c r="V83" s="377"/>
      <c r="W83" s="381"/>
      <c r="X83" s="381"/>
      <c r="Y83" s="381"/>
      <c r="Z83" s="380"/>
      <c r="AA83" s="377"/>
      <c r="AB83" s="381"/>
      <c r="AC83" s="381"/>
      <c r="AD83" s="381"/>
      <c r="AE83" s="380"/>
      <c r="AF83" s="379"/>
      <c r="AG83" s="381"/>
      <c r="AH83" s="381"/>
      <c r="AI83" s="385"/>
      <c r="AJ83" s="386"/>
      <c r="AK83" s="396"/>
    </row>
    <row r="84" spans="2:37" s="372" customFormat="1">
      <c r="B84" s="388">
        <v>39</v>
      </c>
      <c r="C84" s="374"/>
      <c r="D84" s="375"/>
      <c r="E84" s="375"/>
      <c r="F84" s="376"/>
      <c r="G84" s="376"/>
      <c r="H84" s="376"/>
      <c r="I84" s="375"/>
      <c r="J84" s="381"/>
      <c r="K84" s="378">
        <f t="shared" si="10"/>
        <v>0</v>
      </c>
      <c r="L84" s="379"/>
      <c r="M84" s="379"/>
      <c r="N84" s="379"/>
      <c r="O84" s="379"/>
      <c r="P84" s="380"/>
      <c r="Q84" s="379"/>
      <c r="R84" s="381"/>
      <c r="S84" s="381"/>
      <c r="T84" s="381"/>
      <c r="U84" s="380"/>
      <c r="V84" s="377"/>
      <c r="W84" s="381"/>
      <c r="X84" s="381"/>
      <c r="Y84" s="381"/>
      <c r="Z84" s="380"/>
      <c r="AA84" s="377"/>
      <c r="AB84" s="381"/>
      <c r="AC84" s="381"/>
      <c r="AD84" s="381"/>
      <c r="AE84" s="380"/>
      <c r="AF84" s="379"/>
      <c r="AG84" s="381"/>
      <c r="AH84" s="381"/>
      <c r="AI84" s="385"/>
      <c r="AJ84" s="386"/>
      <c r="AK84" s="396"/>
    </row>
    <row r="85" spans="2:37" s="372" customFormat="1">
      <c r="B85" s="388">
        <v>40</v>
      </c>
      <c r="C85" s="374"/>
      <c r="D85" s="375"/>
      <c r="E85" s="375"/>
      <c r="F85" s="376"/>
      <c r="G85" s="376"/>
      <c r="H85" s="376"/>
      <c r="I85" s="375"/>
      <c r="J85" s="381"/>
      <c r="K85" s="378">
        <f t="shared" si="10"/>
        <v>0</v>
      </c>
      <c r="L85" s="379"/>
      <c r="M85" s="379"/>
      <c r="N85" s="379"/>
      <c r="O85" s="379"/>
      <c r="P85" s="380"/>
      <c r="Q85" s="379"/>
      <c r="R85" s="381"/>
      <c r="S85" s="381"/>
      <c r="T85" s="381"/>
      <c r="U85" s="380"/>
      <c r="V85" s="377"/>
      <c r="W85" s="381"/>
      <c r="X85" s="381"/>
      <c r="Y85" s="381"/>
      <c r="Z85" s="380"/>
      <c r="AA85" s="377"/>
      <c r="AB85" s="381"/>
      <c r="AC85" s="381"/>
      <c r="AD85" s="381"/>
      <c r="AE85" s="380"/>
      <c r="AF85" s="379"/>
      <c r="AG85" s="381"/>
      <c r="AH85" s="381"/>
      <c r="AI85" s="385"/>
      <c r="AJ85" s="386"/>
      <c r="AK85" s="396"/>
    </row>
    <row r="86" spans="2:37" s="372" customFormat="1">
      <c r="B86" s="388">
        <v>41</v>
      </c>
      <c r="C86" s="374"/>
      <c r="D86" s="375"/>
      <c r="E86" s="375"/>
      <c r="F86" s="376"/>
      <c r="G86" s="376"/>
      <c r="H86" s="376"/>
      <c r="I86" s="375"/>
      <c r="J86" s="381"/>
      <c r="K86" s="378">
        <f t="shared" si="10"/>
        <v>0</v>
      </c>
      <c r="L86" s="379"/>
      <c r="M86" s="379"/>
      <c r="N86" s="379"/>
      <c r="O86" s="379"/>
      <c r="P86" s="380"/>
      <c r="Q86" s="379"/>
      <c r="R86" s="381"/>
      <c r="S86" s="381"/>
      <c r="T86" s="381"/>
      <c r="U86" s="380"/>
      <c r="V86" s="377"/>
      <c r="W86" s="381"/>
      <c r="X86" s="381"/>
      <c r="Y86" s="381"/>
      <c r="Z86" s="380"/>
      <c r="AA86" s="377"/>
      <c r="AB86" s="381"/>
      <c r="AC86" s="381"/>
      <c r="AD86" s="381"/>
      <c r="AE86" s="380"/>
      <c r="AF86" s="379"/>
      <c r="AG86" s="381"/>
      <c r="AH86" s="381"/>
      <c r="AI86" s="385"/>
      <c r="AJ86" s="386"/>
      <c r="AK86" s="396"/>
    </row>
    <row r="87" spans="2:37" s="372" customFormat="1">
      <c r="B87" s="388">
        <v>42</v>
      </c>
      <c r="C87" s="374"/>
      <c r="D87" s="375"/>
      <c r="E87" s="375"/>
      <c r="F87" s="376"/>
      <c r="G87" s="376"/>
      <c r="H87" s="376"/>
      <c r="I87" s="375"/>
      <c r="J87" s="381"/>
      <c r="K87" s="378">
        <f t="shared" si="10"/>
        <v>0</v>
      </c>
      <c r="L87" s="379"/>
      <c r="M87" s="379"/>
      <c r="N87" s="379"/>
      <c r="O87" s="379"/>
      <c r="P87" s="380"/>
      <c r="Q87" s="379"/>
      <c r="R87" s="381"/>
      <c r="S87" s="381"/>
      <c r="T87" s="381"/>
      <c r="U87" s="380"/>
      <c r="V87" s="377"/>
      <c r="W87" s="381"/>
      <c r="X87" s="381"/>
      <c r="Y87" s="381"/>
      <c r="Z87" s="380"/>
      <c r="AA87" s="377"/>
      <c r="AB87" s="381"/>
      <c r="AC87" s="381"/>
      <c r="AD87" s="381"/>
      <c r="AE87" s="380"/>
      <c r="AF87" s="379"/>
      <c r="AG87" s="381"/>
      <c r="AH87" s="381"/>
      <c r="AI87" s="385"/>
      <c r="AJ87" s="386"/>
      <c r="AK87" s="396"/>
    </row>
    <row r="88" spans="2:37" s="372" customFormat="1">
      <c r="B88" s="388">
        <v>43</v>
      </c>
      <c r="C88" s="374"/>
      <c r="D88" s="375"/>
      <c r="E88" s="375"/>
      <c r="F88" s="376"/>
      <c r="G88" s="376"/>
      <c r="H88" s="376"/>
      <c r="I88" s="375"/>
      <c r="J88" s="381"/>
      <c r="K88" s="378">
        <f t="shared" si="10"/>
        <v>0</v>
      </c>
      <c r="L88" s="379"/>
      <c r="M88" s="379"/>
      <c r="N88" s="379"/>
      <c r="O88" s="379"/>
      <c r="P88" s="380"/>
      <c r="Q88" s="379"/>
      <c r="R88" s="381"/>
      <c r="S88" s="381"/>
      <c r="T88" s="381"/>
      <c r="U88" s="380"/>
      <c r="V88" s="377"/>
      <c r="W88" s="381"/>
      <c r="X88" s="381"/>
      <c r="Y88" s="381"/>
      <c r="Z88" s="380"/>
      <c r="AA88" s="377"/>
      <c r="AB88" s="381"/>
      <c r="AC88" s="381"/>
      <c r="AD88" s="381"/>
      <c r="AE88" s="380"/>
      <c r="AF88" s="379"/>
      <c r="AG88" s="381"/>
      <c r="AH88" s="381"/>
      <c r="AI88" s="385"/>
      <c r="AJ88" s="386"/>
      <c r="AK88" s="396"/>
    </row>
    <row r="89" spans="2:37" s="372" customFormat="1">
      <c r="B89" s="388">
        <v>44</v>
      </c>
      <c r="C89" s="374"/>
      <c r="D89" s="375"/>
      <c r="E89" s="375"/>
      <c r="F89" s="376"/>
      <c r="G89" s="376"/>
      <c r="H89" s="376"/>
      <c r="I89" s="375"/>
      <c r="J89" s="381"/>
      <c r="K89" s="378">
        <f t="shared" si="10"/>
        <v>0</v>
      </c>
      <c r="L89" s="379"/>
      <c r="M89" s="379"/>
      <c r="N89" s="379"/>
      <c r="O89" s="379"/>
      <c r="P89" s="380"/>
      <c r="Q89" s="379"/>
      <c r="R89" s="381"/>
      <c r="S89" s="381"/>
      <c r="T89" s="381"/>
      <c r="U89" s="380"/>
      <c r="V89" s="377"/>
      <c r="W89" s="381"/>
      <c r="X89" s="381"/>
      <c r="Y89" s="381"/>
      <c r="Z89" s="380"/>
      <c r="AA89" s="377"/>
      <c r="AB89" s="381"/>
      <c r="AC89" s="381"/>
      <c r="AD89" s="381"/>
      <c r="AE89" s="380"/>
      <c r="AF89" s="379"/>
      <c r="AG89" s="381"/>
      <c r="AH89" s="381"/>
      <c r="AI89" s="385"/>
      <c r="AJ89" s="386"/>
      <c r="AK89" s="396"/>
    </row>
    <row r="90" spans="2:37" s="372" customFormat="1">
      <c r="B90" s="388">
        <v>45</v>
      </c>
      <c r="C90" s="374"/>
      <c r="D90" s="375"/>
      <c r="E90" s="375"/>
      <c r="F90" s="376"/>
      <c r="G90" s="376"/>
      <c r="H90" s="376"/>
      <c r="I90" s="375"/>
      <c r="J90" s="381"/>
      <c r="K90" s="378">
        <f t="shared" si="10"/>
        <v>0</v>
      </c>
      <c r="L90" s="379"/>
      <c r="M90" s="379"/>
      <c r="N90" s="379"/>
      <c r="O90" s="379"/>
      <c r="P90" s="380"/>
      <c r="Q90" s="379"/>
      <c r="R90" s="381"/>
      <c r="S90" s="381"/>
      <c r="T90" s="381"/>
      <c r="U90" s="380"/>
      <c r="V90" s="377"/>
      <c r="W90" s="381"/>
      <c r="X90" s="381"/>
      <c r="Y90" s="381"/>
      <c r="Z90" s="380"/>
      <c r="AA90" s="377"/>
      <c r="AB90" s="381"/>
      <c r="AC90" s="381"/>
      <c r="AD90" s="381"/>
      <c r="AE90" s="380"/>
      <c r="AF90" s="379"/>
      <c r="AG90" s="381"/>
      <c r="AH90" s="381"/>
      <c r="AI90" s="385"/>
      <c r="AJ90" s="386"/>
      <c r="AK90" s="396"/>
    </row>
    <row r="91" spans="2:37" s="372" customFormat="1">
      <c r="B91" s="388">
        <v>46</v>
      </c>
      <c r="C91" s="374"/>
      <c r="D91" s="375"/>
      <c r="E91" s="375"/>
      <c r="F91" s="376"/>
      <c r="G91" s="376"/>
      <c r="H91" s="376"/>
      <c r="I91" s="375"/>
      <c r="J91" s="381"/>
      <c r="K91" s="378">
        <f t="shared" si="10"/>
        <v>0</v>
      </c>
      <c r="L91" s="379"/>
      <c r="M91" s="379"/>
      <c r="N91" s="379"/>
      <c r="O91" s="379"/>
      <c r="P91" s="380"/>
      <c r="Q91" s="379"/>
      <c r="R91" s="381"/>
      <c r="S91" s="381"/>
      <c r="T91" s="381"/>
      <c r="U91" s="380"/>
      <c r="V91" s="377"/>
      <c r="W91" s="381"/>
      <c r="X91" s="381"/>
      <c r="Y91" s="381"/>
      <c r="Z91" s="380"/>
      <c r="AA91" s="377"/>
      <c r="AB91" s="381"/>
      <c r="AC91" s="381"/>
      <c r="AD91" s="381"/>
      <c r="AE91" s="380"/>
      <c r="AF91" s="379"/>
      <c r="AG91" s="381"/>
      <c r="AH91" s="381"/>
      <c r="AI91" s="385"/>
      <c r="AJ91" s="386"/>
      <c r="AK91" s="397"/>
    </row>
    <row r="92" spans="2:37">
      <c r="B92" s="388">
        <v>47</v>
      </c>
      <c r="C92" s="374"/>
      <c r="D92" s="375"/>
      <c r="E92" s="375"/>
      <c r="F92" s="376"/>
      <c r="G92" s="376"/>
      <c r="H92" s="376"/>
      <c r="I92" s="375"/>
      <c r="J92" s="381"/>
      <c r="K92" s="378">
        <f t="shared" si="10"/>
        <v>0</v>
      </c>
      <c r="L92" s="379"/>
      <c r="M92" s="379"/>
      <c r="N92" s="379"/>
      <c r="O92" s="379"/>
      <c r="P92" s="380"/>
      <c r="Q92" s="379"/>
      <c r="R92" s="381"/>
      <c r="S92" s="381"/>
      <c r="T92" s="381"/>
      <c r="U92" s="380"/>
      <c r="V92" s="377"/>
      <c r="W92" s="381"/>
      <c r="X92" s="381"/>
      <c r="Y92" s="381"/>
      <c r="Z92" s="380"/>
      <c r="AA92" s="377"/>
      <c r="AB92" s="381"/>
      <c r="AC92" s="381"/>
      <c r="AD92" s="381"/>
      <c r="AE92" s="380"/>
      <c r="AF92" s="379"/>
      <c r="AG92" s="381"/>
      <c r="AH92" s="381"/>
      <c r="AI92" s="385"/>
      <c r="AJ92" s="386"/>
      <c r="AK92" s="396"/>
    </row>
    <row r="93" spans="2:37">
      <c r="B93" s="388">
        <v>48</v>
      </c>
      <c r="C93" s="374"/>
      <c r="D93" s="375"/>
      <c r="E93" s="375"/>
      <c r="F93" s="376"/>
      <c r="G93" s="376"/>
      <c r="H93" s="376"/>
      <c r="I93" s="375"/>
      <c r="J93" s="381"/>
      <c r="K93" s="378">
        <f t="shared" si="10"/>
        <v>0</v>
      </c>
      <c r="L93" s="379"/>
      <c r="M93" s="379"/>
      <c r="N93" s="379"/>
      <c r="O93" s="379"/>
      <c r="P93" s="380"/>
      <c r="Q93" s="379"/>
      <c r="R93" s="381"/>
      <c r="S93" s="381"/>
      <c r="T93" s="381"/>
      <c r="U93" s="380"/>
      <c r="V93" s="377"/>
      <c r="W93" s="381"/>
      <c r="X93" s="381"/>
      <c r="Y93" s="381"/>
      <c r="Z93" s="380"/>
      <c r="AA93" s="377"/>
      <c r="AB93" s="381"/>
      <c r="AC93" s="381"/>
      <c r="AD93" s="381"/>
      <c r="AE93" s="380"/>
      <c r="AF93" s="379"/>
      <c r="AG93" s="381"/>
      <c r="AH93" s="381"/>
      <c r="AI93" s="385"/>
      <c r="AJ93" s="386"/>
      <c r="AK93" s="396"/>
    </row>
    <row r="94" spans="2:37">
      <c r="B94" s="388">
        <v>49</v>
      </c>
      <c r="C94" s="374"/>
      <c r="D94" s="375"/>
      <c r="E94" s="375"/>
      <c r="F94" s="376"/>
      <c r="G94" s="376"/>
      <c r="H94" s="376"/>
      <c r="I94" s="375"/>
      <c r="J94" s="381"/>
      <c r="K94" s="378">
        <f t="shared" si="10"/>
        <v>0</v>
      </c>
      <c r="L94" s="379"/>
      <c r="M94" s="379"/>
      <c r="N94" s="379"/>
      <c r="O94" s="379"/>
      <c r="P94" s="380"/>
      <c r="Q94" s="379"/>
      <c r="R94" s="381"/>
      <c r="S94" s="381"/>
      <c r="T94" s="381"/>
      <c r="U94" s="380"/>
      <c r="V94" s="377"/>
      <c r="W94" s="381"/>
      <c r="X94" s="381"/>
      <c r="Y94" s="381"/>
      <c r="Z94" s="380"/>
      <c r="AA94" s="377"/>
      <c r="AB94" s="381"/>
      <c r="AC94" s="381"/>
      <c r="AD94" s="381"/>
      <c r="AE94" s="380"/>
      <c r="AF94" s="379"/>
      <c r="AG94" s="381"/>
      <c r="AH94" s="381"/>
      <c r="AI94" s="385"/>
      <c r="AJ94" s="386"/>
      <c r="AK94" s="396"/>
    </row>
    <row r="95" spans="2:37">
      <c r="B95" s="388">
        <v>50</v>
      </c>
      <c r="C95" s="374"/>
      <c r="D95" s="375"/>
      <c r="E95" s="375"/>
      <c r="F95" s="376"/>
      <c r="G95" s="376"/>
      <c r="H95" s="376"/>
      <c r="I95" s="375"/>
      <c r="J95" s="381"/>
      <c r="K95" s="378">
        <f t="shared" si="10"/>
        <v>0</v>
      </c>
      <c r="L95" s="379"/>
      <c r="M95" s="379"/>
      <c r="N95" s="379"/>
      <c r="O95" s="379"/>
      <c r="P95" s="380"/>
      <c r="Q95" s="379"/>
      <c r="R95" s="381"/>
      <c r="S95" s="381"/>
      <c r="T95" s="381"/>
      <c r="U95" s="380"/>
      <c r="V95" s="377"/>
      <c r="W95" s="381"/>
      <c r="X95" s="381"/>
      <c r="Y95" s="381"/>
      <c r="Z95" s="380"/>
      <c r="AA95" s="377"/>
      <c r="AB95" s="381"/>
      <c r="AC95" s="381"/>
      <c r="AD95" s="381"/>
      <c r="AE95" s="380"/>
      <c r="AF95" s="379"/>
      <c r="AG95" s="381"/>
      <c r="AH95" s="381"/>
      <c r="AI95" s="385"/>
      <c r="AJ95" s="386"/>
      <c r="AK95" s="396"/>
    </row>
    <row r="96" spans="2:37">
      <c r="B96" s="388">
        <v>51</v>
      </c>
      <c r="C96" s="374"/>
      <c r="D96" s="375"/>
      <c r="E96" s="375"/>
      <c r="F96" s="376"/>
      <c r="G96" s="376"/>
      <c r="H96" s="376"/>
      <c r="I96" s="375"/>
      <c r="J96" s="381"/>
      <c r="K96" s="378">
        <f t="shared" si="10"/>
        <v>0</v>
      </c>
      <c r="L96" s="379"/>
      <c r="M96" s="379"/>
      <c r="N96" s="379"/>
      <c r="O96" s="379"/>
      <c r="P96" s="380"/>
      <c r="Q96" s="379"/>
      <c r="R96" s="381"/>
      <c r="S96" s="381"/>
      <c r="T96" s="381"/>
      <c r="U96" s="380"/>
      <c r="V96" s="377"/>
      <c r="W96" s="381"/>
      <c r="X96" s="381"/>
      <c r="Y96" s="381"/>
      <c r="Z96" s="380"/>
      <c r="AA96" s="377"/>
      <c r="AB96" s="381"/>
      <c r="AC96" s="381"/>
      <c r="AD96" s="381"/>
      <c r="AE96" s="380"/>
      <c r="AF96" s="379"/>
      <c r="AG96" s="381"/>
      <c r="AH96" s="381"/>
      <c r="AI96" s="385"/>
      <c r="AJ96" s="386"/>
      <c r="AK96" s="396"/>
    </row>
    <row r="97" spans="2:37">
      <c r="B97" s="388">
        <v>52</v>
      </c>
      <c r="C97" s="374"/>
      <c r="D97" s="375"/>
      <c r="E97" s="375"/>
      <c r="F97" s="376"/>
      <c r="G97" s="376"/>
      <c r="H97" s="376"/>
      <c r="I97" s="375"/>
      <c r="J97" s="381"/>
      <c r="K97" s="378">
        <f t="shared" si="10"/>
        <v>0</v>
      </c>
      <c r="L97" s="379"/>
      <c r="M97" s="379"/>
      <c r="N97" s="379"/>
      <c r="O97" s="379"/>
      <c r="P97" s="380"/>
      <c r="Q97" s="379"/>
      <c r="R97" s="381"/>
      <c r="S97" s="381"/>
      <c r="T97" s="381"/>
      <c r="U97" s="380"/>
      <c r="V97" s="377"/>
      <c r="W97" s="381"/>
      <c r="X97" s="381"/>
      <c r="Y97" s="381"/>
      <c r="Z97" s="380"/>
      <c r="AA97" s="377"/>
      <c r="AB97" s="381"/>
      <c r="AC97" s="381"/>
      <c r="AD97" s="381"/>
      <c r="AE97" s="380"/>
      <c r="AF97" s="379"/>
      <c r="AG97" s="381"/>
      <c r="AH97" s="381"/>
      <c r="AI97" s="385"/>
      <c r="AJ97" s="386"/>
      <c r="AK97" s="396"/>
    </row>
    <row r="98" spans="2:37">
      <c r="B98" s="388">
        <v>53</v>
      </c>
      <c r="C98" s="374"/>
      <c r="D98" s="375"/>
      <c r="E98" s="375"/>
      <c r="F98" s="376"/>
      <c r="G98" s="376"/>
      <c r="H98" s="376"/>
      <c r="I98" s="375"/>
      <c r="J98" s="381"/>
      <c r="K98" s="378">
        <f t="shared" si="10"/>
        <v>0</v>
      </c>
      <c r="L98" s="379"/>
      <c r="M98" s="379"/>
      <c r="N98" s="379"/>
      <c r="O98" s="379"/>
      <c r="P98" s="380"/>
      <c r="Q98" s="379"/>
      <c r="R98" s="381"/>
      <c r="S98" s="381"/>
      <c r="T98" s="381"/>
      <c r="U98" s="380"/>
      <c r="V98" s="377"/>
      <c r="W98" s="381"/>
      <c r="X98" s="381"/>
      <c r="Y98" s="381"/>
      <c r="Z98" s="380"/>
      <c r="AA98" s="377"/>
      <c r="AB98" s="381"/>
      <c r="AC98" s="381"/>
      <c r="AD98" s="381"/>
      <c r="AE98" s="380"/>
      <c r="AF98" s="379"/>
      <c r="AG98" s="381"/>
      <c r="AH98" s="381"/>
      <c r="AI98" s="385"/>
      <c r="AJ98" s="386"/>
      <c r="AK98" s="396"/>
    </row>
    <row r="99" spans="2:37" s="372" customFormat="1" ht="13.5" thickBot="1">
      <c r="B99" s="403"/>
      <c r="C99" s="404" t="s">
        <v>200</v>
      </c>
      <c r="D99" s="405"/>
      <c r="E99" s="405"/>
      <c r="F99" s="405"/>
      <c r="G99" s="405"/>
      <c r="H99" s="405"/>
      <c r="I99" s="406">
        <f t="shared" ref="I99:U99" si="11">SUM(I46:I98)</f>
        <v>319.7</v>
      </c>
      <c r="J99" s="407">
        <f t="shared" si="11"/>
        <v>24.2</v>
      </c>
      <c r="K99" s="408">
        <f t="shared" si="11"/>
        <v>21.7</v>
      </c>
      <c r="L99" s="409">
        <f t="shared" si="11"/>
        <v>0</v>
      </c>
      <c r="M99" s="410">
        <f t="shared" si="11"/>
        <v>0</v>
      </c>
      <c r="N99" s="410">
        <f t="shared" si="11"/>
        <v>0</v>
      </c>
      <c r="O99" s="410">
        <f t="shared" si="11"/>
        <v>1</v>
      </c>
      <c r="P99" s="411">
        <f t="shared" si="11"/>
        <v>1.5</v>
      </c>
      <c r="Q99" s="412">
        <f t="shared" si="11"/>
        <v>4.8</v>
      </c>
      <c r="R99" s="410">
        <f t="shared" si="11"/>
        <v>4.2000000000000011</v>
      </c>
      <c r="S99" s="413">
        <f t="shared" si="11"/>
        <v>4.3</v>
      </c>
      <c r="T99" s="413">
        <f t="shared" si="11"/>
        <v>3.9</v>
      </c>
      <c r="U99" s="411">
        <f t="shared" si="11"/>
        <v>4.5</v>
      </c>
      <c r="V99" s="414">
        <f>SUM(V46:V98)</f>
        <v>0</v>
      </c>
      <c r="W99" s="414">
        <f t="shared" ref="W99:AH99" si="12">SUM(W46:W98)</f>
        <v>0</v>
      </c>
      <c r="X99" s="414">
        <f t="shared" si="12"/>
        <v>0</v>
      </c>
      <c r="Y99" s="414">
        <f t="shared" si="12"/>
        <v>0</v>
      </c>
      <c r="Z99" s="414">
        <f t="shared" si="12"/>
        <v>0</v>
      </c>
      <c r="AA99" s="414">
        <f t="shared" si="12"/>
        <v>0</v>
      </c>
      <c r="AB99" s="414">
        <f t="shared" si="12"/>
        <v>0</v>
      </c>
      <c r="AC99" s="414">
        <f t="shared" si="12"/>
        <v>0</v>
      </c>
      <c r="AD99" s="414">
        <f t="shared" si="12"/>
        <v>0</v>
      </c>
      <c r="AE99" s="414">
        <f t="shared" si="12"/>
        <v>0</v>
      </c>
      <c r="AF99" s="414">
        <f t="shared" si="12"/>
        <v>0</v>
      </c>
      <c r="AG99" s="414">
        <f t="shared" si="12"/>
        <v>0</v>
      </c>
      <c r="AH99" s="414">
        <f t="shared" si="12"/>
        <v>0</v>
      </c>
      <c r="AI99" s="415"/>
      <c r="AJ99" s="416"/>
      <c r="AK99" s="417"/>
    </row>
    <row r="100" spans="2:37" s="372" customFormat="1"/>
    <row r="101" spans="2:37" s="372" customFormat="1"/>
    <row r="102" spans="2:37" s="372" customFormat="1"/>
    <row r="103" spans="2:37" s="372" customFormat="1"/>
    <row r="104" spans="2:37" s="372" customFormat="1"/>
    <row r="105" spans="2:37" s="372" customFormat="1"/>
    <row r="106" spans="2:37" s="372" customFormat="1"/>
    <row r="107" spans="2:37" s="372" customFormat="1"/>
    <row r="108" spans="2:37" s="372" customFormat="1"/>
    <row r="109" spans="2:37" s="372" customFormat="1"/>
    <row r="110" spans="2:37" ht="15.75" customHeight="1"/>
    <row r="111" spans="2:37" ht="15.75" customHeight="1"/>
    <row r="112" spans="2:37" ht="15.75" customHeight="1"/>
    <row r="113" ht="15.75" customHeight="1"/>
    <row r="114" ht="15.75" customHeight="1"/>
    <row r="115" ht="15.75" customHeight="1"/>
    <row r="116" ht="15.75" customHeight="1"/>
  </sheetData>
  <mergeCells count="9">
    <mergeCell ref="V43:AI43"/>
    <mergeCell ref="AJ43:AJ44"/>
    <mergeCell ref="V44:AE44"/>
    <mergeCell ref="S7:T7"/>
    <mergeCell ref="C24:C25"/>
    <mergeCell ref="C32:C33"/>
    <mergeCell ref="C43:K43"/>
    <mergeCell ref="L43:P43"/>
    <mergeCell ref="Q43:U43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12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5FFFF"/>
    <pageSetUpPr fitToPage="1"/>
  </sheetPr>
  <dimension ref="A1:S33"/>
  <sheetViews>
    <sheetView workbookViewId="0">
      <selection sqref="A1:XFD1048576"/>
    </sheetView>
  </sheetViews>
  <sheetFormatPr defaultColWidth="8.85546875" defaultRowHeight="12.75"/>
  <cols>
    <col min="1" max="1" width="5.5703125" style="52" customWidth="1"/>
    <col min="2" max="2" width="18.140625" style="52" customWidth="1"/>
    <col min="3" max="3" width="15.7109375" style="52" customWidth="1"/>
    <col min="4" max="18" width="8.85546875" style="52"/>
    <col min="19" max="19" width="10.7109375" style="52" customWidth="1"/>
    <col min="20" max="16384" width="8.85546875" style="52"/>
  </cols>
  <sheetData>
    <row r="1" spans="1:19">
      <c r="A1" s="418" t="s">
        <v>74</v>
      </c>
      <c r="F1" s="103" t="s">
        <v>985</v>
      </c>
    </row>
    <row r="2" spans="1:19">
      <c r="A2" s="418"/>
    </row>
    <row r="3" spans="1:19">
      <c r="A3" s="418" t="s">
        <v>398</v>
      </c>
    </row>
    <row r="6" spans="1:19">
      <c r="B6" s="281" t="s">
        <v>399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</row>
    <row r="7" spans="1:19" ht="13.5" thickBot="1"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</row>
    <row r="8" spans="1:19" ht="15" customHeight="1">
      <c r="B8" s="1243"/>
      <c r="C8" s="1244"/>
      <c r="D8" s="419" t="s">
        <v>400</v>
      </c>
      <c r="E8" s="420"/>
      <c r="F8" s="421"/>
      <c r="G8" s="419" t="s">
        <v>401</v>
      </c>
      <c r="H8" s="420"/>
      <c r="I8" s="421"/>
      <c r="J8" s="317"/>
      <c r="K8" s="317"/>
      <c r="L8" s="317"/>
      <c r="M8" s="317"/>
      <c r="N8" s="317"/>
      <c r="O8" s="317"/>
      <c r="P8" s="317"/>
      <c r="Q8" s="317"/>
      <c r="R8" s="317"/>
      <c r="S8" s="317"/>
    </row>
    <row r="9" spans="1:19" ht="15" customHeight="1">
      <c r="B9" s="1245"/>
      <c r="C9" s="1246"/>
      <c r="D9" s="422" t="s">
        <v>402</v>
      </c>
      <c r="E9" s="423" t="s">
        <v>403</v>
      </c>
      <c r="F9" s="424" t="s">
        <v>223</v>
      </c>
      <c r="G9" s="422" t="s">
        <v>402</v>
      </c>
      <c r="H9" s="423" t="s">
        <v>403</v>
      </c>
      <c r="I9" s="424" t="s">
        <v>223</v>
      </c>
      <c r="J9" s="317"/>
      <c r="K9" s="317"/>
      <c r="L9" s="317"/>
      <c r="M9" s="317"/>
      <c r="N9" s="317"/>
      <c r="O9" s="317"/>
      <c r="P9" s="317"/>
      <c r="Q9" s="317"/>
      <c r="R9" s="317"/>
      <c r="S9" s="317"/>
    </row>
    <row r="10" spans="1:19" ht="15" customHeight="1">
      <c r="B10" s="1236" t="s">
        <v>404</v>
      </c>
      <c r="C10" s="1237"/>
      <c r="D10" s="425">
        <v>127</v>
      </c>
      <c r="E10" s="426">
        <v>172</v>
      </c>
      <c r="F10" s="427">
        <v>207</v>
      </c>
      <c r="G10" s="425">
        <v>127</v>
      </c>
      <c r="H10" s="426">
        <v>172</v>
      </c>
      <c r="I10" s="427">
        <v>207</v>
      </c>
      <c r="J10" s="317"/>
      <c r="K10" s="317"/>
      <c r="L10" s="317"/>
      <c r="M10" s="317"/>
      <c r="N10" s="317"/>
      <c r="O10" s="317"/>
      <c r="P10" s="317"/>
      <c r="Q10" s="317"/>
      <c r="R10" s="317"/>
      <c r="S10" s="317"/>
    </row>
    <row r="11" spans="1:19" ht="27" customHeight="1">
      <c r="B11" s="1247" t="s">
        <v>405</v>
      </c>
      <c r="C11" s="1248"/>
      <c r="D11" s="428">
        <v>4</v>
      </c>
      <c r="E11" s="429">
        <v>9</v>
      </c>
      <c r="F11" s="430">
        <v>4</v>
      </c>
      <c r="G11" s="428">
        <v>4</v>
      </c>
      <c r="H11" s="429">
        <v>9</v>
      </c>
      <c r="I11" s="430">
        <v>4</v>
      </c>
      <c r="J11" s="317"/>
      <c r="K11" s="317"/>
      <c r="L11" s="317"/>
      <c r="M11" s="317"/>
      <c r="N11" s="317"/>
      <c r="O11" s="317"/>
      <c r="P11" s="317"/>
      <c r="Q11" s="317"/>
      <c r="R11" s="317"/>
      <c r="S11" s="317"/>
    </row>
    <row r="12" spans="1:19" ht="30" customHeight="1" thickBot="1">
      <c r="B12" s="1249" t="s">
        <v>406</v>
      </c>
      <c r="C12" s="1250"/>
      <c r="D12" s="431">
        <v>0</v>
      </c>
      <c r="E12" s="432">
        <v>0</v>
      </c>
      <c r="F12" s="433">
        <v>0</v>
      </c>
      <c r="G12" s="431">
        <v>0</v>
      </c>
      <c r="H12" s="432">
        <v>0</v>
      </c>
      <c r="I12" s="433">
        <v>0</v>
      </c>
      <c r="J12" s="317"/>
      <c r="K12" s="317"/>
      <c r="L12" s="317"/>
      <c r="M12" s="317"/>
      <c r="N12" s="317"/>
      <c r="O12" s="317"/>
      <c r="P12" s="317"/>
      <c r="Q12" s="317"/>
      <c r="R12" s="317"/>
      <c r="S12" s="317"/>
    </row>
    <row r="13" spans="1:19"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</row>
    <row r="14" spans="1:19">
      <c r="B14" s="281" t="s">
        <v>407</v>
      </c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</row>
    <row r="15" spans="1:19" ht="13.5" thickBot="1"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</row>
    <row r="16" spans="1:19">
      <c r="B16" s="1251" t="s">
        <v>408</v>
      </c>
      <c r="C16" s="1252"/>
      <c r="D16" s="434" t="s">
        <v>191</v>
      </c>
      <c r="E16" s="420"/>
      <c r="F16" s="421"/>
      <c r="G16" s="419" t="s">
        <v>192</v>
      </c>
      <c r="H16" s="420"/>
      <c r="I16" s="421"/>
      <c r="J16" s="317"/>
      <c r="K16" s="317"/>
      <c r="L16" s="317"/>
      <c r="M16" s="317"/>
      <c r="N16" s="317"/>
      <c r="O16" s="317"/>
      <c r="P16" s="317"/>
      <c r="Q16" s="317"/>
      <c r="R16" s="317"/>
      <c r="S16" s="317"/>
    </row>
    <row r="17" spans="2:19">
      <c r="B17" s="1253"/>
      <c r="C17" s="1254"/>
      <c r="D17" s="435" t="s">
        <v>402</v>
      </c>
      <c r="E17" s="423" t="s">
        <v>403</v>
      </c>
      <c r="F17" s="424" t="s">
        <v>223</v>
      </c>
      <c r="G17" s="422" t="s">
        <v>402</v>
      </c>
      <c r="H17" s="423" t="s">
        <v>403</v>
      </c>
      <c r="I17" s="424" t="s">
        <v>223</v>
      </c>
      <c r="J17" s="317"/>
      <c r="K17" s="317"/>
      <c r="L17" s="317"/>
      <c r="M17" s="317"/>
      <c r="N17" s="317"/>
      <c r="O17" s="317"/>
      <c r="P17" s="317"/>
      <c r="Q17" s="317"/>
      <c r="R17" s="317"/>
      <c r="S17" s="317"/>
    </row>
    <row r="18" spans="2:19" ht="15" customHeight="1">
      <c r="B18" s="1236" t="s">
        <v>409</v>
      </c>
      <c r="C18" s="1237"/>
      <c r="D18" s="428">
        <v>0</v>
      </c>
      <c r="E18" s="429">
        <v>0</v>
      </c>
      <c r="F18" s="436">
        <v>0</v>
      </c>
      <c r="G18" s="428">
        <v>0</v>
      </c>
      <c r="H18" s="429">
        <v>1</v>
      </c>
      <c r="I18" s="436">
        <v>0</v>
      </c>
      <c r="J18" s="317"/>
      <c r="K18" s="317"/>
      <c r="L18" s="317"/>
      <c r="M18" s="317"/>
      <c r="N18" s="317"/>
      <c r="O18" s="317"/>
      <c r="P18" s="317"/>
      <c r="Q18" s="317"/>
      <c r="R18" s="317"/>
      <c r="S18" s="317"/>
    </row>
    <row r="19" spans="2:19" ht="15" customHeight="1">
      <c r="B19" s="1236" t="s">
        <v>410</v>
      </c>
      <c r="C19" s="1237"/>
      <c r="D19" s="428">
        <v>0</v>
      </c>
      <c r="E19" s="429">
        <v>0</v>
      </c>
      <c r="F19" s="436">
        <v>0</v>
      </c>
      <c r="G19" s="428">
        <v>0</v>
      </c>
      <c r="H19" s="429">
        <v>0</v>
      </c>
      <c r="I19" s="436">
        <v>0</v>
      </c>
      <c r="J19" s="317"/>
      <c r="K19" s="317"/>
      <c r="L19" s="317"/>
      <c r="M19" s="317"/>
      <c r="N19" s="317"/>
      <c r="O19" s="317"/>
      <c r="P19" s="317"/>
      <c r="Q19" s="317"/>
      <c r="R19" s="317"/>
      <c r="S19" s="317"/>
    </row>
    <row r="20" spans="2:19" ht="15" customHeight="1" thickBot="1">
      <c r="B20" s="1238" t="s">
        <v>411</v>
      </c>
      <c r="C20" s="1239"/>
      <c r="D20" s="431">
        <v>0</v>
      </c>
      <c r="E20" s="437">
        <v>0</v>
      </c>
      <c r="F20" s="433">
        <v>0</v>
      </c>
      <c r="G20" s="431">
        <v>0</v>
      </c>
      <c r="H20" s="437">
        <v>0</v>
      </c>
      <c r="I20" s="433">
        <v>0</v>
      </c>
      <c r="J20" s="317"/>
      <c r="K20" s="317"/>
      <c r="L20" s="317"/>
      <c r="M20" s="317"/>
      <c r="N20" s="317"/>
      <c r="O20" s="317"/>
      <c r="P20" s="317"/>
      <c r="Q20" s="317"/>
      <c r="R20" s="317"/>
      <c r="S20" s="317"/>
    </row>
    <row r="21" spans="2:19"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</row>
    <row r="22" spans="2:19">
      <c r="B22" s="281" t="s">
        <v>412</v>
      </c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</row>
    <row r="23" spans="2:19" ht="13.5" thickBot="1">
      <c r="B23" s="281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</row>
    <row r="24" spans="2:19">
      <c r="B24" s="1240"/>
      <c r="C24" s="155" t="s">
        <v>191</v>
      </c>
      <c r="D24" s="156"/>
      <c r="E24" s="156"/>
      <c r="F24" s="156"/>
      <c r="G24" s="438"/>
      <c r="H24" s="155" t="s">
        <v>192</v>
      </c>
      <c r="I24" s="439"/>
      <c r="J24" s="439"/>
      <c r="K24" s="439"/>
      <c r="L24" s="438"/>
      <c r="M24" s="440"/>
      <c r="N24" s="229" t="s">
        <v>191</v>
      </c>
      <c r="O24" s="230"/>
      <c r="P24" s="231"/>
      <c r="Q24" s="440"/>
      <c r="R24" s="229" t="s">
        <v>192</v>
      </c>
      <c r="S24" s="231"/>
    </row>
    <row r="25" spans="2:19">
      <c r="B25" s="1241"/>
      <c r="C25" s="232" t="s">
        <v>79</v>
      </c>
      <c r="D25" s="233" t="s">
        <v>80</v>
      </c>
      <c r="E25" s="233" t="s">
        <v>81</v>
      </c>
      <c r="F25" s="233" t="s">
        <v>82</v>
      </c>
      <c r="G25" s="234" t="s">
        <v>44</v>
      </c>
      <c r="H25" s="232" t="s">
        <v>193</v>
      </c>
      <c r="I25" s="233" t="s">
        <v>194</v>
      </c>
      <c r="J25" s="233" t="s">
        <v>195</v>
      </c>
      <c r="K25" s="233" t="s">
        <v>196</v>
      </c>
      <c r="L25" s="234" t="s">
        <v>197</v>
      </c>
      <c r="M25" s="440"/>
      <c r="N25" s="232" t="s">
        <v>198</v>
      </c>
      <c r="O25" s="233" t="s">
        <v>199</v>
      </c>
      <c r="P25" s="234" t="s">
        <v>200</v>
      </c>
      <c r="Q25" s="440"/>
      <c r="R25" s="232" t="s">
        <v>199</v>
      </c>
      <c r="S25" s="234" t="s">
        <v>201</v>
      </c>
    </row>
    <row r="26" spans="2:19">
      <c r="B26" s="1242"/>
      <c r="C26" s="289" t="s">
        <v>344</v>
      </c>
      <c r="D26" s="290" t="s">
        <v>344</v>
      </c>
      <c r="E26" s="290" t="s">
        <v>344</v>
      </c>
      <c r="F26" s="290" t="s">
        <v>344</v>
      </c>
      <c r="G26" s="291" t="s">
        <v>344</v>
      </c>
      <c r="H26" s="289" t="s">
        <v>344</v>
      </c>
      <c r="I26" s="290" t="s">
        <v>344</v>
      </c>
      <c r="J26" s="290" t="s">
        <v>344</v>
      </c>
      <c r="K26" s="290" t="s">
        <v>344</v>
      </c>
      <c r="L26" s="291" t="s">
        <v>344</v>
      </c>
      <c r="M26" s="441"/>
      <c r="N26" s="289" t="s">
        <v>344</v>
      </c>
      <c r="O26" s="290" t="s">
        <v>344</v>
      </c>
      <c r="P26" s="291" t="s">
        <v>344</v>
      </c>
      <c r="Q26" s="441"/>
      <c r="R26" s="289" t="s">
        <v>344</v>
      </c>
      <c r="S26" s="291" t="s">
        <v>344</v>
      </c>
    </row>
    <row r="27" spans="2:19" ht="25.5">
      <c r="B27" s="304" t="s">
        <v>413</v>
      </c>
      <c r="C27" s="442"/>
      <c r="D27" s="443"/>
      <c r="E27" s="443"/>
      <c r="F27" s="443"/>
      <c r="G27" s="444"/>
      <c r="H27" s="442"/>
      <c r="I27" s="443"/>
      <c r="J27" s="443"/>
      <c r="K27" s="443"/>
      <c r="L27" s="444"/>
      <c r="M27" s="441"/>
      <c r="N27" s="442"/>
      <c r="O27" s="445"/>
      <c r="P27" s="446"/>
      <c r="Q27" s="441"/>
      <c r="R27" s="442"/>
      <c r="S27" s="299"/>
    </row>
    <row r="28" spans="2:19">
      <c r="B28" s="301" t="s">
        <v>414</v>
      </c>
      <c r="C28" s="171">
        <v>0</v>
      </c>
      <c r="D28" s="172">
        <v>0</v>
      </c>
      <c r="E28" s="172">
        <v>0</v>
      </c>
      <c r="F28" s="172">
        <v>0</v>
      </c>
      <c r="G28" s="173">
        <v>0</v>
      </c>
      <c r="H28" s="171">
        <v>0</v>
      </c>
      <c r="I28" s="174">
        <v>0</v>
      </c>
      <c r="J28" s="174">
        <v>0</v>
      </c>
      <c r="K28" s="174">
        <v>0</v>
      </c>
      <c r="L28" s="173">
        <v>0</v>
      </c>
      <c r="M28" s="440"/>
      <c r="N28" s="447">
        <v>0</v>
      </c>
      <c r="O28" s="448">
        <v>0</v>
      </c>
      <c r="P28" s="449">
        <v>0</v>
      </c>
      <c r="Q28" s="440"/>
      <c r="R28" s="447">
        <v>0</v>
      </c>
      <c r="S28" s="134" t="s">
        <v>989</v>
      </c>
    </row>
    <row r="29" spans="2:19">
      <c r="B29" s="301" t="s">
        <v>223</v>
      </c>
      <c r="C29" s="171">
        <v>0</v>
      </c>
      <c r="D29" s="172">
        <v>0</v>
      </c>
      <c r="E29" s="172">
        <v>0</v>
      </c>
      <c r="F29" s="172">
        <v>0</v>
      </c>
      <c r="G29" s="173">
        <v>0</v>
      </c>
      <c r="H29" s="171">
        <v>0</v>
      </c>
      <c r="I29" s="174">
        <v>0</v>
      </c>
      <c r="J29" s="174">
        <v>0</v>
      </c>
      <c r="K29" s="174">
        <v>0</v>
      </c>
      <c r="L29" s="173">
        <v>0</v>
      </c>
      <c r="M29" s="440"/>
      <c r="N29" s="447">
        <v>0</v>
      </c>
      <c r="O29" s="448">
        <v>0</v>
      </c>
      <c r="P29" s="449">
        <v>0</v>
      </c>
      <c r="Q29" s="440"/>
      <c r="R29" s="447">
        <v>0</v>
      </c>
      <c r="S29" s="134" t="s">
        <v>989</v>
      </c>
    </row>
    <row r="30" spans="2:19">
      <c r="B30" s="301" t="s">
        <v>415</v>
      </c>
      <c r="C30" s="171">
        <v>0</v>
      </c>
      <c r="D30" s="172">
        <v>0</v>
      </c>
      <c r="E30" s="172">
        <v>0</v>
      </c>
      <c r="F30" s="172">
        <v>0</v>
      </c>
      <c r="G30" s="173">
        <v>0</v>
      </c>
      <c r="H30" s="171">
        <v>0</v>
      </c>
      <c r="I30" s="174">
        <v>0.7</v>
      </c>
      <c r="J30" s="174">
        <v>0</v>
      </c>
      <c r="K30" s="174">
        <v>0</v>
      </c>
      <c r="L30" s="173">
        <v>0</v>
      </c>
      <c r="M30" s="440"/>
      <c r="N30" s="447">
        <v>0</v>
      </c>
      <c r="O30" s="448">
        <v>0</v>
      </c>
      <c r="P30" s="449">
        <v>0</v>
      </c>
      <c r="Q30" s="440"/>
      <c r="R30" s="447">
        <v>0.7</v>
      </c>
      <c r="S30" s="134" t="s">
        <v>989</v>
      </c>
    </row>
    <row r="31" spans="2:19">
      <c r="B31" s="301" t="s">
        <v>416</v>
      </c>
      <c r="C31" s="171">
        <v>0</v>
      </c>
      <c r="D31" s="172">
        <v>0</v>
      </c>
      <c r="E31" s="172">
        <v>0</v>
      </c>
      <c r="F31" s="172">
        <v>0</v>
      </c>
      <c r="G31" s="173">
        <v>0</v>
      </c>
      <c r="H31" s="171">
        <v>0</v>
      </c>
      <c r="I31" s="174">
        <v>0</v>
      </c>
      <c r="J31" s="174">
        <v>0</v>
      </c>
      <c r="K31" s="174">
        <v>0</v>
      </c>
      <c r="L31" s="173">
        <v>0</v>
      </c>
      <c r="M31" s="440"/>
      <c r="N31" s="447">
        <v>0</v>
      </c>
      <c r="O31" s="448">
        <v>0</v>
      </c>
      <c r="P31" s="449">
        <v>0</v>
      </c>
      <c r="Q31" s="440"/>
      <c r="R31" s="447">
        <v>0</v>
      </c>
      <c r="S31" s="134" t="s">
        <v>989</v>
      </c>
    </row>
    <row r="32" spans="2:19" ht="13.5" thickBot="1">
      <c r="B32" s="450" t="s">
        <v>417</v>
      </c>
      <c r="C32" s="146">
        <v>0</v>
      </c>
      <c r="D32" s="149">
        <v>0</v>
      </c>
      <c r="E32" s="149">
        <v>0</v>
      </c>
      <c r="F32" s="149">
        <v>0</v>
      </c>
      <c r="G32" s="148">
        <v>0</v>
      </c>
      <c r="H32" s="146">
        <v>0</v>
      </c>
      <c r="I32" s="147">
        <v>0.7</v>
      </c>
      <c r="J32" s="147">
        <v>0</v>
      </c>
      <c r="K32" s="147">
        <v>0</v>
      </c>
      <c r="L32" s="148">
        <v>0</v>
      </c>
      <c r="M32" s="451"/>
      <c r="N32" s="146">
        <v>0</v>
      </c>
      <c r="O32" s="147">
        <v>0</v>
      </c>
      <c r="P32" s="148">
        <v>0</v>
      </c>
      <c r="Q32" s="451"/>
      <c r="R32" s="146">
        <v>0.7</v>
      </c>
      <c r="S32" s="256" t="s">
        <v>989</v>
      </c>
    </row>
    <row r="33" spans="2:19"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3"/>
      <c r="N33" s="280"/>
      <c r="O33" s="280"/>
      <c r="P33" s="280"/>
      <c r="Q33" s="283"/>
      <c r="R33" s="280"/>
      <c r="S33" s="280"/>
    </row>
  </sheetData>
  <mergeCells count="9">
    <mergeCell ref="B19:C19"/>
    <mergeCell ref="B20:C20"/>
    <mergeCell ref="B24:B26"/>
    <mergeCell ref="B8:C9"/>
    <mergeCell ref="B10:C10"/>
    <mergeCell ref="B11:C11"/>
    <mergeCell ref="B12:C12"/>
    <mergeCell ref="B16:C17"/>
    <mergeCell ref="B18:C18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4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C5FFFF"/>
    <pageSetUpPr fitToPage="1"/>
  </sheetPr>
  <dimension ref="A1:W187"/>
  <sheetViews>
    <sheetView workbookViewId="0">
      <selection sqref="A1:XFD1048576"/>
    </sheetView>
  </sheetViews>
  <sheetFormatPr defaultRowHeight="14.25"/>
  <cols>
    <col min="1" max="1" width="4.28515625" style="553" customWidth="1"/>
    <col min="2" max="2" width="45.85546875" style="555" customWidth="1"/>
    <col min="3" max="3" width="40.28515625" style="555" customWidth="1"/>
    <col min="4" max="8" width="10.28515625" style="555" customWidth="1"/>
    <col min="9" max="13" width="10.28515625" style="556" customWidth="1"/>
    <col min="14" max="14" width="4.140625" style="556" customWidth="1"/>
    <col min="15" max="17" width="13.7109375" style="556" customWidth="1"/>
    <col min="18" max="18" width="4.28515625" style="556" customWidth="1"/>
    <col min="19" max="20" width="11.85546875" style="556" customWidth="1"/>
    <col min="21" max="23" width="9.140625" style="556"/>
    <col min="24" max="16384" width="9.140625" style="555"/>
  </cols>
  <sheetData>
    <row r="1" spans="1:20" s="452" customFormat="1" ht="20.25">
      <c r="A1" s="418" t="s">
        <v>341</v>
      </c>
      <c r="G1" s="453" t="s">
        <v>47</v>
      </c>
    </row>
    <row r="2" spans="1:20" s="452" customFormat="1" ht="20.25">
      <c r="A2" s="418" t="s">
        <v>990</v>
      </c>
      <c r="B2" s="453"/>
    </row>
    <row r="3" spans="1:20" s="452" customFormat="1" ht="20.25">
      <c r="A3" s="418" t="s">
        <v>418</v>
      </c>
    </row>
    <row r="4" spans="1:20" s="455" customFormat="1" ht="12.75">
      <c r="A4" s="454"/>
      <c r="S4" s="440"/>
      <c r="T4" s="440"/>
    </row>
    <row r="5" spans="1:20" s="455" customFormat="1" ht="12.75">
      <c r="A5" s="454"/>
      <c r="B5" s="456" t="s">
        <v>419</v>
      </c>
      <c r="O5" s="440"/>
      <c r="P5" s="440"/>
      <c r="Q5" s="440"/>
      <c r="R5" s="440"/>
      <c r="S5" s="440"/>
      <c r="T5" s="440"/>
    </row>
    <row r="6" spans="1:20" s="458" customFormat="1" ht="13.5" thickBot="1">
      <c r="A6" s="457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440"/>
      <c r="O6" s="339"/>
      <c r="P6" s="339"/>
      <c r="Q6" s="339"/>
      <c r="R6" s="440"/>
      <c r="S6" s="339"/>
      <c r="T6" s="339"/>
    </row>
    <row r="7" spans="1:20" s="458" customFormat="1" ht="15" customHeight="1">
      <c r="A7" s="457"/>
      <c r="B7" s="1258" t="s">
        <v>420</v>
      </c>
      <c r="C7" s="1259"/>
      <c r="D7" s="459" t="s">
        <v>421</v>
      </c>
      <c r="E7" s="460"/>
      <c r="F7" s="460"/>
      <c r="G7" s="460"/>
      <c r="H7" s="461"/>
      <c r="I7" s="459" t="s">
        <v>422</v>
      </c>
      <c r="J7" s="460"/>
      <c r="K7" s="460"/>
      <c r="L7" s="460"/>
      <c r="M7" s="461"/>
      <c r="N7" s="440"/>
      <c r="O7" s="229" t="s">
        <v>191</v>
      </c>
      <c r="P7" s="230"/>
      <c r="Q7" s="231"/>
      <c r="R7" s="440"/>
      <c r="S7" s="229" t="s">
        <v>192</v>
      </c>
      <c r="T7" s="231"/>
    </row>
    <row r="8" spans="1:20" s="458" customFormat="1" ht="15" customHeight="1">
      <c r="A8" s="457"/>
      <c r="B8" s="1260"/>
      <c r="C8" s="1261"/>
      <c r="D8" s="462" t="s">
        <v>79</v>
      </c>
      <c r="E8" s="322" t="s">
        <v>80</v>
      </c>
      <c r="F8" s="322" t="s">
        <v>81</v>
      </c>
      <c r="G8" s="322" t="s">
        <v>82</v>
      </c>
      <c r="H8" s="463" t="s">
        <v>44</v>
      </c>
      <c r="I8" s="462" t="s">
        <v>193</v>
      </c>
      <c r="J8" s="322" t="s">
        <v>194</v>
      </c>
      <c r="K8" s="322" t="s">
        <v>195</v>
      </c>
      <c r="L8" s="322" t="s">
        <v>196</v>
      </c>
      <c r="M8" s="463" t="s">
        <v>197</v>
      </c>
      <c r="N8" s="440"/>
      <c r="O8" s="232" t="s">
        <v>198</v>
      </c>
      <c r="P8" s="233" t="s">
        <v>199</v>
      </c>
      <c r="Q8" s="234" t="s">
        <v>200</v>
      </c>
      <c r="R8" s="440"/>
      <c r="S8" s="232" t="s">
        <v>199</v>
      </c>
      <c r="T8" s="234" t="s">
        <v>201</v>
      </c>
    </row>
    <row r="9" spans="1:20" s="458" customFormat="1" ht="15" customHeight="1">
      <c r="A9" s="457"/>
      <c r="B9" s="1262"/>
      <c r="C9" s="1263"/>
      <c r="D9" s="462" t="s">
        <v>203</v>
      </c>
      <c r="E9" s="322" t="s">
        <v>203</v>
      </c>
      <c r="F9" s="322" t="s">
        <v>203</v>
      </c>
      <c r="G9" s="322" t="s">
        <v>203</v>
      </c>
      <c r="H9" s="463" t="s">
        <v>203</v>
      </c>
      <c r="I9" s="464" t="s">
        <v>203</v>
      </c>
      <c r="J9" s="322" t="s">
        <v>203</v>
      </c>
      <c r="K9" s="322" t="s">
        <v>203</v>
      </c>
      <c r="L9" s="322" t="s">
        <v>203</v>
      </c>
      <c r="M9" s="463" t="s">
        <v>203</v>
      </c>
      <c r="N9" s="338"/>
      <c r="O9" s="465"/>
      <c r="P9" s="466"/>
      <c r="Q9" s="467"/>
      <c r="R9" s="440"/>
      <c r="S9" s="468"/>
      <c r="T9" s="469"/>
    </row>
    <row r="10" spans="1:20" s="458" customFormat="1" ht="15" customHeight="1">
      <c r="A10" s="457"/>
      <c r="B10" s="1272" t="s">
        <v>423</v>
      </c>
      <c r="C10" s="470" t="s">
        <v>424</v>
      </c>
      <c r="D10" s="471">
        <v>1</v>
      </c>
      <c r="E10" s="472">
        <v>0.9</v>
      </c>
      <c r="F10" s="472">
        <v>1.5</v>
      </c>
      <c r="G10" s="472">
        <v>0.97998063017283144</v>
      </c>
      <c r="H10" s="473">
        <v>0.4485690832677206</v>
      </c>
      <c r="I10" s="471">
        <v>0.82</v>
      </c>
      <c r="J10" s="472">
        <v>0.89</v>
      </c>
      <c r="K10" s="472">
        <v>1</v>
      </c>
      <c r="L10" s="472">
        <v>1</v>
      </c>
      <c r="M10" s="473">
        <v>1</v>
      </c>
      <c r="N10" s="474"/>
      <c r="O10" s="130">
        <v>3.4</v>
      </c>
      <c r="P10" s="131">
        <v>1.428549713440552</v>
      </c>
      <c r="Q10" s="132">
        <v>4.8285497134405517</v>
      </c>
      <c r="R10" s="133"/>
      <c r="S10" s="130">
        <v>4.71</v>
      </c>
      <c r="T10" s="134">
        <v>-2.4551826216174532E-2</v>
      </c>
    </row>
    <row r="11" spans="1:20" s="458" customFormat="1" ht="15" customHeight="1">
      <c r="A11" s="457"/>
      <c r="B11" s="1273"/>
      <c r="C11" s="475" t="s">
        <v>425</v>
      </c>
      <c r="D11" s="476">
        <v>0.5</v>
      </c>
      <c r="E11" s="477">
        <v>0.7</v>
      </c>
      <c r="F11" s="477">
        <v>0.6</v>
      </c>
      <c r="G11" s="477">
        <v>0.67949511643393978</v>
      </c>
      <c r="H11" s="478">
        <v>0.39907437960130709</v>
      </c>
      <c r="I11" s="476">
        <v>1.04</v>
      </c>
      <c r="J11" s="477">
        <v>1.18</v>
      </c>
      <c r="K11" s="477">
        <v>1.32</v>
      </c>
      <c r="L11" s="477">
        <v>1.47</v>
      </c>
      <c r="M11" s="478">
        <v>1.62</v>
      </c>
      <c r="N11" s="474"/>
      <c r="O11" s="130">
        <v>1.8</v>
      </c>
      <c r="P11" s="131">
        <v>1.078569496035247</v>
      </c>
      <c r="Q11" s="132">
        <v>2.8785694960352468</v>
      </c>
      <c r="R11" s="133"/>
      <c r="S11" s="130">
        <v>6.63</v>
      </c>
      <c r="T11" s="134">
        <v>1.3032273527290996</v>
      </c>
    </row>
    <row r="12" spans="1:20" s="458" customFormat="1" ht="15" customHeight="1">
      <c r="A12" s="457"/>
      <c r="B12" s="1272" t="s">
        <v>426</v>
      </c>
      <c r="C12" s="475" t="s">
        <v>424</v>
      </c>
      <c r="D12" s="476">
        <v>0</v>
      </c>
      <c r="E12" s="477">
        <v>0</v>
      </c>
      <c r="F12" s="477">
        <v>0</v>
      </c>
      <c r="G12" s="477">
        <v>9.4228906747387629E-3</v>
      </c>
      <c r="H12" s="478">
        <v>3.1592364042391595E-2</v>
      </c>
      <c r="I12" s="476">
        <v>0</v>
      </c>
      <c r="J12" s="477">
        <v>0</v>
      </c>
      <c r="K12" s="477">
        <v>0</v>
      </c>
      <c r="L12" s="477">
        <v>0</v>
      </c>
      <c r="M12" s="478">
        <v>0</v>
      </c>
      <c r="N12" s="474"/>
      <c r="O12" s="130">
        <v>0</v>
      </c>
      <c r="P12" s="131">
        <v>4.1015254717130356E-2</v>
      </c>
      <c r="Q12" s="132">
        <v>4.1015254717130356E-2</v>
      </c>
      <c r="R12" s="133"/>
      <c r="S12" s="130">
        <v>0</v>
      </c>
      <c r="T12" s="134">
        <v>-1</v>
      </c>
    </row>
    <row r="13" spans="1:20" s="458" customFormat="1" ht="15" customHeight="1">
      <c r="A13" s="457"/>
      <c r="B13" s="1273"/>
      <c r="C13" s="475" t="s">
        <v>425</v>
      </c>
      <c r="D13" s="476">
        <v>0</v>
      </c>
      <c r="E13" s="477">
        <v>-0.10413095862701416</v>
      </c>
      <c r="F13" s="477">
        <v>-0.2</v>
      </c>
      <c r="G13" s="477">
        <v>-3.4053020369104861E-2</v>
      </c>
      <c r="H13" s="478">
        <v>-5.3770690340651767E-2</v>
      </c>
      <c r="I13" s="476">
        <v>-0.1</v>
      </c>
      <c r="J13" s="477">
        <v>-0.1</v>
      </c>
      <c r="K13" s="477">
        <v>-0.1</v>
      </c>
      <c r="L13" s="477">
        <v>-0.1</v>
      </c>
      <c r="M13" s="478">
        <v>-0.1</v>
      </c>
      <c r="N13" s="474"/>
      <c r="O13" s="130">
        <v>-0.30413095862701411</v>
      </c>
      <c r="P13" s="131">
        <v>-8.7823710709756628E-2</v>
      </c>
      <c r="Q13" s="132">
        <v>-0.3919546693367707</v>
      </c>
      <c r="R13" s="133"/>
      <c r="S13" s="130">
        <v>-0.5</v>
      </c>
      <c r="T13" s="134">
        <v>0.27565772043500231</v>
      </c>
    </row>
    <row r="14" spans="1:20" s="458" customFormat="1" ht="15" customHeight="1">
      <c r="A14" s="457"/>
      <c r="B14" s="1266" t="s">
        <v>346</v>
      </c>
      <c r="C14" s="475" t="s">
        <v>427</v>
      </c>
      <c r="D14" s="476">
        <v>1.7</v>
      </c>
      <c r="E14" s="477">
        <v>1.7</v>
      </c>
      <c r="F14" s="477">
        <v>2</v>
      </c>
      <c r="G14" s="477">
        <v>1.457407091026262</v>
      </c>
      <c r="H14" s="478">
        <v>1.4107007325510907</v>
      </c>
      <c r="I14" s="476">
        <v>1.61</v>
      </c>
      <c r="J14" s="477">
        <v>1.76</v>
      </c>
      <c r="K14" s="477">
        <v>1.94</v>
      </c>
      <c r="L14" s="477">
        <v>1.94</v>
      </c>
      <c r="M14" s="478">
        <v>1.94</v>
      </c>
      <c r="N14" s="474"/>
      <c r="O14" s="130">
        <v>5.4</v>
      </c>
      <c r="P14" s="131">
        <v>2.8681078235773527</v>
      </c>
      <c r="Q14" s="132">
        <v>8.2681078235773526</v>
      </c>
      <c r="R14" s="133"/>
      <c r="S14" s="130">
        <v>9.19</v>
      </c>
      <c r="T14" s="134">
        <v>0.11149977674381281</v>
      </c>
    </row>
    <row r="15" spans="1:20" s="458" customFormat="1" ht="15" customHeight="1">
      <c r="A15" s="457"/>
      <c r="B15" s="1267"/>
      <c r="C15" s="475" t="s">
        <v>428</v>
      </c>
      <c r="D15" s="476">
        <v>0.2</v>
      </c>
      <c r="E15" s="477">
        <v>0.2</v>
      </c>
      <c r="F15" s="477">
        <v>0.3</v>
      </c>
      <c r="G15" s="477">
        <v>0.18008191067278526</v>
      </c>
      <c r="H15" s="478">
        <v>0.22106157602826107</v>
      </c>
      <c r="I15" s="476">
        <v>0.57999999999999996</v>
      </c>
      <c r="J15" s="477">
        <v>0.67</v>
      </c>
      <c r="K15" s="477">
        <v>0.75</v>
      </c>
      <c r="L15" s="477">
        <v>0.83</v>
      </c>
      <c r="M15" s="478">
        <v>0.93</v>
      </c>
      <c r="N15" s="474"/>
      <c r="O15" s="130">
        <v>0.7</v>
      </c>
      <c r="P15" s="131">
        <v>0.40114348670104633</v>
      </c>
      <c r="Q15" s="132">
        <v>1.1011434867010463</v>
      </c>
      <c r="R15" s="133"/>
      <c r="S15" s="130">
        <v>3.76</v>
      </c>
      <c r="T15" s="134">
        <v>2.4146321940882687</v>
      </c>
    </row>
    <row r="16" spans="1:20" s="458" customFormat="1" ht="15" customHeight="1">
      <c r="A16" s="457"/>
      <c r="B16" s="1268"/>
      <c r="C16" s="479" t="s">
        <v>429</v>
      </c>
      <c r="D16" s="476">
        <v>0.2</v>
      </c>
      <c r="E16" s="477">
        <v>0.1</v>
      </c>
      <c r="F16" s="477">
        <v>0.1</v>
      </c>
      <c r="G16" s="477">
        <v>0.26593491459818286</v>
      </c>
      <c r="H16" s="478">
        <v>0.30855208881402457</v>
      </c>
      <c r="I16" s="476">
        <v>0.47</v>
      </c>
      <c r="J16" s="477">
        <v>0.51</v>
      </c>
      <c r="K16" s="477">
        <v>0.56000000000000005</v>
      </c>
      <c r="L16" s="477">
        <v>0.61</v>
      </c>
      <c r="M16" s="478">
        <v>0.66</v>
      </c>
      <c r="N16" s="474"/>
      <c r="O16" s="130">
        <v>0.4</v>
      </c>
      <c r="P16" s="131">
        <v>0.57448700341220738</v>
      </c>
      <c r="Q16" s="132">
        <v>0.97448700341220751</v>
      </c>
      <c r="R16" s="133"/>
      <c r="S16" s="130">
        <v>2.81</v>
      </c>
      <c r="T16" s="134">
        <v>1.8835684726021651</v>
      </c>
    </row>
    <row r="17" spans="1:20" s="458" customFormat="1" ht="15" customHeight="1">
      <c r="A17" s="457"/>
      <c r="B17" s="1266" t="s">
        <v>223</v>
      </c>
      <c r="C17" s="475" t="s">
        <v>430</v>
      </c>
      <c r="D17" s="476">
        <v>1.9</v>
      </c>
      <c r="E17" s="477">
        <v>5.2</v>
      </c>
      <c r="F17" s="477">
        <v>5</v>
      </c>
      <c r="G17" s="477">
        <v>3.4246972663411661</v>
      </c>
      <c r="H17" s="478">
        <v>3.2169433076456775</v>
      </c>
      <c r="I17" s="476">
        <v>5.15</v>
      </c>
      <c r="J17" s="477">
        <v>7.1</v>
      </c>
      <c r="K17" s="477">
        <v>9.07</v>
      </c>
      <c r="L17" s="477">
        <v>9.07</v>
      </c>
      <c r="M17" s="478">
        <v>9.07</v>
      </c>
      <c r="N17" s="474"/>
      <c r="O17" s="130">
        <v>12.1</v>
      </c>
      <c r="P17" s="131">
        <v>6.6416405739868436</v>
      </c>
      <c r="Q17" s="132">
        <v>18.741640573986842</v>
      </c>
      <c r="R17" s="133"/>
      <c r="S17" s="130">
        <v>39.46</v>
      </c>
      <c r="T17" s="134">
        <v>1.1054720286744788</v>
      </c>
    </row>
    <row r="18" spans="1:20" s="458" customFormat="1" ht="15" customHeight="1">
      <c r="A18" s="457"/>
      <c r="B18" s="1267"/>
      <c r="C18" s="475" t="s">
        <v>95</v>
      </c>
      <c r="D18" s="476">
        <v>0.2</v>
      </c>
      <c r="E18" s="477">
        <v>0.6</v>
      </c>
      <c r="F18" s="477">
        <v>1.1000000000000001</v>
      </c>
      <c r="G18" s="477">
        <v>0.43135899533248562</v>
      </c>
      <c r="H18" s="478">
        <v>0.24747351833206749</v>
      </c>
      <c r="I18" s="476">
        <v>0.43</v>
      </c>
      <c r="J18" s="477">
        <v>0.48</v>
      </c>
      <c r="K18" s="477">
        <v>0.55000000000000004</v>
      </c>
      <c r="L18" s="477">
        <v>0.61</v>
      </c>
      <c r="M18" s="478">
        <v>0.69</v>
      </c>
      <c r="N18" s="474"/>
      <c r="O18" s="130">
        <v>1.9</v>
      </c>
      <c r="P18" s="131">
        <v>0.67883251366455311</v>
      </c>
      <c r="Q18" s="132">
        <v>2.5788325136645529</v>
      </c>
      <c r="R18" s="133"/>
      <c r="S18" s="130">
        <v>2.76</v>
      </c>
      <c r="T18" s="134">
        <v>7.0251745848358971E-2</v>
      </c>
    </row>
    <row r="19" spans="1:20" s="458" customFormat="1" ht="15" customHeight="1">
      <c r="A19" s="457"/>
      <c r="B19" s="1267"/>
      <c r="C19" s="479" t="s">
        <v>431</v>
      </c>
      <c r="D19" s="476">
        <v>0</v>
      </c>
      <c r="E19" s="477">
        <v>0</v>
      </c>
      <c r="F19" s="477">
        <v>0</v>
      </c>
      <c r="G19" s="477">
        <v>0</v>
      </c>
      <c r="H19" s="478">
        <v>0</v>
      </c>
      <c r="I19" s="476">
        <v>0.05</v>
      </c>
      <c r="J19" s="477">
        <v>0.05</v>
      </c>
      <c r="K19" s="477">
        <v>0.05</v>
      </c>
      <c r="L19" s="477">
        <v>0.05</v>
      </c>
      <c r="M19" s="478">
        <v>0.05</v>
      </c>
      <c r="N19" s="474"/>
      <c r="O19" s="130">
        <v>0</v>
      </c>
      <c r="P19" s="131">
        <v>0</v>
      </c>
      <c r="Q19" s="132">
        <v>0</v>
      </c>
      <c r="R19" s="133"/>
      <c r="S19" s="130">
        <v>0.25</v>
      </c>
      <c r="T19" s="134" t="s">
        <v>989</v>
      </c>
    </row>
    <row r="20" spans="1:20" s="458" customFormat="1" ht="15" customHeight="1">
      <c r="A20" s="457"/>
      <c r="B20" s="1267"/>
      <c r="C20" s="479" t="s">
        <v>429</v>
      </c>
      <c r="D20" s="476">
        <v>0.9</v>
      </c>
      <c r="E20" s="477">
        <v>1.1000000000000001</v>
      </c>
      <c r="F20" s="477">
        <v>2.6</v>
      </c>
      <c r="G20" s="477">
        <v>1.9861359566643817</v>
      </c>
      <c r="H20" s="478">
        <v>2.5316014385969798</v>
      </c>
      <c r="I20" s="476">
        <v>1.81</v>
      </c>
      <c r="J20" s="477">
        <v>1.88</v>
      </c>
      <c r="K20" s="477">
        <v>1.94</v>
      </c>
      <c r="L20" s="477">
        <v>1.99</v>
      </c>
      <c r="M20" s="478">
        <v>2.04</v>
      </c>
      <c r="N20" s="474"/>
      <c r="O20" s="130">
        <v>4.5999999999999996</v>
      </c>
      <c r="P20" s="131">
        <v>4.5177373952613618</v>
      </c>
      <c r="Q20" s="132">
        <v>9.1177373952613614</v>
      </c>
      <c r="R20" s="133"/>
      <c r="S20" s="130">
        <v>9.66</v>
      </c>
      <c r="T20" s="134">
        <v>5.9473373846066414E-2</v>
      </c>
    </row>
    <row r="21" spans="1:20" s="458" customFormat="1" ht="15" customHeight="1">
      <c r="A21" s="457"/>
      <c r="B21" s="1267"/>
      <c r="C21" s="475" t="s">
        <v>432</v>
      </c>
      <c r="D21" s="476">
        <v>0.1</v>
      </c>
      <c r="E21" s="477">
        <v>0.8</v>
      </c>
      <c r="F21" s="477">
        <v>0.8</v>
      </c>
      <c r="G21" s="477">
        <v>0.48475537582267192</v>
      </c>
      <c r="H21" s="478">
        <v>0.91512547842794323</v>
      </c>
      <c r="I21" s="476">
        <v>1.76</v>
      </c>
      <c r="J21" s="477">
        <v>1.85</v>
      </c>
      <c r="K21" s="477">
        <v>1.93</v>
      </c>
      <c r="L21" s="477">
        <v>2.0099999999999998</v>
      </c>
      <c r="M21" s="478">
        <v>2.08</v>
      </c>
      <c r="N21" s="474"/>
      <c r="O21" s="130">
        <v>1.7</v>
      </c>
      <c r="P21" s="131">
        <v>1.3998808542506151</v>
      </c>
      <c r="Q21" s="132">
        <v>3.0998808542506149</v>
      </c>
      <c r="R21" s="133"/>
      <c r="S21" s="130">
        <v>9.6300000000000008</v>
      </c>
      <c r="T21" s="134">
        <v>2.1065710112035956</v>
      </c>
    </row>
    <row r="22" spans="1:20" s="458" customFormat="1" ht="15" customHeight="1">
      <c r="A22" s="457"/>
      <c r="B22" s="1268"/>
      <c r="C22" s="475" t="s">
        <v>433</v>
      </c>
      <c r="D22" s="476">
        <v>0.6</v>
      </c>
      <c r="E22" s="477">
        <v>1</v>
      </c>
      <c r="F22" s="477">
        <v>0.8</v>
      </c>
      <c r="G22" s="477">
        <v>0.6470384929987284</v>
      </c>
      <c r="H22" s="478">
        <v>0.48757548505424364</v>
      </c>
      <c r="I22" s="476">
        <v>0.7</v>
      </c>
      <c r="J22" s="477">
        <v>0.7</v>
      </c>
      <c r="K22" s="477">
        <v>0.7</v>
      </c>
      <c r="L22" s="477">
        <v>0.7</v>
      </c>
      <c r="M22" s="478">
        <v>0.7</v>
      </c>
      <c r="N22" s="474"/>
      <c r="O22" s="130">
        <v>2.4</v>
      </c>
      <c r="P22" s="131">
        <v>1.134613978052972</v>
      </c>
      <c r="Q22" s="132">
        <v>3.5346139780529722</v>
      </c>
      <c r="R22" s="133"/>
      <c r="S22" s="130">
        <v>3.5</v>
      </c>
      <c r="T22" s="134">
        <v>-9.7928594941049663E-3</v>
      </c>
    </row>
    <row r="23" spans="1:20" s="458" customFormat="1" ht="15" customHeight="1">
      <c r="A23" s="457"/>
      <c r="B23" s="1266" t="s">
        <v>403</v>
      </c>
      <c r="C23" s="475" t="s">
        <v>430</v>
      </c>
      <c r="D23" s="476">
        <v>0.3</v>
      </c>
      <c r="E23" s="477">
        <v>0.4</v>
      </c>
      <c r="F23" s="477">
        <v>0.9</v>
      </c>
      <c r="G23" s="477">
        <v>2.0772238998535228</v>
      </c>
      <c r="H23" s="478">
        <v>1.2089344640221851</v>
      </c>
      <c r="I23" s="476">
        <v>0.66</v>
      </c>
      <c r="J23" s="477">
        <v>1.08</v>
      </c>
      <c r="K23" s="477">
        <v>1.51</v>
      </c>
      <c r="L23" s="477">
        <v>1.51</v>
      </c>
      <c r="M23" s="478">
        <v>1.52</v>
      </c>
      <c r="N23" s="474"/>
      <c r="O23" s="130">
        <v>1.6</v>
      </c>
      <c r="P23" s="131">
        <v>3.2861583638757077</v>
      </c>
      <c r="Q23" s="132">
        <v>4.8861583638757082</v>
      </c>
      <c r="R23" s="133"/>
      <c r="S23" s="130">
        <v>6.28</v>
      </c>
      <c r="T23" s="134">
        <v>0.28526329527696592</v>
      </c>
    </row>
    <row r="24" spans="1:20" s="458" customFormat="1" ht="15" customHeight="1">
      <c r="A24" s="457"/>
      <c r="B24" s="1267"/>
      <c r="C24" s="475" t="s">
        <v>95</v>
      </c>
      <c r="D24" s="476">
        <v>0.8</v>
      </c>
      <c r="E24" s="477">
        <v>0.9</v>
      </c>
      <c r="F24" s="477">
        <v>0</v>
      </c>
      <c r="G24" s="477">
        <v>4.7114453373693813E-2</v>
      </c>
      <c r="H24" s="478">
        <v>0.10846711654554447</v>
      </c>
      <c r="I24" s="476">
        <v>0.14000000000000001</v>
      </c>
      <c r="J24" s="477">
        <v>0.17</v>
      </c>
      <c r="K24" s="477">
        <v>0.2</v>
      </c>
      <c r="L24" s="477">
        <v>0.23</v>
      </c>
      <c r="M24" s="478">
        <v>0.26</v>
      </c>
      <c r="N24" s="474"/>
      <c r="O24" s="130">
        <v>1.7</v>
      </c>
      <c r="P24" s="131">
        <v>0.15558156991923827</v>
      </c>
      <c r="Q24" s="132">
        <v>1.8555815699192384</v>
      </c>
      <c r="R24" s="133"/>
      <c r="S24" s="130">
        <v>1</v>
      </c>
      <c r="T24" s="134">
        <v>-0.46108539974153567</v>
      </c>
    </row>
    <row r="25" spans="1:20" s="458" customFormat="1" ht="15" customHeight="1">
      <c r="A25" s="457"/>
      <c r="B25" s="1267"/>
      <c r="C25" s="475" t="s">
        <v>431</v>
      </c>
      <c r="D25" s="476">
        <v>0</v>
      </c>
      <c r="E25" s="477">
        <v>0</v>
      </c>
      <c r="F25" s="477">
        <v>0</v>
      </c>
      <c r="G25" s="477">
        <v>0</v>
      </c>
      <c r="H25" s="478">
        <v>0</v>
      </c>
      <c r="I25" s="476">
        <v>0.1</v>
      </c>
      <c r="J25" s="477">
        <v>0.1</v>
      </c>
      <c r="K25" s="477">
        <v>0.1</v>
      </c>
      <c r="L25" s="477">
        <v>0.1</v>
      </c>
      <c r="M25" s="478">
        <v>0.1</v>
      </c>
      <c r="N25" s="474"/>
      <c r="O25" s="130">
        <v>0</v>
      </c>
      <c r="P25" s="131">
        <v>0</v>
      </c>
      <c r="Q25" s="132">
        <v>0</v>
      </c>
      <c r="R25" s="133"/>
      <c r="S25" s="130">
        <v>0.5</v>
      </c>
      <c r="T25" s="134" t="s">
        <v>989</v>
      </c>
    </row>
    <row r="26" spans="1:20" s="458" customFormat="1" ht="15" customHeight="1">
      <c r="A26" s="457"/>
      <c r="B26" s="1267"/>
      <c r="C26" s="475" t="s">
        <v>429</v>
      </c>
      <c r="D26" s="476">
        <v>0.5</v>
      </c>
      <c r="E26" s="477">
        <v>1.3</v>
      </c>
      <c r="F26" s="477">
        <v>1.9</v>
      </c>
      <c r="G26" s="477">
        <v>1.0752565247729677</v>
      </c>
      <c r="H26" s="478">
        <v>1.5185396316376227</v>
      </c>
      <c r="I26" s="476">
        <v>0.65</v>
      </c>
      <c r="J26" s="477">
        <v>0.66</v>
      </c>
      <c r="K26" s="477">
        <v>0.67</v>
      </c>
      <c r="L26" s="477">
        <v>0.67</v>
      </c>
      <c r="M26" s="478">
        <v>0.67</v>
      </c>
      <c r="N26" s="474"/>
      <c r="O26" s="130">
        <v>3.7</v>
      </c>
      <c r="P26" s="131">
        <v>2.5937961564105905</v>
      </c>
      <c r="Q26" s="132">
        <v>6.2937961564105906</v>
      </c>
      <c r="R26" s="133"/>
      <c r="S26" s="130">
        <v>3.32</v>
      </c>
      <c r="T26" s="134">
        <v>-0.47249642068270825</v>
      </c>
    </row>
    <row r="27" spans="1:20" s="458" customFormat="1" ht="15" customHeight="1">
      <c r="A27" s="457"/>
      <c r="B27" s="1267"/>
      <c r="C27" s="475" t="s">
        <v>432</v>
      </c>
      <c r="D27" s="476">
        <v>0.1</v>
      </c>
      <c r="E27" s="477">
        <v>0.3</v>
      </c>
      <c r="F27" s="477">
        <v>1</v>
      </c>
      <c r="G27" s="477">
        <v>0.62191078453275839</v>
      </c>
      <c r="H27" s="478">
        <v>0.36120602888467729</v>
      </c>
      <c r="I27" s="476">
        <v>1.46</v>
      </c>
      <c r="J27" s="477">
        <v>1.52</v>
      </c>
      <c r="K27" s="477">
        <v>1.59</v>
      </c>
      <c r="L27" s="477">
        <v>1.7</v>
      </c>
      <c r="M27" s="478">
        <v>1.76</v>
      </c>
      <c r="N27" s="474"/>
      <c r="O27" s="130">
        <v>1.4</v>
      </c>
      <c r="P27" s="131">
        <v>0.98311681341743573</v>
      </c>
      <c r="Q27" s="132">
        <v>2.3831168134174359</v>
      </c>
      <c r="R27" s="133"/>
      <c r="S27" s="130">
        <v>8.0299999999999994</v>
      </c>
      <c r="T27" s="134">
        <v>2.369536883290595</v>
      </c>
    </row>
    <row r="28" spans="1:20" s="458" customFormat="1" ht="15" customHeight="1">
      <c r="A28" s="457"/>
      <c r="B28" s="1268"/>
      <c r="C28" s="479" t="s">
        <v>433</v>
      </c>
      <c r="D28" s="476">
        <v>0.4</v>
      </c>
      <c r="E28" s="477">
        <v>0.1</v>
      </c>
      <c r="F28" s="477">
        <v>0.3</v>
      </c>
      <c r="G28" s="477">
        <v>0.1382023965628352</v>
      </c>
      <c r="H28" s="478">
        <v>0.21272191788543676</v>
      </c>
      <c r="I28" s="476">
        <v>0.48</v>
      </c>
      <c r="J28" s="477">
        <v>0.48</v>
      </c>
      <c r="K28" s="477">
        <v>0.48</v>
      </c>
      <c r="L28" s="477">
        <v>0.48</v>
      </c>
      <c r="M28" s="478">
        <v>0.48</v>
      </c>
      <c r="N28" s="474"/>
      <c r="O28" s="130">
        <v>0.8</v>
      </c>
      <c r="P28" s="131">
        <v>0.35092431444827199</v>
      </c>
      <c r="Q28" s="132">
        <v>1.1509243144482719</v>
      </c>
      <c r="R28" s="133"/>
      <c r="S28" s="130">
        <v>2.4</v>
      </c>
      <c r="T28" s="134">
        <v>1.0852804740253557</v>
      </c>
    </row>
    <row r="29" spans="1:20" s="458" customFormat="1" ht="15" customHeight="1">
      <c r="A29" s="457"/>
      <c r="B29" s="1266" t="s">
        <v>402</v>
      </c>
      <c r="C29" s="475" t="s">
        <v>430</v>
      </c>
      <c r="D29" s="476">
        <v>0.5</v>
      </c>
      <c r="E29" s="477">
        <v>1.3</v>
      </c>
      <c r="F29" s="477">
        <v>1.1000000000000001</v>
      </c>
      <c r="G29" s="477">
        <v>0.88575172342544373</v>
      </c>
      <c r="H29" s="478">
        <v>0.3338259800479379</v>
      </c>
      <c r="I29" s="476">
        <v>0.6</v>
      </c>
      <c r="J29" s="477">
        <v>0.77</v>
      </c>
      <c r="K29" s="477">
        <v>0.96</v>
      </c>
      <c r="L29" s="477">
        <v>0.98</v>
      </c>
      <c r="M29" s="478">
        <v>1</v>
      </c>
      <c r="N29" s="474"/>
      <c r="O29" s="130">
        <v>2.9</v>
      </c>
      <c r="P29" s="131">
        <v>1.2195777034733817</v>
      </c>
      <c r="Q29" s="132">
        <v>4.1195777034733823</v>
      </c>
      <c r="R29" s="133"/>
      <c r="S29" s="130">
        <v>4.3099999999999996</v>
      </c>
      <c r="T29" s="134">
        <v>4.6223741905891354E-2</v>
      </c>
    </row>
    <row r="30" spans="1:20" s="458" customFormat="1" ht="15" customHeight="1">
      <c r="A30" s="457"/>
      <c r="B30" s="1267"/>
      <c r="C30" s="475" t="s">
        <v>95</v>
      </c>
      <c r="D30" s="476">
        <v>0</v>
      </c>
      <c r="E30" s="477">
        <v>0</v>
      </c>
      <c r="F30" s="477">
        <v>0.4</v>
      </c>
      <c r="G30" s="477">
        <v>0.13087348159359394</v>
      </c>
      <c r="H30" s="478">
        <v>0.16217413541761019</v>
      </c>
      <c r="I30" s="476">
        <v>0.36</v>
      </c>
      <c r="J30" s="477">
        <v>0.48</v>
      </c>
      <c r="K30" s="477">
        <v>0.6</v>
      </c>
      <c r="L30" s="477">
        <v>0.6</v>
      </c>
      <c r="M30" s="478">
        <v>0.71</v>
      </c>
      <c r="N30" s="474"/>
      <c r="O30" s="130">
        <v>0.4</v>
      </c>
      <c r="P30" s="131">
        <v>0.29304761701120413</v>
      </c>
      <c r="Q30" s="132">
        <v>0.6930476170112041</v>
      </c>
      <c r="R30" s="133"/>
      <c r="S30" s="130">
        <v>2.75</v>
      </c>
      <c r="T30" s="134">
        <v>2.9679813226391087</v>
      </c>
    </row>
    <row r="31" spans="1:20" s="458" customFormat="1" ht="15" customHeight="1">
      <c r="A31" s="457"/>
      <c r="B31" s="1267"/>
      <c r="C31" s="479" t="s">
        <v>434</v>
      </c>
      <c r="D31" s="476">
        <v>0</v>
      </c>
      <c r="E31" s="477">
        <v>0</v>
      </c>
      <c r="F31" s="477">
        <v>0</v>
      </c>
      <c r="G31" s="477">
        <v>0</v>
      </c>
      <c r="H31" s="478">
        <v>0</v>
      </c>
      <c r="I31" s="476">
        <v>0</v>
      </c>
      <c r="J31" s="477">
        <v>0</v>
      </c>
      <c r="K31" s="477">
        <v>0</v>
      </c>
      <c r="L31" s="477">
        <v>0</v>
      </c>
      <c r="M31" s="478">
        <v>0</v>
      </c>
      <c r="N31" s="474"/>
      <c r="O31" s="130">
        <v>0</v>
      </c>
      <c r="P31" s="131">
        <v>0</v>
      </c>
      <c r="Q31" s="132">
        <v>0</v>
      </c>
      <c r="R31" s="133"/>
      <c r="S31" s="130">
        <v>0</v>
      </c>
      <c r="T31" s="134" t="s">
        <v>989</v>
      </c>
    </row>
    <row r="32" spans="1:20" s="458" customFormat="1" ht="15" customHeight="1">
      <c r="A32" s="457"/>
      <c r="B32" s="1267"/>
      <c r="C32" s="479" t="s">
        <v>429</v>
      </c>
      <c r="D32" s="476">
        <v>1</v>
      </c>
      <c r="E32" s="477">
        <v>1.8</v>
      </c>
      <c r="F32" s="477">
        <v>0.1</v>
      </c>
      <c r="G32" s="477">
        <v>0.55699753766233584</v>
      </c>
      <c r="H32" s="478">
        <v>0.13584716538228386</v>
      </c>
      <c r="I32" s="476">
        <v>0.16</v>
      </c>
      <c r="J32" s="477">
        <v>0.17</v>
      </c>
      <c r="K32" s="477">
        <v>0.18</v>
      </c>
      <c r="L32" s="477">
        <v>0.2</v>
      </c>
      <c r="M32" s="478">
        <v>0.21</v>
      </c>
      <c r="N32" s="474"/>
      <c r="O32" s="130">
        <v>2.9</v>
      </c>
      <c r="P32" s="131">
        <v>0.69284470304461965</v>
      </c>
      <c r="Q32" s="132">
        <v>3.5928447030446198</v>
      </c>
      <c r="R32" s="133"/>
      <c r="S32" s="130">
        <v>0.92</v>
      </c>
      <c r="T32" s="134">
        <v>-0.74393549511884527</v>
      </c>
    </row>
    <row r="33" spans="1:20" s="458" customFormat="1" ht="15" customHeight="1">
      <c r="A33" s="457"/>
      <c r="B33" s="1267"/>
      <c r="C33" s="479" t="s">
        <v>432</v>
      </c>
      <c r="D33" s="476">
        <v>0.1</v>
      </c>
      <c r="E33" s="477">
        <v>0.6</v>
      </c>
      <c r="F33" s="477">
        <v>0.8</v>
      </c>
      <c r="G33" s="477">
        <v>1.0417529134850076</v>
      </c>
      <c r="H33" s="478">
        <v>0</v>
      </c>
      <c r="I33" s="476">
        <v>2.29</v>
      </c>
      <c r="J33" s="477">
        <v>2.29</v>
      </c>
      <c r="K33" s="477">
        <v>2.29</v>
      </c>
      <c r="L33" s="477">
        <v>2.14</v>
      </c>
      <c r="M33" s="478">
        <v>2.14</v>
      </c>
      <c r="N33" s="474"/>
      <c r="O33" s="130">
        <v>1.5</v>
      </c>
      <c r="P33" s="131">
        <v>1.0417529134850076</v>
      </c>
      <c r="Q33" s="132">
        <v>2.5417529134850074</v>
      </c>
      <c r="R33" s="133"/>
      <c r="S33" s="130">
        <v>11.15</v>
      </c>
      <c r="T33" s="134">
        <v>3.3867363900105425</v>
      </c>
    </row>
    <row r="34" spans="1:20" s="458" customFormat="1" ht="15" customHeight="1">
      <c r="A34" s="457"/>
      <c r="B34" s="1268"/>
      <c r="C34" s="479" t="s">
        <v>433</v>
      </c>
      <c r="D34" s="476">
        <v>0.2</v>
      </c>
      <c r="E34" s="477">
        <v>0.2</v>
      </c>
      <c r="F34" s="477">
        <v>0.9</v>
      </c>
      <c r="G34" s="477">
        <v>0.23661925472121784</v>
      </c>
      <c r="H34" s="478">
        <v>0.1937664994600018</v>
      </c>
      <c r="I34" s="476">
        <v>0.21</v>
      </c>
      <c r="J34" s="477">
        <v>0.21</v>
      </c>
      <c r="K34" s="477">
        <v>0.21</v>
      </c>
      <c r="L34" s="477">
        <v>0.21</v>
      </c>
      <c r="M34" s="478">
        <v>0.21</v>
      </c>
      <c r="N34" s="474"/>
      <c r="O34" s="130">
        <v>1.3</v>
      </c>
      <c r="P34" s="131">
        <v>0.4303857541812196</v>
      </c>
      <c r="Q34" s="132">
        <v>1.7303857541812198</v>
      </c>
      <c r="R34" s="133"/>
      <c r="S34" s="130">
        <v>1.05</v>
      </c>
      <c r="T34" s="134">
        <v>-0.39319888789951535</v>
      </c>
    </row>
    <row r="35" spans="1:20" s="458" customFormat="1" ht="15" customHeight="1" thickBot="1">
      <c r="A35" s="457"/>
      <c r="B35" s="1264" t="s">
        <v>435</v>
      </c>
      <c r="C35" s="1265"/>
      <c r="D35" s="480">
        <v>11.2</v>
      </c>
      <c r="E35" s="481">
        <v>19.095869041372989</v>
      </c>
      <c r="F35" s="481">
        <v>22</v>
      </c>
      <c r="G35" s="481">
        <v>17.323958590352451</v>
      </c>
      <c r="H35" s="482">
        <v>14.399981701304355</v>
      </c>
      <c r="I35" s="480">
        <v>21.43</v>
      </c>
      <c r="J35" s="481">
        <v>24.9</v>
      </c>
      <c r="K35" s="481">
        <v>28.5</v>
      </c>
      <c r="L35" s="481">
        <v>29</v>
      </c>
      <c r="M35" s="482">
        <v>29.74</v>
      </c>
      <c r="N35" s="474"/>
      <c r="O35" s="150">
        <v>52.295869041372988</v>
      </c>
      <c r="P35" s="151">
        <v>31.723940291656806</v>
      </c>
      <c r="Q35" s="152">
        <v>84.019809333029798</v>
      </c>
      <c r="R35" s="133"/>
      <c r="S35" s="150">
        <v>133.57</v>
      </c>
      <c r="T35" s="153">
        <v>0.58974414558081001</v>
      </c>
    </row>
    <row r="36" spans="1:20" s="458" customFormat="1">
      <c r="A36" s="457"/>
      <c r="B36" s="483"/>
      <c r="C36" s="483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74"/>
      <c r="O36" s="474"/>
      <c r="P36" s="474"/>
      <c r="Q36" s="474"/>
      <c r="R36" s="485"/>
      <c r="S36" s="485"/>
      <c r="T36" s="485"/>
    </row>
    <row r="37" spans="1:20" s="458" customFormat="1">
      <c r="A37" s="457"/>
      <c r="B37" s="338"/>
      <c r="C37" s="338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474"/>
      <c r="P37" s="474"/>
      <c r="Q37" s="474"/>
      <c r="R37" s="485"/>
      <c r="S37" s="485"/>
      <c r="T37" s="485"/>
    </row>
    <row r="38" spans="1:20" s="458" customFormat="1" ht="15" customHeight="1">
      <c r="A38" s="457"/>
      <c r="B38" s="456" t="s">
        <v>436</v>
      </c>
      <c r="C38" s="338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85"/>
      <c r="O38" s="474"/>
      <c r="P38" s="474"/>
      <c r="Q38" s="474"/>
      <c r="R38" s="485"/>
      <c r="S38" s="485"/>
      <c r="T38" s="485"/>
    </row>
    <row r="39" spans="1:20" s="458" customFormat="1" ht="15" thickBot="1">
      <c r="A39" s="457"/>
      <c r="B39" s="338"/>
      <c r="C39" s="338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133"/>
      <c r="O39" s="474"/>
      <c r="P39" s="474"/>
      <c r="Q39" s="474"/>
      <c r="R39" s="485"/>
      <c r="S39" s="485"/>
      <c r="T39" s="485"/>
    </row>
    <row r="40" spans="1:20" s="458" customFormat="1" ht="15">
      <c r="A40" s="457"/>
      <c r="B40" s="1258" t="s">
        <v>420</v>
      </c>
      <c r="C40" s="1259"/>
      <c r="D40" s="486" t="s">
        <v>421</v>
      </c>
      <c r="E40" s="486"/>
      <c r="F40" s="486"/>
      <c r="G40" s="486"/>
      <c r="H40" s="487"/>
      <c r="I40" s="488" t="s">
        <v>422</v>
      </c>
      <c r="J40" s="486"/>
      <c r="K40" s="486"/>
      <c r="L40" s="486"/>
      <c r="M40" s="487"/>
      <c r="N40" s="133"/>
      <c r="O40" s="229" t="s">
        <v>191</v>
      </c>
      <c r="P40" s="230"/>
      <c r="Q40" s="231"/>
      <c r="R40" s="133"/>
      <c r="S40" s="229" t="s">
        <v>192</v>
      </c>
      <c r="T40" s="231"/>
    </row>
    <row r="41" spans="1:20" s="458" customFormat="1" ht="15">
      <c r="A41" s="457"/>
      <c r="B41" s="1260"/>
      <c r="C41" s="1261"/>
      <c r="D41" s="489" t="s">
        <v>79</v>
      </c>
      <c r="E41" s="490" t="s">
        <v>80</v>
      </c>
      <c r="F41" s="490" t="s">
        <v>81</v>
      </c>
      <c r="G41" s="490" t="s">
        <v>82</v>
      </c>
      <c r="H41" s="491" t="s">
        <v>44</v>
      </c>
      <c r="I41" s="492" t="s">
        <v>193</v>
      </c>
      <c r="J41" s="490" t="s">
        <v>194</v>
      </c>
      <c r="K41" s="490" t="s">
        <v>195</v>
      </c>
      <c r="L41" s="490" t="s">
        <v>196</v>
      </c>
      <c r="M41" s="491" t="s">
        <v>197</v>
      </c>
      <c r="N41" s="133"/>
      <c r="O41" s="232" t="s">
        <v>198</v>
      </c>
      <c r="P41" s="233" t="s">
        <v>199</v>
      </c>
      <c r="Q41" s="234" t="s">
        <v>200</v>
      </c>
      <c r="R41" s="133"/>
      <c r="S41" s="232" t="s">
        <v>199</v>
      </c>
      <c r="T41" s="234" t="s">
        <v>201</v>
      </c>
    </row>
    <row r="42" spans="1:20" s="458" customFormat="1" ht="15">
      <c r="A42" s="457"/>
      <c r="B42" s="1262"/>
      <c r="C42" s="1263"/>
      <c r="D42" s="489" t="s">
        <v>203</v>
      </c>
      <c r="E42" s="490" t="s">
        <v>203</v>
      </c>
      <c r="F42" s="490" t="s">
        <v>203</v>
      </c>
      <c r="G42" s="490" t="s">
        <v>203</v>
      </c>
      <c r="H42" s="491" t="s">
        <v>203</v>
      </c>
      <c r="I42" s="489" t="s">
        <v>203</v>
      </c>
      <c r="J42" s="490" t="s">
        <v>203</v>
      </c>
      <c r="K42" s="490" t="s">
        <v>203</v>
      </c>
      <c r="L42" s="490" t="s">
        <v>203</v>
      </c>
      <c r="M42" s="491" t="s">
        <v>203</v>
      </c>
      <c r="N42" s="474"/>
      <c r="O42" s="239"/>
      <c r="P42" s="240"/>
      <c r="Q42" s="241"/>
      <c r="R42" s="133"/>
      <c r="S42" s="165"/>
      <c r="T42" s="167"/>
    </row>
    <row r="43" spans="1:20" s="458" customFormat="1" ht="15" customHeight="1">
      <c r="A43" s="457"/>
      <c r="B43" s="1272" t="s">
        <v>423</v>
      </c>
      <c r="C43" s="470" t="s">
        <v>424</v>
      </c>
      <c r="D43" s="493">
        <v>1</v>
      </c>
      <c r="E43" s="493">
        <v>0.9</v>
      </c>
      <c r="F43" s="493">
        <v>1.5</v>
      </c>
      <c r="G43" s="493">
        <v>0.97998063017283144</v>
      </c>
      <c r="H43" s="494">
        <v>0.4485690832677206</v>
      </c>
      <c r="I43" s="495">
        <v>0.82</v>
      </c>
      <c r="J43" s="496">
        <v>0.89</v>
      </c>
      <c r="K43" s="496">
        <v>1</v>
      </c>
      <c r="L43" s="496">
        <v>1</v>
      </c>
      <c r="M43" s="497">
        <v>1</v>
      </c>
      <c r="N43" s="474"/>
      <c r="O43" s="130">
        <v>3.4</v>
      </c>
      <c r="P43" s="131">
        <v>1.428549713440552</v>
      </c>
      <c r="Q43" s="132">
        <v>4.8285497134405517</v>
      </c>
      <c r="R43" s="133"/>
      <c r="S43" s="130">
        <v>4.71</v>
      </c>
      <c r="T43" s="134">
        <v>-2.4551826216174532E-2</v>
      </c>
    </row>
    <row r="44" spans="1:20" s="458" customFormat="1" ht="15" customHeight="1">
      <c r="A44" s="457"/>
      <c r="B44" s="1273"/>
      <c r="C44" s="475" t="s">
        <v>425</v>
      </c>
      <c r="D44" s="498">
        <v>0.5</v>
      </c>
      <c r="E44" s="498">
        <v>0.7</v>
      </c>
      <c r="F44" s="498">
        <v>0.6</v>
      </c>
      <c r="G44" s="498">
        <v>0.67949511643393978</v>
      </c>
      <c r="H44" s="499">
        <v>0.39907437960130709</v>
      </c>
      <c r="I44" s="500">
        <v>1.04</v>
      </c>
      <c r="J44" s="501">
        <v>1.18</v>
      </c>
      <c r="K44" s="501">
        <v>1.32</v>
      </c>
      <c r="L44" s="501">
        <v>1.47</v>
      </c>
      <c r="M44" s="502">
        <v>1.62</v>
      </c>
      <c r="N44" s="474"/>
      <c r="O44" s="130">
        <v>1.8</v>
      </c>
      <c r="P44" s="131">
        <v>1.078569496035247</v>
      </c>
      <c r="Q44" s="132">
        <v>2.8785694960352468</v>
      </c>
      <c r="R44" s="133"/>
      <c r="S44" s="130">
        <v>6.63</v>
      </c>
      <c r="T44" s="134">
        <v>1.3032273527290996</v>
      </c>
    </row>
    <row r="45" spans="1:20" s="458" customFormat="1" ht="15" customHeight="1">
      <c r="A45" s="457"/>
      <c r="B45" s="1272" t="s">
        <v>426</v>
      </c>
      <c r="C45" s="475" t="s">
        <v>424</v>
      </c>
      <c r="D45" s="498">
        <v>0</v>
      </c>
      <c r="E45" s="498">
        <v>0</v>
      </c>
      <c r="F45" s="498">
        <v>0</v>
      </c>
      <c r="G45" s="498">
        <v>9.4228906747387629E-3</v>
      </c>
      <c r="H45" s="499">
        <v>3.1592364042391595E-2</v>
      </c>
      <c r="I45" s="500">
        <v>0</v>
      </c>
      <c r="J45" s="501">
        <v>0</v>
      </c>
      <c r="K45" s="501">
        <v>0</v>
      </c>
      <c r="L45" s="501">
        <v>0</v>
      </c>
      <c r="M45" s="502">
        <v>0</v>
      </c>
      <c r="N45" s="474"/>
      <c r="O45" s="130">
        <v>0</v>
      </c>
      <c r="P45" s="131">
        <v>4.1015254717130356E-2</v>
      </c>
      <c r="Q45" s="132">
        <v>4.1015254717130356E-2</v>
      </c>
      <c r="R45" s="133"/>
      <c r="S45" s="130">
        <v>0</v>
      </c>
      <c r="T45" s="134">
        <v>-1</v>
      </c>
    </row>
    <row r="46" spans="1:20" s="458" customFormat="1" ht="15" customHeight="1">
      <c r="A46" s="457"/>
      <c r="B46" s="1273"/>
      <c r="C46" s="475" t="s">
        <v>425</v>
      </c>
      <c r="D46" s="498">
        <v>0</v>
      </c>
      <c r="E46" s="501">
        <v>-0.10413095862701416</v>
      </c>
      <c r="F46" s="501">
        <v>-0.2</v>
      </c>
      <c r="G46" s="501">
        <v>-3.4053020369104861E-2</v>
      </c>
      <c r="H46" s="502">
        <v>-5.3770690340651767E-2</v>
      </c>
      <c r="I46" s="500">
        <v>-0.1</v>
      </c>
      <c r="J46" s="501">
        <v>-0.1</v>
      </c>
      <c r="K46" s="501">
        <v>-0.1</v>
      </c>
      <c r="L46" s="501">
        <v>-0.1</v>
      </c>
      <c r="M46" s="502">
        <v>-0.1</v>
      </c>
      <c r="N46" s="474"/>
      <c r="O46" s="130">
        <v>-0.30413095862701411</v>
      </c>
      <c r="P46" s="131">
        <v>-8.7823710709756628E-2</v>
      </c>
      <c r="Q46" s="132">
        <v>-0.3919546693367707</v>
      </c>
      <c r="R46" s="133"/>
      <c r="S46" s="130">
        <v>-0.5</v>
      </c>
      <c r="T46" s="134">
        <v>0.27565772043500231</v>
      </c>
    </row>
    <row r="47" spans="1:20" s="458" customFormat="1" ht="15" customHeight="1">
      <c r="A47" s="457"/>
      <c r="B47" s="1266" t="s">
        <v>346</v>
      </c>
      <c r="C47" s="475" t="s">
        <v>427</v>
      </c>
      <c r="D47" s="503">
        <v>1.7</v>
      </c>
      <c r="E47" s="504">
        <v>1.7</v>
      </c>
      <c r="F47" s="504">
        <v>2</v>
      </c>
      <c r="G47" s="504">
        <v>1.457407091026262</v>
      </c>
      <c r="H47" s="505">
        <v>1.4107007325510907</v>
      </c>
      <c r="I47" s="506">
        <v>1.61</v>
      </c>
      <c r="J47" s="504">
        <v>1.76</v>
      </c>
      <c r="K47" s="504">
        <v>1.94</v>
      </c>
      <c r="L47" s="504">
        <v>1.94</v>
      </c>
      <c r="M47" s="505">
        <v>1.94</v>
      </c>
      <c r="N47" s="474"/>
      <c r="O47" s="130">
        <v>5.4</v>
      </c>
      <c r="P47" s="131">
        <v>2.8681078235773527</v>
      </c>
      <c r="Q47" s="132">
        <v>8.2681078235773526</v>
      </c>
      <c r="R47" s="133"/>
      <c r="S47" s="130">
        <v>9.19</v>
      </c>
      <c r="T47" s="134">
        <v>0.11149977674381281</v>
      </c>
    </row>
    <row r="48" spans="1:20" s="458" customFormat="1" ht="15" customHeight="1">
      <c r="A48" s="457"/>
      <c r="B48" s="1267"/>
      <c r="C48" s="475" t="s">
        <v>428</v>
      </c>
      <c r="D48" s="498">
        <v>0.2</v>
      </c>
      <c r="E48" s="501">
        <v>0.2</v>
      </c>
      <c r="F48" s="501">
        <v>0.2</v>
      </c>
      <c r="G48" s="501">
        <v>8.008191067278525E-2</v>
      </c>
      <c r="H48" s="502">
        <v>0.12106157602826106</v>
      </c>
      <c r="I48" s="500">
        <v>0.48</v>
      </c>
      <c r="J48" s="501">
        <v>0.56999999999999995</v>
      </c>
      <c r="K48" s="501">
        <v>0.65</v>
      </c>
      <c r="L48" s="501">
        <v>0.73</v>
      </c>
      <c r="M48" s="502">
        <v>0.83</v>
      </c>
      <c r="N48" s="507"/>
      <c r="O48" s="130">
        <v>0.6</v>
      </c>
      <c r="P48" s="131">
        <v>0.20114348670104631</v>
      </c>
      <c r="Q48" s="132">
        <v>0.8011434867010464</v>
      </c>
      <c r="R48" s="133"/>
      <c r="S48" s="130">
        <v>3.26</v>
      </c>
      <c r="T48" s="134">
        <v>3.0691836782247939</v>
      </c>
    </row>
    <row r="49" spans="1:20" s="458" customFormat="1" ht="15" customHeight="1">
      <c r="A49" s="457"/>
      <c r="B49" s="1268"/>
      <c r="C49" s="479" t="s">
        <v>429</v>
      </c>
      <c r="D49" s="498">
        <v>0.2</v>
      </c>
      <c r="E49" s="501">
        <v>0.1</v>
      </c>
      <c r="F49" s="501">
        <v>0.1</v>
      </c>
      <c r="G49" s="501">
        <v>0.26593491459818286</v>
      </c>
      <c r="H49" s="502">
        <v>0.30855208881402457</v>
      </c>
      <c r="I49" s="500">
        <v>0.47</v>
      </c>
      <c r="J49" s="501">
        <v>0.51</v>
      </c>
      <c r="K49" s="501">
        <v>0.56000000000000005</v>
      </c>
      <c r="L49" s="501">
        <v>0.61</v>
      </c>
      <c r="M49" s="502">
        <v>0.66</v>
      </c>
      <c r="N49" s="507"/>
      <c r="O49" s="130">
        <v>0.4</v>
      </c>
      <c r="P49" s="131">
        <v>0.57448700341220738</v>
      </c>
      <c r="Q49" s="132">
        <v>0.97448700341220751</v>
      </c>
      <c r="R49" s="133"/>
      <c r="S49" s="130">
        <v>2.81</v>
      </c>
      <c r="T49" s="134">
        <v>1.8835684726021651</v>
      </c>
    </row>
    <row r="50" spans="1:20" s="458" customFormat="1" ht="15" customHeight="1">
      <c r="A50" s="457"/>
      <c r="B50" s="1266" t="s">
        <v>223</v>
      </c>
      <c r="C50" s="475" t="s">
        <v>430</v>
      </c>
      <c r="D50" s="503">
        <v>1.9</v>
      </c>
      <c r="E50" s="504">
        <v>5.2</v>
      </c>
      <c r="F50" s="504">
        <v>5</v>
      </c>
      <c r="G50" s="504">
        <v>3.4246972663411661</v>
      </c>
      <c r="H50" s="505">
        <v>3.2169433076456775</v>
      </c>
      <c r="I50" s="506">
        <v>5.15</v>
      </c>
      <c r="J50" s="504">
        <v>7.1</v>
      </c>
      <c r="K50" s="504">
        <v>9.07</v>
      </c>
      <c r="L50" s="504">
        <v>9.07</v>
      </c>
      <c r="M50" s="505">
        <v>9.07</v>
      </c>
      <c r="N50" s="474"/>
      <c r="O50" s="130">
        <v>12.1</v>
      </c>
      <c r="P50" s="131">
        <v>6.6416405739868436</v>
      </c>
      <c r="Q50" s="132">
        <v>18.741640573986842</v>
      </c>
      <c r="R50" s="133"/>
      <c r="S50" s="130">
        <v>39.46</v>
      </c>
      <c r="T50" s="134">
        <v>1.1054720286744788</v>
      </c>
    </row>
    <row r="51" spans="1:20" s="458" customFormat="1" ht="15" customHeight="1">
      <c r="A51" s="457"/>
      <c r="B51" s="1267"/>
      <c r="C51" s="475" t="s">
        <v>95</v>
      </c>
      <c r="D51" s="498">
        <v>0.2</v>
      </c>
      <c r="E51" s="501">
        <v>0.6</v>
      </c>
      <c r="F51" s="501">
        <v>1.1000000000000001</v>
      </c>
      <c r="G51" s="501">
        <v>0.43135899533248562</v>
      </c>
      <c r="H51" s="502">
        <v>0.24747351833206749</v>
      </c>
      <c r="I51" s="500">
        <v>0.43</v>
      </c>
      <c r="J51" s="501">
        <v>0.48</v>
      </c>
      <c r="K51" s="501">
        <v>0.55000000000000004</v>
      </c>
      <c r="L51" s="501">
        <v>0.61</v>
      </c>
      <c r="M51" s="502">
        <v>0.69</v>
      </c>
      <c r="N51" s="474"/>
      <c r="O51" s="130">
        <v>1.9</v>
      </c>
      <c r="P51" s="131">
        <v>0.67883251366455311</v>
      </c>
      <c r="Q51" s="132">
        <v>2.5788325136645529</v>
      </c>
      <c r="R51" s="133"/>
      <c r="S51" s="130">
        <v>2.76</v>
      </c>
      <c r="T51" s="134">
        <v>7.0251745848358971E-2</v>
      </c>
    </row>
    <row r="52" spans="1:20" s="458" customFormat="1" ht="15" customHeight="1">
      <c r="A52" s="457"/>
      <c r="B52" s="1267"/>
      <c r="C52" s="479" t="s">
        <v>431</v>
      </c>
      <c r="D52" s="498">
        <v>0</v>
      </c>
      <c r="E52" s="501">
        <v>0</v>
      </c>
      <c r="F52" s="501">
        <v>0</v>
      </c>
      <c r="G52" s="501">
        <v>0</v>
      </c>
      <c r="H52" s="502">
        <v>0</v>
      </c>
      <c r="I52" s="500">
        <v>0</v>
      </c>
      <c r="J52" s="501">
        <v>0</v>
      </c>
      <c r="K52" s="501">
        <v>0</v>
      </c>
      <c r="L52" s="501">
        <v>0</v>
      </c>
      <c r="M52" s="502">
        <v>0</v>
      </c>
      <c r="N52" s="474"/>
      <c r="O52" s="130">
        <v>0</v>
      </c>
      <c r="P52" s="131">
        <v>0</v>
      </c>
      <c r="Q52" s="132">
        <v>0</v>
      </c>
      <c r="R52" s="133"/>
      <c r="S52" s="130">
        <v>0</v>
      </c>
      <c r="T52" s="134" t="s">
        <v>989</v>
      </c>
    </row>
    <row r="53" spans="1:20" s="458" customFormat="1" ht="15" customHeight="1">
      <c r="A53" s="457"/>
      <c r="B53" s="1267"/>
      <c r="C53" s="479" t="s">
        <v>429</v>
      </c>
      <c r="D53" s="498">
        <v>0.9</v>
      </c>
      <c r="E53" s="501">
        <v>1.1000000000000001</v>
      </c>
      <c r="F53" s="501">
        <v>2.5</v>
      </c>
      <c r="G53" s="501">
        <v>1.8861359566643816</v>
      </c>
      <c r="H53" s="502">
        <v>2.4316014385969797</v>
      </c>
      <c r="I53" s="500">
        <v>1.71</v>
      </c>
      <c r="J53" s="501">
        <v>1.78</v>
      </c>
      <c r="K53" s="501">
        <v>1.84</v>
      </c>
      <c r="L53" s="501">
        <v>1.89</v>
      </c>
      <c r="M53" s="502">
        <v>1.94</v>
      </c>
      <c r="N53" s="474"/>
      <c r="O53" s="130">
        <v>4.5</v>
      </c>
      <c r="P53" s="131">
        <v>4.3177373952613616</v>
      </c>
      <c r="Q53" s="132">
        <v>8.8177373952613607</v>
      </c>
      <c r="R53" s="133"/>
      <c r="S53" s="130">
        <v>9.16</v>
      </c>
      <c r="T53" s="134">
        <v>3.8815241302442377E-2</v>
      </c>
    </row>
    <row r="54" spans="1:20" s="458" customFormat="1" ht="15" customHeight="1">
      <c r="A54" s="457"/>
      <c r="B54" s="1267"/>
      <c r="C54" s="475" t="s">
        <v>432</v>
      </c>
      <c r="D54" s="498">
        <v>0.1</v>
      </c>
      <c r="E54" s="501">
        <v>0.8</v>
      </c>
      <c r="F54" s="501">
        <v>0.7</v>
      </c>
      <c r="G54" s="501">
        <v>0.38475537582267194</v>
      </c>
      <c r="H54" s="502">
        <v>0.81512547842794325</v>
      </c>
      <c r="I54" s="500">
        <v>1.66</v>
      </c>
      <c r="J54" s="501">
        <v>1.75</v>
      </c>
      <c r="K54" s="501">
        <v>1.83</v>
      </c>
      <c r="L54" s="501">
        <v>1.91</v>
      </c>
      <c r="M54" s="502">
        <v>1.98</v>
      </c>
      <c r="N54" s="474"/>
      <c r="O54" s="130">
        <v>1.6</v>
      </c>
      <c r="P54" s="131">
        <v>1.1998808542506152</v>
      </c>
      <c r="Q54" s="132">
        <v>2.7998808542506151</v>
      </c>
      <c r="R54" s="133"/>
      <c r="S54" s="130">
        <v>9.1300000000000008</v>
      </c>
      <c r="T54" s="134">
        <v>2.2608530417068891</v>
      </c>
    </row>
    <row r="55" spans="1:20" s="458" customFormat="1" ht="15" customHeight="1">
      <c r="A55" s="457"/>
      <c r="B55" s="1268"/>
      <c r="C55" s="475" t="s">
        <v>433</v>
      </c>
      <c r="D55" s="498">
        <v>0.6</v>
      </c>
      <c r="E55" s="501">
        <v>1</v>
      </c>
      <c r="F55" s="501">
        <v>0.8</v>
      </c>
      <c r="G55" s="501">
        <v>0.6470384929987284</v>
      </c>
      <c r="H55" s="502">
        <v>0.48757548505424364</v>
      </c>
      <c r="I55" s="500">
        <v>0.7</v>
      </c>
      <c r="J55" s="501">
        <v>0.7</v>
      </c>
      <c r="K55" s="501">
        <v>0.7</v>
      </c>
      <c r="L55" s="501">
        <v>0.7</v>
      </c>
      <c r="M55" s="502">
        <v>0.7</v>
      </c>
      <c r="N55" s="474"/>
      <c r="O55" s="130">
        <v>2.4</v>
      </c>
      <c r="P55" s="131">
        <v>1.134613978052972</v>
      </c>
      <c r="Q55" s="132">
        <v>3.5346139780529722</v>
      </c>
      <c r="R55" s="133"/>
      <c r="S55" s="130">
        <v>3.5</v>
      </c>
      <c r="T55" s="134">
        <v>-9.7928594941049663E-3</v>
      </c>
    </row>
    <row r="56" spans="1:20" s="458" customFormat="1" ht="15" customHeight="1">
      <c r="A56" s="457"/>
      <c r="B56" s="1266" t="s">
        <v>403</v>
      </c>
      <c r="C56" s="475" t="s">
        <v>430</v>
      </c>
      <c r="D56" s="503">
        <v>0.3</v>
      </c>
      <c r="E56" s="504">
        <v>0.4</v>
      </c>
      <c r="F56" s="504">
        <v>0.9</v>
      </c>
      <c r="G56" s="504">
        <v>2.0772238998535228</v>
      </c>
      <c r="H56" s="505">
        <v>1.2089344640221851</v>
      </c>
      <c r="I56" s="506">
        <v>0.66</v>
      </c>
      <c r="J56" s="504">
        <v>1.08</v>
      </c>
      <c r="K56" s="504">
        <v>1.51</v>
      </c>
      <c r="L56" s="504">
        <v>1.51</v>
      </c>
      <c r="M56" s="505">
        <v>1.52</v>
      </c>
      <c r="N56" s="474"/>
      <c r="O56" s="130">
        <v>1.6</v>
      </c>
      <c r="P56" s="131">
        <v>3.2861583638757077</v>
      </c>
      <c r="Q56" s="132">
        <v>4.8861583638757082</v>
      </c>
      <c r="R56" s="133"/>
      <c r="S56" s="130">
        <v>6.28</v>
      </c>
      <c r="T56" s="134">
        <v>0.28526329527696592</v>
      </c>
    </row>
    <row r="57" spans="1:20" s="458" customFormat="1" ht="15" customHeight="1">
      <c r="A57" s="457"/>
      <c r="B57" s="1267"/>
      <c r="C57" s="475" t="s">
        <v>95</v>
      </c>
      <c r="D57" s="498">
        <v>0.8</v>
      </c>
      <c r="E57" s="501">
        <v>0.9</v>
      </c>
      <c r="F57" s="501">
        <v>0</v>
      </c>
      <c r="G57" s="501">
        <v>4.7114453373693813E-2</v>
      </c>
      <c r="H57" s="502">
        <v>0.10846711654554447</v>
      </c>
      <c r="I57" s="500">
        <v>0.14000000000000001</v>
      </c>
      <c r="J57" s="501">
        <v>0.17</v>
      </c>
      <c r="K57" s="501">
        <v>0.2</v>
      </c>
      <c r="L57" s="501">
        <v>0.23</v>
      </c>
      <c r="M57" s="502">
        <v>0.26</v>
      </c>
      <c r="N57" s="474"/>
      <c r="O57" s="130">
        <v>1.7</v>
      </c>
      <c r="P57" s="131">
        <v>0.15558156991923827</v>
      </c>
      <c r="Q57" s="132">
        <v>1.8555815699192384</v>
      </c>
      <c r="R57" s="133"/>
      <c r="S57" s="130">
        <v>1</v>
      </c>
      <c r="T57" s="134">
        <v>-0.46108539974153567</v>
      </c>
    </row>
    <row r="58" spans="1:20" s="458" customFormat="1" ht="15" customHeight="1">
      <c r="A58" s="457"/>
      <c r="B58" s="1267"/>
      <c r="C58" s="475" t="s">
        <v>431</v>
      </c>
      <c r="D58" s="498">
        <v>0</v>
      </c>
      <c r="E58" s="501">
        <v>0</v>
      </c>
      <c r="F58" s="501">
        <v>0</v>
      </c>
      <c r="G58" s="501">
        <v>0</v>
      </c>
      <c r="H58" s="502">
        <v>0</v>
      </c>
      <c r="I58" s="500">
        <v>0</v>
      </c>
      <c r="J58" s="501">
        <v>0</v>
      </c>
      <c r="K58" s="501">
        <v>0</v>
      </c>
      <c r="L58" s="501">
        <v>0</v>
      </c>
      <c r="M58" s="502">
        <v>0</v>
      </c>
      <c r="N58" s="474"/>
      <c r="O58" s="130">
        <v>0</v>
      </c>
      <c r="P58" s="131">
        <v>0</v>
      </c>
      <c r="Q58" s="132">
        <v>0</v>
      </c>
      <c r="R58" s="133"/>
      <c r="S58" s="130">
        <v>0</v>
      </c>
      <c r="T58" s="134" t="s">
        <v>989</v>
      </c>
    </row>
    <row r="59" spans="1:20" s="458" customFormat="1" ht="15" customHeight="1">
      <c r="A59" s="457"/>
      <c r="B59" s="1267"/>
      <c r="C59" s="475" t="s">
        <v>429</v>
      </c>
      <c r="D59" s="498">
        <v>0.5</v>
      </c>
      <c r="E59" s="501">
        <v>1.3</v>
      </c>
      <c r="F59" s="501">
        <v>1.9</v>
      </c>
      <c r="G59" s="501">
        <v>1.0752565247729677</v>
      </c>
      <c r="H59" s="502">
        <v>1.5185396316376227</v>
      </c>
      <c r="I59" s="500">
        <v>0.65</v>
      </c>
      <c r="J59" s="501">
        <v>0.66</v>
      </c>
      <c r="K59" s="501">
        <v>0.67</v>
      </c>
      <c r="L59" s="501">
        <v>0.67</v>
      </c>
      <c r="M59" s="502">
        <v>0.67</v>
      </c>
      <c r="N59" s="474"/>
      <c r="O59" s="130">
        <v>3.7</v>
      </c>
      <c r="P59" s="131">
        <v>2.5937961564105905</v>
      </c>
      <c r="Q59" s="132">
        <v>6.2937961564105906</v>
      </c>
      <c r="R59" s="133"/>
      <c r="S59" s="130">
        <v>3.32</v>
      </c>
      <c r="T59" s="134">
        <v>-0.47249642068270825</v>
      </c>
    </row>
    <row r="60" spans="1:20" s="458" customFormat="1" ht="15" customHeight="1">
      <c r="A60" s="457"/>
      <c r="B60" s="1267"/>
      <c r="C60" s="475" t="s">
        <v>432</v>
      </c>
      <c r="D60" s="498">
        <v>0.1</v>
      </c>
      <c r="E60" s="501">
        <v>0.3</v>
      </c>
      <c r="F60" s="501">
        <v>0.8</v>
      </c>
      <c r="G60" s="501">
        <v>0.42191078453275838</v>
      </c>
      <c r="H60" s="502">
        <v>0.16120602888467728</v>
      </c>
      <c r="I60" s="500">
        <v>1.26</v>
      </c>
      <c r="J60" s="501">
        <v>1.32</v>
      </c>
      <c r="K60" s="501">
        <v>1.39</v>
      </c>
      <c r="L60" s="501">
        <v>1.5</v>
      </c>
      <c r="M60" s="502">
        <v>1.56</v>
      </c>
      <c r="N60" s="474"/>
      <c r="O60" s="130">
        <v>1.2</v>
      </c>
      <c r="P60" s="131">
        <v>0.5831168134174356</v>
      </c>
      <c r="Q60" s="132">
        <v>1.7831168134174358</v>
      </c>
      <c r="R60" s="133"/>
      <c r="S60" s="130">
        <v>7.03</v>
      </c>
      <c r="T60" s="134">
        <v>2.9425347498836274</v>
      </c>
    </row>
    <row r="61" spans="1:20" s="458" customFormat="1" ht="15" customHeight="1">
      <c r="A61" s="457"/>
      <c r="B61" s="1268"/>
      <c r="C61" s="479" t="s">
        <v>433</v>
      </c>
      <c r="D61" s="498">
        <v>0.4</v>
      </c>
      <c r="E61" s="501">
        <v>0.1</v>
      </c>
      <c r="F61" s="501">
        <v>0.3</v>
      </c>
      <c r="G61" s="501">
        <v>0.1382023965628352</v>
      </c>
      <c r="H61" s="502">
        <v>0.21272191788543676</v>
      </c>
      <c r="I61" s="500">
        <v>0.48</v>
      </c>
      <c r="J61" s="501">
        <v>0.48</v>
      </c>
      <c r="K61" s="501">
        <v>0.48</v>
      </c>
      <c r="L61" s="501">
        <v>0.48</v>
      </c>
      <c r="M61" s="502">
        <v>0.48</v>
      </c>
      <c r="N61" s="474"/>
      <c r="O61" s="130">
        <v>0.8</v>
      </c>
      <c r="P61" s="131">
        <v>0.35092431444827199</v>
      </c>
      <c r="Q61" s="132">
        <v>1.1509243144482719</v>
      </c>
      <c r="R61" s="133"/>
      <c r="S61" s="130">
        <v>2.4</v>
      </c>
      <c r="T61" s="134">
        <v>1.0852804740253557</v>
      </c>
    </row>
    <row r="62" spans="1:20" s="458" customFormat="1" ht="15" customHeight="1">
      <c r="A62" s="457"/>
      <c r="B62" s="1266" t="s">
        <v>402</v>
      </c>
      <c r="C62" s="475" t="s">
        <v>430</v>
      </c>
      <c r="D62" s="503">
        <v>0.5</v>
      </c>
      <c r="E62" s="504">
        <v>1.3</v>
      </c>
      <c r="F62" s="504">
        <v>1.1000000000000001</v>
      </c>
      <c r="G62" s="504">
        <v>0.88575172342544373</v>
      </c>
      <c r="H62" s="505">
        <v>0.3338259800479379</v>
      </c>
      <c r="I62" s="506">
        <v>0.6</v>
      </c>
      <c r="J62" s="504">
        <v>0.77</v>
      </c>
      <c r="K62" s="504">
        <v>0.96</v>
      </c>
      <c r="L62" s="504">
        <v>0.98</v>
      </c>
      <c r="M62" s="505">
        <v>1</v>
      </c>
      <c r="N62" s="474"/>
      <c r="O62" s="130">
        <v>2.9</v>
      </c>
      <c r="P62" s="131">
        <v>1.2195777034733817</v>
      </c>
      <c r="Q62" s="132">
        <v>4.1195777034733823</v>
      </c>
      <c r="R62" s="133"/>
      <c r="S62" s="130">
        <v>4.3099999999999996</v>
      </c>
      <c r="T62" s="134">
        <v>4.6223741905891354E-2</v>
      </c>
    </row>
    <row r="63" spans="1:20" s="458" customFormat="1" ht="15" customHeight="1">
      <c r="A63" s="457"/>
      <c r="B63" s="1267"/>
      <c r="C63" s="475" t="s">
        <v>95</v>
      </c>
      <c r="D63" s="498">
        <v>0</v>
      </c>
      <c r="E63" s="501">
        <v>0</v>
      </c>
      <c r="F63" s="501">
        <v>0.4</v>
      </c>
      <c r="G63" s="501">
        <v>0.13087348159359394</v>
      </c>
      <c r="H63" s="502">
        <v>0.16217413541761019</v>
      </c>
      <c r="I63" s="500">
        <v>0.36</v>
      </c>
      <c r="J63" s="501">
        <v>0.48</v>
      </c>
      <c r="K63" s="501">
        <v>0.6</v>
      </c>
      <c r="L63" s="501">
        <v>0.6</v>
      </c>
      <c r="M63" s="502">
        <v>0.71</v>
      </c>
      <c r="N63" s="474"/>
      <c r="O63" s="130">
        <v>0.4</v>
      </c>
      <c r="P63" s="131">
        <v>0.29304761701120413</v>
      </c>
      <c r="Q63" s="132">
        <v>0.6930476170112041</v>
      </c>
      <c r="R63" s="133"/>
      <c r="S63" s="130">
        <v>2.75</v>
      </c>
      <c r="T63" s="134">
        <v>2.9679813226391087</v>
      </c>
    </row>
    <row r="64" spans="1:20" s="458" customFormat="1" ht="15" customHeight="1">
      <c r="A64" s="457"/>
      <c r="B64" s="1267"/>
      <c r="C64" s="479" t="s">
        <v>434</v>
      </c>
      <c r="D64" s="498">
        <v>0</v>
      </c>
      <c r="E64" s="501">
        <v>0</v>
      </c>
      <c r="F64" s="501">
        <v>0</v>
      </c>
      <c r="G64" s="501">
        <v>0</v>
      </c>
      <c r="H64" s="502">
        <v>0</v>
      </c>
      <c r="I64" s="500">
        <v>0</v>
      </c>
      <c r="J64" s="501">
        <v>0</v>
      </c>
      <c r="K64" s="501">
        <v>0</v>
      </c>
      <c r="L64" s="501">
        <v>0</v>
      </c>
      <c r="M64" s="502">
        <v>0</v>
      </c>
      <c r="N64" s="474"/>
      <c r="O64" s="130">
        <v>0</v>
      </c>
      <c r="P64" s="131">
        <v>0</v>
      </c>
      <c r="Q64" s="132">
        <v>0</v>
      </c>
      <c r="R64" s="133"/>
      <c r="S64" s="130">
        <v>0</v>
      </c>
      <c r="T64" s="134" t="s">
        <v>989</v>
      </c>
    </row>
    <row r="65" spans="1:20" s="458" customFormat="1" ht="15" customHeight="1">
      <c r="A65" s="457"/>
      <c r="B65" s="1267"/>
      <c r="C65" s="479" t="s">
        <v>429</v>
      </c>
      <c r="D65" s="498">
        <v>1</v>
      </c>
      <c r="E65" s="501">
        <v>1.8</v>
      </c>
      <c r="F65" s="501">
        <v>0.1</v>
      </c>
      <c r="G65" s="501">
        <v>0.55699753766233584</v>
      </c>
      <c r="H65" s="502">
        <v>0.13584716538228386</v>
      </c>
      <c r="I65" s="500">
        <v>0.16</v>
      </c>
      <c r="J65" s="501">
        <v>0.17</v>
      </c>
      <c r="K65" s="501">
        <v>0.18</v>
      </c>
      <c r="L65" s="501">
        <v>0.2</v>
      </c>
      <c r="M65" s="502">
        <v>0.21</v>
      </c>
      <c r="N65" s="474"/>
      <c r="O65" s="130">
        <v>2.9</v>
      </c>
      <c r="P65" s="131">
        <v>0.69284470304461965</v>
      </c>
      <c r="Q65" s="132">
        <v>3.5928447030446198</v>
      </c>
      <c r="R65" s="133"/>
      <c r="S65" s="130">
        <v>0.92</v>
      </c>
      <c r="T65" s="134">
        <v>-0.74393549511884527</v>
      </c>
    </row>
    <row r="66" spans="1:20" s="458" customFormat="1" ht="15" customHeight="1">
      <c r="A66" s="457"/>
      <c r="B66" s="1267"/>
      <c r="C66" s="479" t="s">
        <v>432</v>
      </c>
      <c r="D66" s="498">
        <v>0.1</v>
      </c>
      <c r="E66" s="501">
        <v>0.6</v>
      </c>
      <c r="F66" s="501">
        <v>0.8</v>
      </c>
      <c r="G66" s="501">
        <v>1.0417529134850076</v>
      </c>
      <c r="H66" s="502">
        <v>0</v>
      </c>
      <c r="I66" s="500">
        <v>2.29</v>
      </c>
      <c r="J66" s="501">
        <v>2.29</v>
      </c>
      <c r="K66" s="501">
        <v>2.29</v>
      </c>
      <c r="L66" s="501">
        <v>2.14</v>
      </c>
      <c r="M66" s="502">
        <v>2.14</v>
      </c>
      <c r="N66" s="474"/>
      <c r="O66" s="130">
        <v>1.5</v>
      </c>
      <c r="P66" s="131">
        <v>1.0417529134850076</v>
      </c>
      <c r="Q66" s="132">
        <v>2.5417529134850074</v>
      </c>
      <c r="R66" s="133"/>
      <c r="S66" s="130">
        <v>11.15</v>
      </c>
      <c r="T66" s="134">
        <v>3.3867363900105425</v>
      </c>
    </row>
    <row r="67" spans="1:20" s="458" customFormat="1" ht="15" customHeight="1" thickBot="1">
      <c r="A67" s="457"/>
      <c r="B67" s="1269"/>
      <c r="C67" s="508" t="s">
        <v>433</v>
      </c>
      <c r="D67" s="509">
        <v>0.2</v>
      </c>
      <c r="E67" s="510">
        <v>0.2</v>
      </c>
      <c r="F67" s="510">
        <v>0.9</v>
      </c>
      <c r="G67" s="510">
        <v>0.23661925472121784</v>
      </c>
      <c r="H67" s="511">
        <v>0.1937664994600018</v>
      </c>
      <c r="I67" s="512">
        <v>0.21</v>
      </c>
      <c r="J67" s="510">
        <v>0.21</v>
      </c>
      <c r="K67" s="510">
        <v>0.21</v>
      </c>
      <c r="L67" s="510">
        <v>0.21</v>
      </c>
      <c r="M67" s="511">
        <v>0.21</v>
      </c>
      <c r="N67" s="474"/>
      <c r="O67" s="130">
        <v>1.3</v>
      </c>
      <c r="P67" s="131">
        <v>0.4303857541812196</v>
      </c>
      <c r="Q67" s="132">
        <v>1.7303857541812198</v>
      </c>
      <c r="R67" s="133"/>
      <c r="S67" s="130">
        <v>1.05</v>
      </c>
      <c r="T67" s="134">
        <v>-0.39319888789951535</v>
      </c>
    </row>
    <row r="68" spans="1:20" s="458" customFormat="1" ht="15" customHeight="1" thickBot="1">
      <c r="A68" s="457"/>
      <c r="B68" s="1270" t="s">
        <v>437</v>
      </c>
      <c r="C68" s="1271"/>
      <c r="D68" s="513">
        <v>11.2</v>
      </c>
      <c r="E68" s="514">
        <v>19.095869041372989</v>
      </c>
      <c r="F68" s="514">
        <v>21.5</v>
      </c>
      <c r="G68" s="514">
        <v>16.823958590352451</v>
      </c>
      <c r="H68" s="515">
        <v>13.899981701304355</v>
      </c>
      <c r="I68" s="516">
        <v>20.78</v>
      </c>
      <c r="J68" s="514">
        <v>24.25</v>
      </c>
      <c r="K68" s="514">
        <v>27.85</v>
      </c>
      <c r="L68" s="514">
        <v>28.35</v>
      </c>
      <c r="M68" s="515">
        <v>29.09</v>
      </c>
      <c r="N68" s="474"/>
      <c r="O68" s="150">
        <v>51.795869041372988</v>
      </c>
      <c r="P68" s="151">
        <v>30.723940291656806</v>
      </c>
      <c r="Q68" s="152">
        <v>82.519809333029798</v>
      </c>
      <c r="R68" s="133"/>
      <c r="S68" s="150">
        <v>130.32</v>
      </c>
      <c r="T68" s="153">
        <v>0.57925716325955534</v>
      </c>
    </row>
    <row r="69" spans="1:20" s="458" customFormat="1">
      <c r="A69" s="457"/>
      <c r="B69" s="483"/>
      <c r="C69" s="48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474"/>
      <c r="O69" s="474"/>
      <c r="P69" s="474"/>
      <c r="Q69" s="474"/>
      <c r="R69" s="485"/>
      <c r="S69" s="485"/>
      <c r="T69" s="485"/>
    </row>
    <row r="70" spans="1:20" s="458" customFormat="1">
      <c r="A70" s="457"/>
      <c r="B70" s="338"/>
      <c r="C70" s="338"/>
      <c r="D70" s="474"/>
      <c r="E70" s="474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85"/>
      <c r="S70" s="485"/>
      <c r="T70" s="485"/>
    </row>
    <row r="71" spans="1:20" s="458" customFormat="1" ht="15" customHeight="1">
      <c r="A71" s="457"/>
      <c r="B71" s="456" t="s">
        <v>438</v>
      </c>
      <c r="C71" s="338"/>
      <c r="D71" s="474"/>
      <c r="E71" s="474"/>
      <c r="F71" s="474"/>
      <c r="G71" s="474"/>
      <c r="H71" s="474"/>
      <c r="I71" s="474"/>
      <c r="J71" s="474"/>
      <c r="K71" s="474"/>
      <c r="L71" s="474"/>
      <c r="M71" s="474"/>
      <c r="N71" s="133"/>
      <c r="O71" s="474"/>
      <c r="P71" s="474"/>
      <c r="Q71" s="474"/>
      <c r="R71" s="485"/>
      <c r="S71" s="485"/>
      <c r="T71" s="485"/>
    </row>
    <row r="72" spans="1:20" s="458" customFormat="1" ht="15" thickBot="1">
      <c r="A72" s="457"/>
      <c r="B72" s="338"/>
      <c r="C72" s="338"/>
      <c r="D72" s="474"/>
      <c r="E72" s="474"/>
      <c r="F72" s="474"/>
      <c r="G72" s="474"/>
      <c r="H72" s="474"/>
      <c r="I72" s="474"/>
      <c r="J72" s="474"/>
      <c r="K72" s="474"/>
      <c r="L72" s="474"/>
      <c r="M72" s="474"/>
      <c r="N72" s="133"/>
      <c r="O72" s="474"/>
      <c r="P72" s="474"/>
      <c r="Q72" s="474"/>
      <c r="R72" s="485"/>
      <c r="S72" s="485"/>
      <c r="T72" s="485"/>
    </row>
    <row r="73" spans="1:20" s="458" customFormat="1" ht="15">
      <c r="A73" s="457"/>
      <c r="B73" s="1258" t="s">
        <v>420</v>
      </c>
      <c r="C73" s="1259"/>
      <c r="D73" s="486" t="s">
        <v>421</v>
      </c>
      <c r="E73" s="486"/>
      <c r="F73" s="486"/>
      <c r="G73" s="486"/>
      <c r="H73" s="487"/>
      <c r="I73" s="488" t="s">
        <v>422</v>
      </c>
      <c r="J73" s="486"/>
      <c r="K73" s="486"/>
      <c r="L73" s="486"/>
      <c r="M73" s="487"/>
      <c r="N73" s="133"/>
      <c r="O73" s="229" t="s">
        <v>191</v>
      </c>
      <c r="P73" s="230"/>
      <c r="Q73" s="231"/>
      <c r="R73" s="133"/>
      <c r="S73" s="229" t="s">
        <v>192</v>
      </c>
      <c r="T73" s="231"/>
    </row>
    <row r="74" spans="1:20" s="458" customFormat="1" ht="15">
      <c r="A74" s="457"/>
      <c r="B74" s="1260"/>
      <c r="C74" s="1261"/>
      <c r="D74" s="489" t="s">
        <v>79</v>
      </c>
      <c r="E74" s="490" t="s">
        <v>80</v>
      </c>
      <c r="F74" s="490" t="s">
        <v>81</v>
      </c>
      <c r="G74" s="490" t="s">
        <v>82</v>
      </c>
      <c r="H74" s="491" t="s">
        <v>44</v>
      </c>
      <c r="I74" s="492" t="s">
        <v>193</v>
      </c>
      <c r="J74" s="490" t="s">
        <v>194</v>
      </c>
      <c r="K74" s="490" t="s">
        <v>195</v>
      </c>
      <c r="L74" s="490" t="s">
        <v>196</v>
      </c>
      <c r="M74" s="491" t="s">
        <v>197</v>
      </c>
      <c r="N74" s="133"/>
      <c r="O74" s="232" t="s">
        <v>198</v>
      </c>
      <c r="P74" s="233" t="s">
        <v>199</v>
      </c>
      <c r="Q74" s="234" t="s">
        <v>200</v>
      </c>
      <c r="R74" s="133"/>
      <c r="S74" s="232" t="s">
        <v>199</v>
      </c>
      <c r="T74" s="234" t="s">
        <v>201</v>
      </c>
    </row>
    <row r="75" spans="1:20" s="458" customFormat="1" ht="15">
      <c r="A75" s="457"/>
      <c r="B75" s="1262"/>
      <c r="C75" s="1263"/>
      <c r="D75" s="489" t="s">
        <v>203</v>
      </c>
      <c r="E75" s="490" t="s">
        <v>203</v>
      </c>
      <c r="F75" s="490" t="s">
        <v>203</v>
      </c>
      <c r="G75" s="490" t="s">
        <v>203</v>
      </c>
      <c r="H75" s="491" t="s">
        <v>203</v>
      </c>
      <c r="I75" s="492" t="s">
        <v>203</v>
      </c>
      <c r="J75" s="490" t="s">
        <v>203</v>
      </c>
      <c r="K75" s="490" t="s">
        <v>203</v>
      </c>
      <c r="L75" s="490" t="s">
        <v>203</v>
      </c>
      <c r="M75" s="491" t="s">
        <v>203</v>
      </c>
      <c r="N75" s="474"/>
      <c r="O75" s="239"/>
      <c r="P75" s="240"/>
      <c r="Q75" s="241"/>
      <c r="R75" s="133"/>
      <c r="S75" s="165"/>
      <c r="T75" s="167"/>
    </row>
    <row r="76" spans="1:20" s="458" customFormat="1" ht="15" customHeight="1">
      <c r="A76" s="457"/>
      <c r="B76" s="1272" t="s">
        <v>423</v>
      </c>
      <c r="C76" s="470" t="s">
        <v>424</v>
      </c>
      <c r="D76" s="493">
        <v>0</v>
      </c>
      <c r="E76" s="493">
        <v>0</v>
      </c>
      <c r="F76" s="493">
        <v>0</v>
      </c>
      <c r="G76" s="493">
        <v>0</v>
      </c>
      <c r="H76" s="494">
        <v>0</v>
      </c>
      <c r="I76" s="495">
        <v>0</v>
      </c>
      <c r="J76" s="496">
        <v>0</v>
      </c>
      <c r="K76" s="496">
        <v>0</v>
      </c>
      <c r="L76" s="496">
        <v>0</v>
      </c>
      <c r="M76" s="497">
        <v>0</v>
      </c>
      <c r="N76" s="474"/>
      <c r="O76" s="130">
        <v>0</v>
      </c>
      <c r="P76" s="131">
        <v>0</v>
      </c>
      <c r="Q76" s="132">
        <v>0</v>
      </c>
      <c r="R76" s="133"/>
      <c r="S76" s="130">
        <v>0</v>
      </c>
      <c r="T76" s="134" t="s">
        <v>989</v>
      </c>
    </row>
    <row r="77" spans="1:20" s="458" customFormat="1" ht="15" customHeight="1">
      <c r="A77" s="457"/>
      <c r="B77" s="1273"/>
      <c r="C77" s="475" t="s">
        <v>425</v>
      </c>
      <c r="D77" s="498">
        <v>0</v>
      </c>
      <c r="E77" s="498">
        <v>0</v>
      </c>
      <c r="F77" s="498">
        <v>0</v>
      </c>
      <c r="G77" s="498">
        <v>0</v>
      </c>
      <c r="H77" s="499">
        <v>0</v>
      </c>
      <c r="I77" s="500">
        <v>0</v>
      </c>
      <c r="J77" s="501">
        <v>0</v>
      </c>
      <c r="K77" s="501">
        <v>0</v>
      </c>
      <c r="L77" s="501">
        <v>0</v>
      </c>
      <c r="M77" s="502">
        <v>0</v>
      </c>
      <c r="N77" s="474"/>
      <c r="O77" s="130">
        <v>0</v>
      </c>
      <c r="P77" s="131">
        <v>0</v>
      </c>
      <c r="Q77" s="132">
        <v>0</v>
      </c>
      <c r="R77" s="133"/>
      <c r="S77" s="130">
        <v>0</v>
      </c>
      <c r="T77" s="134" t="s">
        <v>989</v>
      </c>
    </row>
    <row r="78" spans="1:20" s="458" customFormat="1" ht="15" customHeight="1">
      <c r="A78" s="457"/>
      <c r="B78" s="1272" t="s">
        <v>426</v>
      </c>
      <c r="C78" s="475" t="s">
        <v>424</v>
      </c>
      <c r="D78" s="498">
        <v>0</v>
      </c>
      <c r="E78" s="498">
        <v>0</v>
      </c>
      <c r="F78" s="498">
        <v>0</v>
      </c>
      <c r="G78" s="498">
        <v>0</v>
      </c>
      <c r="H78" s="499">
        <v>0</v>
      </c>
      <c r="I78" s="500">
        <v>0</v>
      </c>
      <c r="J78" s="501">
        <v>0</v>
      </c>
      <c r="K78" s="501">
        <v>0</v>
      </c>
      <c r="L78" s="501">
        <v>0</v>
      </c>
      <c r="M78" s="502">
        <v>0</v>
      </c>
      <c r="N78" s="474"/>
      <c r="O78" s="130">
        <v>0</v>
      </c>
      <c r="P78" s="131">
        <v>0</v>
      </c>
      <c r="Q78" s="132">
        <v>0</v>
      </c>
      <c r="R78" s="133"/>
      <c r="S78" s="130">
        <v>0</v>
      </c>
      <c r="T78" s="134" t="s">
        <v>989</v>
      </c>
    </row>
    <row r="79" spans="1:20" s="458" customFormat="1" ht="15" customHeight="1">
      <c r="A79" s="457"/>
      <c r="B79" s="1273"/>
      <c r="C79" s="475" t="s">
        <v>425</v>
      </c>
      <c r="D79" s="498">
        <v>0</v>
      </c>
      <c r="E79" s="498">
        <v>0</v>
      </c>
      <c r="F79" s="498">
        <v>0</v>
      </c>
      <c r="G79" s="498">
        <v>0</v>
      </c>
      <c r="H79" s="499">
        <v>0</v>
      </c>
      <c r="I79" s="500">
        <v>0</v>
      </c>
      <c r="J79" s="501">
        <v>0</v>
      </c>
      <c r="K79" s="501">
        <v>0</v>
      </c>
      <c r="L79" s="501">
        <v>0</v>
      </c>
      <c r="M79" s="502">
        <v>0</v>
      </c>
      <c r="N79" s="474"/>
      <c r="O79" s="130">
        <v>0</v>
      </c>
      <c r="P79" s="131">
        <v>0</v>
      </c>
      <c r="Q79" s="132">
        <v>0</v>
      </c>
      <c r="R79" s="133"/>
      <c r="S79" s="130">
        <v>0</v>
      </c>
      <c r="T79" s="134" t="s">
        <v>989</v>
      </c>
    </row>
    <row r="80" spans="1:20" s="458" customFormat="1" ht="15" customHeight="1">
      <c r="A80" s="457"/>
      <c r="B80" s="1266" t="s">
        <v>346</v>
      </c>
      <c r="C80" s="475" t="s">
        <v>427</v>
      </c>
      <c r="D80" s="498">
        <v>0</v>
      </c>
      <c r="E80" s="498">
        <v>0</v>
      </c>
      <c r="F80" s="498">
        <v>0</v>
      </c>
      <c r="G80" s="498">
        <v>0</v>
      </c>
      <c r="H80" s="499">
        <v>0</v>
      </c>
      <c r="I80" s="500">
        <v>0</v>
      </c>
      <c r="J80" s="501">
        <v>0</v>
      </c>
      <c r="K80" s="501">
        <v>0</v>
      </c>
      <c r="L80" s="501">
        <v>0</v>
      </c>
      <c r="M80" s="502">
        <v>0</v>
      </c>
      <c r="N80" s="474"/>
      <c r="O80" s="130">
        <v>0</v>
      </c>
      <c r="P80" s="131">
        <v>0</v>
      </c>
      <c r="Q80" s="132">
        <v>0</v>
      </c>
      <c r="R80" s="133"/>
      <c r="S80" s="130">
        <v>0</v>
      </c>
      <c r="T80" s="134" t="s">
        <v>989</v>
      </c>
    </row>
    <row r="81" spans="1:20" s="458" customFormat="1" ht="15" customHeight="1">
      <c r="A81" s="457"/>
      <c r="B81" s="1267"/>
      <c r="C81" s="475" t="s">
        <v>428</v>
      </c>
      <c r="D81" s="498">
        <v>0</v>
      </c>
      <c r="E81" s="498">
        <v>0</v>
      </c>
      <c r="F81" s="498">
        <v>0.1</v>
      </c>
      <c r="G81" s="498">
        <v>0.1</v>
      </c>
      <c r="H81" s="499">
        <v>0.1</v>
      </c>
      <c r="I81" s="500">
        <v>0.1</v>
      </c>
      <c r="J81" s="501">
        <v>0.1</v>
      </c>
      <c r="K81" s="501">
        <v>0.1</v>
      </c>
      <c r="L81" s="501">
        <v>0.1</v>
      </c>
      <c r="M81" s="502">
        <v>0.1</v>
      </c>
      <c r="N81" s="474"/>
      <c r="O81" s="130">
        <v>0.1</v>
      </c>
      <c r="P81" s="131">
        <v>0.2</v>
      </c>
      <c r="Q81" s="132">
        <v>0.3</v>
      </c>
      <c r="R81" s="133"/>
      <c r="S81" s="130">
        <v>0.5</v>
      </c>
      <c r="T81" s="134">
        <v>0.66666666666666641</v>
      </c>
    </row>
    <row r="82" spans="1:20" s="458" customFormat="1" ht="15" customHeight="1">
      <c r="A82" s="457"/>
      <c r="B82" s="1268"/>
      <c r="C82" s="479" t="s">
        <v>429</v>
      </c>
      <c r="D82" s="498">
        <v>0</v>
      </c>
      <c r="E82" s="498">
        <v>0</v>
      </c>
      <c r="F82" s="498">
        <v>0</v>
      </c>
      <c r="G82" s="498">
        <v>0</v>
      </c>
      <c r="H82" s="499">
        <v>0</v>
      </c>
      <c r="I82" s="500">
        <v>0</v>
      </c>
      <c r="J82" s="501">
        <v>0</v>
      </c>
      <c r="K82" s="501">
        <v>0</v>
      </c>
      <c r="L82" s="501">
        <v>0</v>
      </c>
      <c r="M82" s="502">
        <v>0</v>
      </c>
      <c r="N82" s="474"/>
      <c r="O82" s="130">
        <v>0</v>
      </c>
      <c r="P82" s="131">
        <v>0</v>
      </c>
      <c r="Q82" s="132">
        <v>0</v>
      </c>
      <c r="R82" s="133"/>
      <c r="S82" s="130">
        <v>0</v>
      </c>
      <c r="T82" s="134" t="s">
        <v>989</v>
      </c>
    </row>
    <row r="83" spans="1:20" s="458" customFormat="1" ht="15" customHeight="1">
      <c r="A83" s="457"/>
      <c r="B83" s="1266" t="s">
        <v>223</v>
      </c>
      <c r="C83" s="475" t="s">
        <v>430</v>
      </c>
      <c r="D83" s="498">
        <v>0</v>
      </c>
      <c r="E83" s="498">
        <v>0</v>
      </c>
      <c r="F83" s="498">
        <v>0</v>
      </c>
      <c r="G83" s="498">
        <v>0</v>
      </c>
      <c r="H83" s="499">
        <v>0</v>
      </c>
      <c r="I83" s="500">
        <v>0</v>
      </c>
      <c r="J83" s="501">
        <v>0</v>
      </c>
      <c r="K83" s="501">
        <v>0</v>
      </c>
      <c r="L83" s="501">
        <v>0</v>
      </c>
      <c r="M83" s="502">
        <v>0</v>
      </c>
      <c r="N83" s="474"/>
      <c r="O83" s="130">
        <v>0</v>
      </c>
      <c r="P83" s="131">
        <v>0</v>
      </c>
      <c r="Q83" s="132">
        <v>0</v>
      </c>
      <c r="R83" s="133"/>
      <c r="S83" s="130">
        <v>0</v>
      </c>
      <c r="T83" s="134" t="s">
        <v>989</v>
      </c>
    </row>
    <row r="84" spans="1:20" s="458" customFormat="1" ht="15" customHeight="1">
      <c r="A84" s="457"/>
      <c r="B84" s="1267"/>
      <c r="C84" s="475" t="s">
        <v>95</v>
      </c>
      <c r="D84" s="498">
        <v>0</v>
      </c>
      <c r="E84" s="498">
        <v>0</v>
      </c>
      <c r="F84" s="498">
        <v>0</v>
      </c>
      <c r="G84" s="498">
        <v>0</v>
      </c>
      <c r="H84" s="499">
        <v>0</v>
      </c>
      <c r="I84" s="500">
        <v>0</v>
      </c>
      <c r="J84" s="501">
        <v>0</v>
      </c>
      <c r="K84" s="501">
        <v>0</v>
      </c>
      <c r="L84" s="501">
        <v>0</v>
      </c>
      <c r="M84" s="502">
        <v>0</v>
      </c>
      <c r="N84" s="474"/>
      <c r="O84" s="130">
        <v>0</v>
      </c>
      <c r="P84" s="131">
        <v>0</v>
      </c>
      <c r="Q84" s="132">
        <v>0</v>
      </c>
      <c r="R84" s="133"/>
      <c r="S84" s="130">
        <v>0</v>
      </c>
      <c r="T84" s="134" t="s">
        <v>989</v>
      </c>
    </row>
    <row r="85" spans="1:20" s="458" customFormat="1" ht="15" customHeight="1">
      <c r="A85" s="457"/>
      <c r="B85" s="1267"/>
      <c r="C85" s="479" t="s">
        <v>431</v>
      </c>
      <c r="D85" s="498">
        <v>0</v>
      </c>
      <c r="E85" s="498">
        <v>0</v>
      </c>
      <c r="F85" s="498">
        <v>0</v>
      </c>
      <c r="G85" s="498">
        <v>0</v>
      </c>
      <c r="H85" s="499">
        <v>0</v>
      </c>
      <c r="I85" s="500">
        <v>0.05</v>
      </c>
      <c r="J85" s="501">
        <v>0.05</v>
      </c>
      <c r="K85" s="501">
        <v>0.05</v>
      </c>
      <c r="L85" s="501">
        <v>0.05</v>
      </c>
      <c r="M85" s="502">
        <v>0.05</v>
      </c>
      <c r="N85" s="474"/>
      <c r="O85" s="130">
        <v>0</v>
      </c>
      <c r="P85" s="131">
        <v>0</v>
      </c>
      <c r="Q85" s="132">
        <v>0</v>
      </c>
      <c r="R85" s="133"/>
      <c r="S85" s="130">
        <v>0.25</v>
      </c>
      <c r="T85" s="134" t="s">
        <v>989</v>
      </c>
    </row>
    <row r="86" spans="1:20" s="458" customFormat="1" ht="15" customHeight="1">
      <c r="A86" s="457"/>
      <c r="B86" s="1267"/>
      <c r="C86" s="479" t="s">
        <v>429</v>
      </c>
      <c r="D86" s="498">
        <v>0</v>
      </c>
      <c r="E86" s="498">
        <v>0</v>
      </c>
      <c r="F86" s="498">
        <v>0.1</v>
      </c>
      <c r="G86" s="498">
        <v>0.1</v>
      </c>
      <c r="H86" s="499">
        <v>0.1</v>
      </c>
      <c r="I86" s="500">
        <v>0.1</v>
      </c>
      <c r="J86" s="501">
        <v>0.1</v>
      </c>
      <c r="K86" s="501">
        <v>0.1</v>
      </c>
      <c r="L86" s="501">
        <v>0.1</v>
      </c>
      <c r="M86" s="502">
        <v>0.1</v>
      </c>
      <c r="N86" s="474"/>
      <c r="O86" s="130">
        <v>0.1</v>
      </c>
      <c r="P86" s="131">
        <v>0.2</v>
      </c>
      <c r="Q86" s="132">
        <v>0.3</v>
      </c>
      <c r="R86" s="133"/>
      <c r="S86" s="130">
        <v>0.5</v>
      </c>
      <c r="T86" s="134">
        <v>0.66666666666666641</v>
      </c>
    </row>
    <row r="87" spans="1:20" s="458" customFormat="1" ht="15" customHeight="1">
      <c r="A87" s="457"/>
      <c r="B87" s="1267"/>
      <c r="C87" s="475" t="s">
        <v>432</v>
      </c>
      <c r="D87" s="498">
        <v>0</v>
      </c>
      <c r="E87" s="498">
        <v>0</v>
      </c>
      <c r="F87" s="498">
        <v>0.1</v>
      </c>
      <c r="G87" s="498">
        <v>0.1</v>
      </c>
      <c r="H87" s="499">
        <v>0.1</v>
      </c>
      <c r="I87" s="500">
        <v>0.1</v>
      </c>
      <c r="J87" s="501">
        <v>0.1</v>
      </c>
      <c r="K87" s="501">
        <v>0.1</v>
      </c>
      <c r="L87" s="501">
        <v>0.1</v>
      </c>
      <c r="M87" s="502">
        <v>0.1</v>
      </c>
      <c r="N87" s="474"/>
      <c r="O87" s="130">
        <v>0.1</v>
      </c>
      <c r="P87" s="131">
        <v>0.2</v>
      </c>
      <c r="Q87" s="132">
        <v>0.3</v>
      </c>
      <c r="R87" s="133"/>
      <c r="S87" s="130">
        <v>0.5</v>
      </c>
      <c r="T87" s="134">
        <v>0.66666666666666641</v>
      </c>
    </row>
    <row r="88" spans="1:20" s="458" customFormat="1" ht="15" customHeight="1">
      <c r="A88" s="457"/>
      <c r="B88" s="1268"/>
      <c r="C88" s="475" t="s">
        <v>433</v>
      </c>
      <c r="D88" s="498">
        <v>0</v>
      </c>
      <c r="E88" s="498">
        <v>0</v>
      </c>
      <c r="F88" s="498">
        <v>0</v>
      </c>
      <c r="G88" s="498">
        <v>0</v>
      </c>
      <c r="H88" s="499">
        <v>0</v>
      </c>
      <c r="I88" s="500">
        <v>0</v>
      </c>
      <c r="J88" s="501">
        <v>0</v>
      </c>
      <c r="K88" s="501">
        <v>0</v>
      </c>
      <c r="L88" s="501">
        <v>0</v>
      </c>
      <c r="M88" s="502">
        <v>0</v>
      </c>
      <c r="N88" s="474"/>
      <c r="O88" s="130">
        <v>0</v>
      </c>
      <c r="P88" s="131">
        <v>0</v>
      </c>
      <c r="Q88" s="132">
        <v>0</v>
      </c>
      <c r="R88" s="133"/>
      <c r="S88" s="130">
        <v>0</v>
      </c>
      <c r="T88" s="134" t="s">
        <v>989</v>
      </c>
    </row>
    <row r="89" spans="1:20" s="458" customFormat="1" ht="15" customHeight="1">
      <c r="A89" s="457"/>
      <c r="B89" s="1266" t="s">
        <v>403</v>
      </c>
      <c r="C89" s="475" t="s">
        <v>430</v>
      </c>
      <c r="D89" s="498">
        <v>0</v>
      </c>
      <c r="E89" s="498">
        <v>0</v>
      </c>
      <c r="F89" s="498">
        <v>0</v>
      </c>
      <c r="G89" s="498">
        <v>0</v>
      </c>
      <c r="H89" s="499">
        <v>0</v>
      </c>
      <c r="I89" s="500">
        <v>0</v>
      </c>
      <c r="J89" s="501">
        <v>0</v>
      </c>
      <c r="K89" s="501">
        <v>0</v>
      </c>
      <c r="L89" s="501">
        <v>0</v>
      </c>
      <c r="M89" s="502">
        <v>0</v>
      </c>
      <c r="N89" s="474"/>
      <c r="O89" s="130">
        <v>0</v>
      </c>
      <c r="P89" s="131">
        <v>0</v>
      </c>
      <c r="Q89" s="132">
        <v>0</v>
      </c>
      <c r="R89" s="133"/>
      <c r="S89" s="130">
        <v>0</v>
      </c>
      <c r="T89" s="134" t="s">
        <v>989</v>
      </c>
    </row>
    <row r="90" spans="1:20" s="458" customFormat="1" ht="15" customHeight="1">
      <c r="A90" s="457"/>
      <c r="B90" s="1267"/>
      <c r="C90" s="475" t="s">
        <v>95</v>
      </c>
      <c r="D90" s="498">
        <v>0</v>
      </c>
      <c r="E90" s="498">
        <v>0</v>
      </c>
      <c r="F90" s="498">
        <v>0</v>
      </c>
      <c r="G90" s="498">
        <v>0</v>
      </c>
      <c r="H90" s="499">
        <v>0</v>
      </c>
      <c r="I90" s="500">
        <v>0</v>
      </c>
      <c r="J90" s="501">
        <v>0</v>
      </c>
      <c r="K90" s="501">
        <v>0</v>
      </c>
      <c r="L90" s="501">
        <v>0</v>
      </c>
      <c r="M90" s="502">
        <v>0</v>
      </c>
      <c r="N90" s="474"/>
      <c r="O90" s="130">
        <v>0</v>
      </c>
      <c r="P90" s="131">
        <v>0</v>
      </c>
      <c r="Q90" s="132">
        <v>0</v>
      </c>
      <c r="R90" s="133"/>
      <c r="S90" s="130">
        <v>0</v>
      </c>
      <c r="T90" s="134" t="s">
        <v>989</v>
      </c>
    </row>
    <row r="91" spans="1:20" s="458" customFormat="1" ht="15" customHeight="1">
      <c r="A91" s="457"/>
      <c r="B91" s="1267"/>
      <c r="C91" s="475" t="s">
        <v>431</v>
      </c>
      <c r="D91" s="498">
        <v>0</v>
      </c>
      <c r="E91" s="498">
        <v>0</v>
      </c>
      <c r="F91" s="498">
        <v>0</v>
      </c>
      <c r="G91" s="498">
        <v>0</v>
      </c>
      <c r="H91" s="499">
        <v>0</v>
      </c>
      <c r="I91" s="500">
        <v>0.1</v>
      </c>
      <c r="J91" s="501">
        <v>0.1</v>
      </c>
      <c r="K91" s="501">
        <v>0.1</v>
      </c>
      <c r="L91" s="501">
        <v>0.1</v>
      </c>
      <c r="M91" s="502">
        <v>0.1</v>
      </c>
      <c r="N91" s="474"/>
      <c r="O91" s="130">
        <v>0</v>
      </c>
      <c r="P91" s="131">
        <v>0</v>
      </c>
      <c r="Q91" s="132">
        <v>0</v>
      </c>
      <c r="R91" s="133"/>
      <c r="S91" s="130">
        <v>0.5</v>
      </c>
      <c r="T91" s="134" t="s">
        <v>989</v>
      </c>
    </row>
    <row r="92" spans="1:20" s="458" customFormat="1" ht="15" customHeight="1">
      <c r="A92" s="457"/>
      <c r="B92" s="1267"/>
      <c r="C92" s="475" t="s">
        <v>429</v>
      </c>
      <c r="D92" s="498">
        <v>0</v>
      </c>
      <c r="E92" s="498">
        <v>0</v>
      </c>
      <c r="F92" s="498">
        <v>0</v>
      </c>
      <c r="G92" s="498">
        <v>0</v>
      </c>
      <c r="H92" s="499">
        <v>0</v>
      </c>
      <c r="I92" s="500">
        <v>0</v>
      </c>
      <c r="J92" s="501">
        <v>0</v>
      </c>
      <c r="K92" s="501">
        <v>0</v>
      </c>
      <c r="L92" s="501">
        <v>0</v>
      </c>
      <c r="M92" s="502">
        <v>0</v>
      </c>
      <c r="N92" s="474"/>
      <c r="O92" s="130">
        <v>0</v>
      </c>
      <c r="P92" s="131">
        <v>0</v>
      </c>
      <c r="Q92" s="132">
        <v>0</v>
      </c>
      <c r="R92" s="133"/>
      <c r="S92" s="130">
        <v>0</v>
      </c>
      <c r="T92" s="134" t="s">
        <v>989</v>
      </c>
    </row>
    <row r="93" spans="1:20" s="458" customFormat="1" ht="15" customHeight="1">
      <c r="A93" s="457"/>
      <c r="B93" s="1267"/>
      <c r="C93" s="475" t="s">
        <v>432</v>
      </c>
      <c r="D93" s="498">
        <v>0</v>
      </c>
      <c r="E93" s="498">
        <v>0</v>
      </c>
      <c r="F93" s="498">
        <v>0.2</v>
      </c>
      <c r="G93" s="498">
        <v>0.2</v>
      </c>
      <c r="H93" s="499">
        <v>0.2</v>
      </c>
      <c r="I93" s="500">
        <v>0.2</v>
      </c>
      <c r="J93" s="501">
        <v>0.2</v>
      </c>
      <c r="K93" s="501">
        <v>0.2</v>
      </c>
      <c r="L93" s="501">
        <v>0.2</v>
      </c>
      <c r="M93" s="502">
        <v>0.2</v>
      </c>
      <c r="N93" s="474"/>
      <c r="O93" s="130">
        <v>0.2</v>
      </c>
      <c r="P93" s="131">
        <v>0.4</v>
      </c>
      <c r="Q93" s="132">
        <v>0.6</v>
      </c>
      <c r="R93" s="133"/>
      <c r="S93" s="130">
        <v>1</v>
      </c>
      <c r="T93" s="134">
        <v>0.66666666666666641</v>
      </c>
    </row>
    <row r="94" spans="1:20" s="458" customFormat="1" ht="15" customHeight="1">
      <c r="A94" s="457"/>
      <c r="B94" s="1268"/>
      <c r="C94" s="479" t="s">
        <v>433</v>
      </c>
      <c r="D94" s="498">
        <v>0</v>
      </c>
      <c r="E94" s="498">
        <v>0</v>
      </c>
      <c r="F94" s="498">
        <v>0</v>
      </c>
      <c r="G94" s="498">
        <v>0</v>
      </c>
      <c r="H94" s="499">
        <v>0</v>
      </c>
      <c r="I94" s="500">
        <v>0</v>
      </c>
      <c r="J94" s="501">
        <v>0</v>
      </c>
      <c r="K94" s="501">
        <v>0</v>
      </c>
      <c r="L94" s="501">
        <v>0</v>
      </c>
      <c r="M94" s="502">
        <v>0</v>
      </c>
      <c r="N94" s="474"/>
      <c r="O94" s="130">
        <v>0</v>
      </c>
      <c r="P94" s="131">
        <v>0</v>
      </c>
      <c r="Q94" s="132">
        <v>0</v>
      </c>
      <c r="R94" s="133"/>
      <c r="S94" s="130">
        <v>0</v>
      </c>
      <c r="T94" s="134" t="s">
        <v>989</v>
      </c>
    </row>
    <row r="95" spans="1:20" s="458" customFormat="1" ht="15" customHeight="1">
      <c r="A95" s="457"/>
      <c r="B95" s="1266" t="s">
        <v>402</v>
      </c>
      <c r="C95" s="475" t="s">
        <v>430</v>
      </c>
      <c r="D95" s="498">
        <v>0</v>
      </c>
      <c r="E95" s="498">
        <v>0</v>
      </c>
      <c r="F95" s="498">
        <v>0</v>
      </c>
      <c r="G95" s="498">
        <v>0</v>
      </c>
      <c r="H95" s="499">
        <v>0</v>
      </c>
      <c r="I95" s="500">
        <v>0</v>
      </c>
      <c r="J95" s="501">
        <v>0</v>
      </c>
      <c r="K95" s="501">
        <v>0</v>
      </c>
      <c r="L95" s="501">
        <v>0</v>
      </c>
      <c r="M95" s="502">
        <v>0</v>
      </c>
      <c r="N95" s="474"/>
      <c r="O95" s="130">
        <v>0</v>
      </c>
      <c r="P95" s="131">
        <v>0</v>
      </c>
      <c r="Q95" s="132">
        <v>0</v>
      </c>
      <c r="R95" s="133"/>
      <c r="S95" s="130">
        <v>0</v>
      </c>
      <c r="T95" s="134" t="s">
        <v>989</v>
      </c>
    </row>
    <row r="96" spans="1:20" s="458" customFormat="1" ht="15" customHeight="1">
      <c r="A96" s="457"/>
      <c r="B96" s="1267"/>
      <c r="C96" s="475" t="s">
        <v>95</v>
      </c>
      <c r="D96" s="498">
        <v>0</v>
      </c>
      <c r="E96" s="498">
        <v>0</v>
      </c>
      <c r="F96" s="498">
        <v>0</v>
      </c>
      <c r="G96" s="498">
        <v>0</v>
      </c>
      <c r="H96" s="499">
        <v>0</v>
      </c>
      <c r="I96" s="500">
        <v>0</v>
      </c>
      <c r="J96" s="501">
        <v>0</v>
      </c>
      <c r="K96" s="501">
        <v>0</v>
      </c>
      <c r="L96" s="501">
        <v>0</v>
      </c>
      <c r="M96" s="502">
        <v>0</v>
      </c>
      <c r="N96" s="474"/>
      <c r="O96" s="130">
        <v>0</v>
      </c>
      <c r="P96" s="131">
        <v>0</v>
      </c>
      <c r="Q96" s="132">
        <v>0</v>
      </c>
      <c r="R96" s="133"/>
      <c r="S96" s="130">
        <v>0</v>
      </c>
      <c r="T96" s="134" t="s">
        <v>989</v>
      </c>
    </row>
    <row r="97" spans="1:20" s="458" customFormat="1" ht="15" customHeight="1">
      <c r="A97" s="457"/>
      <c r="B97" s="1267"/>
      <c r="C97" s="479" t="s">
        <v>434</v>
      </c>
      <c r="D97" s="498">
        <v>0</v>
      </c>
      <c r="E97" s="498">
        <v>0</v>
      </c>
      <c r="F97" s="498">
        <v>0</v>
      </c>
      <c r="G97" s="498">
        <v>0</v>
      </c>
      <c r="H97" s="499">
        <v>0</v>
      </c>
      <c r="I97" s="500">
        <v>0</v>
      </c>
      <c r="J97" s="501">
        <v>0</v>
      </c>
      <c r="K97" s="501">
        <v>0</v>
      </c>
      <c r="L97" s="501">
        <v>0</v>
      </c>
      <c r="M97" s="502">
        <v>0</v>
      </c>
      <c r="N97" s="474"/>
      <c r="O97" s="130">
        <v>0</v>
      </c>
      <c r="P97" s="131">
        <v>0</v>
      </c>
      <c r="Q97" s="132">
        <v>0</v>
      </c>
      <c r="R97" s="133"/>
      <c r="S97" s="130">
        <v>0</v>
      </c>
      <c r="T97" s="134" t="s">
        <v>989</v>
      </c>
    </row>
    <row r="98" spans="1:20" s="458" customFormat="1" ht="15" customHeight="1">
      <c r="A98" s="457"/>
      <c r="B98" s="1267"/>
      <c r="C98" s="479" t="s">
        <v>429</v>
      </c>
      <c r="D98" s="498">
        <v>0</v>
      </c>
      <c r="E98" s="498">
        <v>0</v>
      </c>
      <c r="F98" s="498">
        <v>0</v>
      </c>
      <c r="G98" s="498">
        <v>0</v>
      </c>
      <c r="H98" s="499">
        <v>0</v>
      </c>
      <c r="I98" s="500">
        <v>0</v>
      </c>
      <c r="J98" s="501">
        <v>0</v>
      </c>
      <c r="K98" s="501">
        <v>0</v>
      </c>
      <c r="L98" s="501">
        <v>0</v>
      </c>
      <c r="M98" s="502">
        <v>0</v>
      </c>
      <c r="N98" s="474"/>
      <c r="O98" s="130">
        <v>0</v>
      </c>
      <c r="P98" s="131">
        <v>0</v>
      </c>
      <c r="Q98" s="132">
        <v>0</v>
      </c>
      <c r="R98" s="133"/>
      <c r="S98" s="130">
        <v>0</v>
      </c>
      <c r="T98" s="134" t="s">
        <v>989</v>
      </c>
    </row>
    <row r="99" spans="1:20" s="458" customFormat="1" ht="15" customHeight="1">
      <c r="A99" s="457"/>
      <c r="B99" s="1267"/>
      <c r="C99" s="479" t="s">
        <v>432</v>
      </c>
      <c r="D99" s="498">
        <v>0</v>
      </c>
      <c r="E99" s="498">
        <v>0</v>
      </c>
      <c r="F99" s="498">
        <v>0</v>
      </c>
      <c r="G99" s="498">
        <v>0</v>
      </c>
      <c r="H99" s="499">
        <v>0</v>
      </c>
      <c r="I99" s="500">
        <v>0</v>
      </c>
      <c r="J99" s="501">
        <v>0</v>
      </c>
      <c r="K99" s="501">
        <v>0</v>
      </c>
      <c r="L99" s="501">
        <v>0</v>
      </c>
      <c r="M99" s="502">
        <v>0</v>
      </c>
      <c r="N99" s="474"/>
      <c r="O99" s="130">
        <v>0</v>
      </c>
      <c r="P99" s="131">
        <v>0</v>
      </c>
      <c r="Q99" s="132">
        <v>0</v>
      </c>
      <c r="R99" s="133"/>
      <c r="S99" s="130">
        <v>0</v>
      </c>
      <c r="T99" s="134" t="s">
        <v>989</v>
      </c>
    </row>
    <row r="100" spans="1:20" s="458" customFormat="1" ht="15" customHeight="1">
      <c r="A100" s="457"/>
      <c r="B100" s="1268"/>
      <c r="C100" s="479" t="s">
        <v>433</v>
      </c>
      <c r="D100" s="498">
        <v>0</v>
      </c>
      <c r="E100" s="498">
        <v>0</v>
      </c>
      <c r="F100" s="498">
        <v>0</v>
      </c>
      <c r="G100" s="498">
        <v>0</v>
      </c>
      <c r="H100" s="499">
        <v>0</v>
      </c>
      <c r="I100" s="500">
        <v>0</v>
      </c>
      <c r="J100" s="501">
        <v>0</v>
      </c>
      <c r="K100" s="501">
        <v>0</v>
      </c>
      <c r="L100" s="501">
        <v>0</v>
      </c>
      <c r="M100" s="502">
        <v>0</v>
      </c>
      <c r="N100" s="474"/>
      <c r="O100" s="130">
        <v>0</v>
      </c>
      <c r="P100" s="131">
        <v>0</v>
      </c>
      <c r="Q100" s="132">
        <v>0</v>
      </c>
      <c r="R100" s="133"/>
      <c r="S100" s="130">
        <v>0</v>
      </c>
      <c r="T100" s="134" t="s">
        <v>989</v>
      </c>
    </row>
    <row r="101" spans="1:20" s="458" customFormat="1" ht="15" customHeight="1" thickBot="1">
      <c r="A101" s="457"/>
      <c r="B101" s="1264" t="s">
        <v>439</v>
      </c>
      <c r="C101" s="1265"/>
      <c r="D101" s="517">
        <v>0</v>
      </c>
      <c r="E101" s="518">
        <v>0</v>
      </c>
      <c r="F101" s="518">
        <v>0.5</v>
      </c>
      <c r="G101" s="518">
        <v>0.5</v>
      </c>
      <c r="H101" s="519">
        <v>0.5</v>
      </c>
      <c r="I101" s="520">
        <v>0.65</v>
      </c>
      <c r="J101" s="518">
        <v>0.65</v>
      </c>
      <c r="K101" s="518">
        <v>0.65</v>
      </c>
      <c r="L101" s="518">
        <v>0.65</v>
      </c>
      <c r="M101" s="519">
        <v>0.65</v>
      </c>
      <c r="N101" s="474"/>
      <c r="O101" s="150">
        <v>0.5</v>
      </c>
      <c r="P101" s="151">
        <v>1</v>
      </c>
      <c r="Q101" s="152">
        <v>1.5</v>
      </c>
      <c r="R101" s="133"/>
      <c r="S101" s="150">
        <v>3.25</v>
      </c>
      <c r="T101" s="153">
        <v>1.1666666666666663</v>
      </c>
    </row>
    <row r="102" spans="1:20" s="458" customFormat="1">
      <c r="A102" s="457"/>
      <c r="B102" s="338"/>
      <c r="C102" s="338"/>
      <c r="D102" s="474"/>
      <c r="E102" s="474"/>
      <c r="F102" s="474"/>
      <c r="G102" s="474"/>
      <c r="H102" s="474"/>
      <c r="I102" s="474"/>
      <c r="J102" s="474"/>
      <c r="K102" s="474"/>
      <c r="L102" s="474"/>
      <c r="M102" s="474"/>
      <c r="N102" s="474"/>
      <c r="O102" s="474"/>
      <c r="P102" s="474"/>
      <c r="Q102" s="474"/>
      <c r="R102" s="485"/>
      <c r="S102" s="485"/>
      <c r="T102" s="485"/>
    </row>
    <row r="103" spans="1:20" s="458" customFormat="1">
      <c r="A103" s="457"/>
      <c r="B103" s="338"/>
      <c r="C103" s="338"/>
      <c r="D103" s="474"/>
      <c r="E103" s="474"/>
      <c r="F103" s="474"/>
      <c r="G103" s="474"/>
      <c r="H103" s="474"/>
      <c r="I103" s="474"/>
      <c r="J103" s="474"/>
      <c r="K103" s="474"/>
      <c r="L103" s="474"/>
      <c r="M103" s="474"/>
      <c r="N103" s="474"/>
      <c r="O103" s="474"/>
      <c r="P103" s="474"/>
      <c r="Q103" s="474"/>
      <c r="R103" s="485"/>
      <c r="S103" s="485"/>
      <c r="T103" s="485"/>
    </row>
    <row r="104" spans="1:20" s="458" customFormat="1">
      <c r="A104" s="457"/>
      <c r="B104" s="456" t="s">
        <v>440</v>
      </c>
      <c r="C104" s="338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  <c r="N104" s="474"/>
      <c r="O104" s="474"/>
      <c r="P104" s="474"/>
      <c r="Q104" s="474"/>
      <c r="R104" s="485"/>
      <c r="S104" s="485"/>
      <c r="T104" s="485"/>
    </row>
    <row r="105" spans="1:20" s="458" customFormat="1" ht="15" thickBot="1">
      <c r="A105" s="457"/>
      <c r="B105" s="338"/>
      <c r="C105" s="338"/>
      <c r="D105" s="474"/>
      <c r="E105" s="474"/>
      <c r="F105" s="474"/>
      <c r="G105" s="474"/>
      <c r="H105" s="474"/>
      <c r="I105" s="474"/>
      <c r="J105" s="474"/>
      <c r="K105" s="474"/>
      <c r="L105" s="474"/>
      <c r="M105" s="474"/>
      <c r="N105" s="474"/>
      <c r="O105" s="474"/>
      <c r="P105" s="474"/>
      <c r="Q105" s="474"/>
      <c r="R105" s="485"/>
      <c r="S105" s="485"/>
      <c r="T105" s="485"/>
    </row>
    <row r="106" spans="1:20" s="458" customFormat="1" ht="15">
      <c r="A106" s="457"/>
      <c r="B106" s="1258" t="s">
        <v>420</v>
      </c>
      <c r="C106" s="1259"/>
      <c r="D106" s="486" t="s">
        <v>421</v>
      </c>
      <c r="E106" s="486"/>
      <c r="F106" s="486"/>
      <c r="G106" s="486"/>
      <c r="H106" s="487"/>
      <c r="I106" s="488" t="s">
        <v>422</v>
      </c>
      <c r="J106" s="486"/>
      <c r="K106" s="486"/>
      <c r="L106" s="486"/>
      <c r="M106" s="487"/>
      <c r="N106" s="474"/>
      <c r="O106" s="229" t="s">
        <v>191</v>
      </c>
      <c r="P106" s="230"/>
      <c r="Q106" s="231"/>
      <c r="R106" s="133"/>
      <c r="S106" s="229" t="s">
        <v>192</v>
      </c>
      <c r="T106" s="231"/>
    </row>
    <row r="107" spans="1:20" s="458" customFormat="1" ht="15">
      <c r="A107" s="457"/>
      <c r="B107" s="1260"/>
      <c r="C107" s="1261"/>
      <c r="D107" s="489" t="s">
        <v>79</v>
      </c>
      <c r="E107" s="490" t="s">
        <v>80</v>
      </c>
      <c r="F107" s="490" t="s">
        <v>81</v>
      </c>
      <c r="G107" s="490" t="s">
        <v>82</v>
      </c>
      <c r="H107" s="491" t="s">
        <v>44</v>
      </c>
      <c r="I107" s="492" t="s">
        <v>193</v>
      </c>
      <c r="J107" s="490" t="s">
        <v>194</v>
      </c>
      <c r="K107" s="490" t="s">
        <v>195</v>
      </c>
      <c r="L107" s="490" t="s">
        <v>196</v>
      </c>
      <c r="M107" s="491" t="s">
        <v>441</v>
      </c>
      <c r="N107" s="474"/>
      <c r="O107" s="232" t="s">
        <v>198</v>
      </c>
      <c r="P107" s="233" t="s">
        <v>199</v>
      </c>
      <c r="Q107" s="234" t="s">
        <v>200</v>
      </c>
      <c r="R107" s="133"/>
      <c r="S107" s="232" t="s">
        <v>199</v>
      </c>
      <c r="T107" s="234" t="s">
        <v>201</v>
      </c>
    </row>
    <row r="108" spans="1:20" s="458" customFormat="1" ht="15">
      <c r="A108" s="457"/>
      <c r="B108" s="1262"/>
      <c r="C108" s="1263"/>
      <c r="D108" s="489" t="s">
        <v>203</v>
      </c>
      <c r="E108" s="490" t="s">
        <v>203</v>
      </c>
      <c r="F108" s="490" t="s">
        <v>203</v>
      </c>
      <c r="G108" s="490" t="s">
        <v>203</v>
      </c>
      <c r="H108" s="491" t="s">
        <v>203</v>
      </c>
      <c r="I108" s="492" t="s">
        <v>203</v>
      </c>
      <c r="J108" s="490" t="s">
        <v>203</v>
      </c>
      <c r="K108" s="490" t="s">
        <v>203</v>
      </c>
      <c r="L108" s="490" t="s">
        <v>203</v>
      </c>
      <c r="M108" s="491" t="s">
        <v>203</v>
      </c>
      <c r="N108" s="474"/>
      <c r="O108" s="239"/>
      <c r="P108" s="240"/>
      <c r="Q108" s="241"/>
      <c r="R108" s="133"/>
      <c r="S108" s="165"/>
      <c r="T108" s="167"/>
    </row>
    <row r="109" spans="1:20" s="458" customFormat="1" ht="15" customHeight="1">
      <c r="A109" s="457"/>
      <c r="B109" s="1255" t="s">
        <v>442</v>
      </c>
      <c r="C109" s="521" t="s">
        <v>443</v>
      </c>
      <c r="D109" s="493">
        <v>0.5</v>
      </c>
      <c r="E109" s="496">
        <v>0.6</v>
      </c>
      <c r="F109" s="496">
        <v>0.7</v>
      </c>
      <c r="G109" s="496">
        <v>0.63238066306024587</v>
      </c>
      <c r="H109" s="497">
        <v>0.580033988907392</v>
      </c>
      <c r="I109" s="495">
        <v>0.35</v>
      </c>
      <c r="J109" s="496">
        <v>0.43</v>
      </c>
      <c r="K109" s="496">
        <v>0.52</v>
      </c>
      <c r="L109" s="496">
        <v>0.52</v>
      </c>
      <c r="M109" s="497">
        <v>0.52</v>
      </c>
      <c r="N109" s="474"/>
      <c r="O109" s="130">
        <v>1.8</v>
      </c>
      <c r="P109" s="131">
        <v>1.212414651967638</v>
      </c>
      <c r="Q109" s="132">
        <v>3.0124146519676378</v>
      </c>
      <c r="R109" s="133"/>
      <c r="S109" s="130">
        <v>2.34</v>
      </c>
      <c r="T109" s="522">
        <v>-0.22321450718228072</v>
      </c>
    </row>
    <row r="110" spans="1:20" s="458" customFormat="1" ht="15" customHeight="1">
      <c r="A110" s="457"/>
      <c r="B110" s="1256"/>
      <c r="C110" s="521" t="s">
        <v>444</v>
      </c>
      <c r="D110" s="498">
        <v>0</v>
      </c>
      <c r="E110" s="501">
        <v>0</v>
      </c>
      <c r="F110" s="501">
        <v>0</v>
      </c>
      <c r="G110" s="501">
        <v>0</v>
      </c>
      <c r="H110" s="502">
        <v>0</v>
      </c>
      <c r="I110" s="500">
        <v>0</v>
      </c>
      <c r="J110" s="501">
        <v>0</v>
      </c>
      <c r="K110" s="501">
        <v>0</v>
      </c>
      <c r="L110" s="501">
        <v>0</v>
      </c>
      <c r="M110" s="502">
        <v>0</v>
      </c>
      <c r="N110" s="474"/>
      <c r="O110" s="130">
        <v>0</v>
      </c>
      <c r="P110" s="131">
        <v>0</v>
      </c>
      <c r="Q110" s="132">
        <v>0</v>
      </c>
      <c r="R110" s="133"/>
      <c r="S110" s="130">
        <v>0</v>
      </c>
      <c r="T110" s="522" t="s">
        <v>989</v>
      </c>
    </row>
    <row r="111" spans="1:20" s="458" customFormat="1" ht="15" customHeight="1">
      <c r="A111" s="457"/>
      <c r="B111" s="1256"/>
      <c r="C111" s="521" t="s">
        <v>445</v>
      </c>
      <c r="D111" s="498">
        <v>0</v>
      </c>
      <c r="E111" s="501">
        <v>0</v>
      </c>
      <c r="F111" s="501">
        <v>0</v>
      </c>
      <c r="G111" s="501">
        <v>0</v>
      </c>
      <c r="H111" s="502">
        <v>0</v>
      </c>
      <c r="I111" s="500">
        <v>0</v>
      </c>
      <c r="J111" s="501">
        <v>0</v>
      </c>
      <c r="K111" s="501">
        <v>0</v>
      </c>
      <c r="L111" s="501">
        <v>0</v>
      </c>
      <c r="M111" s="502">
        <v>0</v>
      </c>
      <c r="N111" s="474"/>
      <c r="O111" s="130"/>
      <c r="P111" s="131"/>
      <c r="Q111" s="132"/>
      <c r="R111" s="133"/>
      <c r="S111" s="130"/>
      <c r="T111" s="522"/>
    </row>
    <row r="112" spans="1:20" s="458" customFormat="1" ht="15" customHeight="1">
      <c r="A112" s="457"/>
      <c r="B112" s="1256"/>
      <c r="C112" s="521" t="s">
        <v>446</v>
      </c>
      <c r="D112" s="498">
        <v>0</v>
      </c>
      <c r="E112" s="501">
        <v>0</v>
      </c>
      <c r="F112" s="501">
        <v>0</v>
      </c>
      <c r="G112" s="501">
        <v>0</v>
      </c>
      <c r="H112" s="502">
        <v>0</v>
      </c>
      <c r="I112" s="500">
        <v>0</v>
      </c>
      <c r="J112" s="501">
        <v>0</v>
      </c>
      <c r="K112" s="501">
        <v>0</v>
      </c>
      <c r="L112" s="501">
        <v>0</v>
      </c>
      <c r="M112" s="502">
        <v>0</v>
      </c>
      <c r="N112" s="474"/>
      <c r="O112" s="130"/>
      <c r="P112" s="131"/>
      <c r="Q112" s="132"/>
      <c r="R112" s="133"/>
      <c r="S112" s="130"/>
      <c r="T112" s="522"/>
    </row>
    <row r="113" spans="1:20" s="458" customFormat="1" ht="15" customHeight="1">
      <c r="A113" s="457"/>
      <c r="B113" s="1256"/>
      <c r="C113" s="521" t="s">
        <v>447</v>
      </c>
      <c r="D113" s="498">
        <v>1.2</v>
      </c>
      <c r="E113" s="501">
        <v>1.1000000000000001</v>
      </c>
      <c r="F113" s="501">
        <v>1.3</v>
      </c>
      <c r="G113" s="501">
        <v>0.82502642796601622</v>
      </c>
      <c r="H113" s="502">
        <v>0.83066674364369875</v>
      </c>
      <c r="I113" s="500">
        <v>1.26</v>
      </c>
      <c r="J113" s="501">
        <v>1.33</v>
      </c>
      <c r="K113" s="501">
        <v>1.42</v>
      </c>
      <c r="L113" s="501">
        <v>1.42</v>
      </c>
      <c r="M113" s="502">
        <v>1.42</v>
      </c>
      <c r="N113" s="474"/>
      <c r="O113" s="130"/>
      <c r="P113" s="131"/>
      <c r="Q113" s="132"/>
      <c r="R113" s="133"/>
      <c r="S113" s="130"/>
      <c r="T113" s="522"/>
    </row>
    <row r="114" spans="1:20" s="458" customFormat="1" ht="15" customHeight="1">
      <c r="A114" s="457"/>
      <c r="B114" s="1257"/>
      <c r="C114" s="523" t="s">
        <v>448</v>
      </c>
      <c r="D114" s="524">
        <v>1.7</v>
      </c>
      <c r="E114" s="524">
        <v>1.7</v>
      </c>
      <c r="F114" s="524">
        <v>2</v>
      </c>
      <c r="G114" s="524">
        <v>1.457407091026262</v>
      </c>
      <c r="H114" s="525">
        <v>1.4107007325510907</v>
      </c>
      <c r="I114" s="526">
        <v>1.61</v>
      </c>
      <c r="J114" s="524">
        <v>1.76</v>
      </c>
      <c r="K114" s="524">
        <v>1.94</v>
      </c>
      <c r="L114" s="524">
        <v>1.94</v>
      </c>
      <c r="M114" s="525">
        <v>1.94</v>
      </c>
      <c r="N114" s="474"/>
      <c r="O114" s="130">
        <v>5.4</v>
      </c>
      <c r="P114" s="131">
        <v>2.8681078235773527</v>
      </c>
      <c r="Q114" s="132">
        <v>8.2681078235773526</v>
      </c>
      <c r="R114" s="133"/>
      <c r="S114" s="130">
        <v>9.19</v>
      </c>
      <c r="T114" s="522">
        <v>0.11149977674381281</v>
      </c>
    </row>
    <row r="115" spans="1:20" s="458" customFormat="1" ht="15" customHeight="1">
      <c r="A115" s="457"/>
      <c r="B115" s="1255" t="s">
        <v>223</v>
      </c>
      <c r="C115" s="521" t="s">
        <v>443</v>
      </c>
      <c r="D115" s="498">
        <v>1.3</v>
      </c>
      <c r="E115" s="501">
        <v>4.3</v>
      </c>
      <c r="F115" s="501">
        <v>3.9</v>
      </c>
      <c r="G115" s="501">
        <v>2.6698190245093163</v>
      </c>
      <c r="H115" s="502">
        <v>2.3452064907468695</v>
      </c>
      <c r="I115" s="500">
        <v>3.9</v>
      </c>
      <c r="J115" s="501">
        <v>4.43</v>
      </c>
      <c r="K115" s="501">
        <v>5.04</v>
      </c>
      <c r="L115" s="501">
        <v>5.04</v>
      </c>
      <c r="M115" s="502">
        <v>5.04</v>
      </c>
      <c r="N115" s="474"/>
      <c r="O115" s="130">
        <v>9.5</v>
      </c>
      <c r="P115" s="131">
        <v>5.0150255152561858</v>
      </c>
      <c r="Q115" s="132">
        <v>14.515025515256186</v>
      </c>
      <c r="R115" s="133"/>
      <c r="S115" s="130">
        <v>23.45</v>
      </c>
      <c r="T115" s="522">
        <v>0.61556725996469008</v>
      </c>
    </row>
    <row r="116" spans="1:20" s="458" customFormat="1" ht="15" customHeight="1">
      <c r="A116" s="457"/>
      <c r="B116" s="1256"/>
      <c r="C116" s="521" t="s">
        <v>444</v>
      </c>
      <c r="D116" s="498">
        <v>0</v>
      </c>
      <c r="E116" s="501">
        <v>0</v>
      </c>
      <c r="F116" s="501">
        <v>0</v>
      </c>
      <c r="G116" s="501">
        <v>0</v>
      </c>
      <c r="H116" s="502">
        <v>0</v>
      </c>
      <c r="I116" s="500">
        <v>0</v>
      </c>
      <c r="J116" s="501">
        <v>0</v>
      </c>
      <c r="K116" s="501">
        <v>0</v>
      </c>
      <c r="L116" s="501">
        <v>0</v>
      </c>
      <c r="M116" s="502">
        <v>0</v>
      </c>
      <c r="N116" s="474"/>
      <c r="O116" s="130">
        <v>0</v>
      </c>
      <c r="P116" s="131">
        <v>0</v>
      </c>
      <c r="Q116" s="132">
        <v>0</v>
      </c>
      <c r="R116" s="133"/>
      <c r="S116" s="130">
        <v>0</v>
      </c>
      <c r="T116" s="522" t="s">
        <v>989</v>
      </c>
    </row>
    <row r="117" spans="1:20" s="458" customFormat="1" ht="15" customHeight="1">
      <c r="A117" s="457"/>
      <c r="B117" s="1256"/>
      <c r="C117" s="521" t="s">
        <v>445</v>
      </c>
      <c r="D117" s="498">
        <v>0</v>
      </c>
      <c r="E117" s="501">
        <v>0</v>
      </c>
      <c r="F117" s="501">
        <v>0</v>
      </c>
      <c r="G117" s="501">
        <v>0</v>
      </c>
      <c r="H117" s="502">
        <v>0</v>
      </c>
      <c r="I117" s="500">
        <v>0</v>
      </c>
      <c r="J117" s="501">
        <v>0</v>
      </c>
      <c r="K117" s="501">
        <v>0</v>
      </c>
      <c r="L117" s="501">
        <v>0</v>
      </c>
      <c r="M117" s="502">
        <v>0</v>
      </c>
      <c r="N117" s="474"/>
      <c r="O117" s="130"/>
      <c r="P117" s="131"/>
      <c r="Q117" s="132"/>
      <c r="R117" s="133"/>
      <c r="S117" s="130"/>
      <c r="T117" s="522"/>
    </row>
    <row r="118" spans="1:20" s="458" customFormat="1" ht="15" customHeight="1">
      <c r="A118" s="457"/>
      <c r="B118" s="1256"/>
      <c r="C118" s="521" t="s">
        <v>446</v>
      </c>
      <c r="D118" s="498">
        <v>0</v>
      </c>
      <c r="E118" s="501">
        <v>0</v>
      </c>
      <c r="F118" s="501">
        <v>0</v>
      </c>
      <c r="G118" s="501">
        <v>0</v>
      </c>
      <c r="H118" s="502">
        <v>0</v>
      </c>
      <c r="I118" s="500">
        <v>0</v>
      </c>
      <c r="J118" s="501">
        <v>0</v>
      </c>
      <c r="K118" s="501">
        <v>0</v>
      </c>
      <c r="L118" s="501">
        <v>0</v>
      </c>
      <c r="M118" s="502">
        <v>0</v>
      </c>
      <c r="N118" s="474"/>
      <c r="O118" s="130"/>
      <c r="P118" s="131"/>
      <c r="Q118" s="132"/>
      <c r="R118" s="133"/>
      <c r="S118" s="130"/>
      <c r="T118" s="522"/>
    </row>
    <row r="119" spans="1:20" s="458" customFormat="1" ht="15" customHeight="1">
      <c r="A119" s="457"/>
      <c r="B119" s="1256"/>
      <c r="C119" s="521" t="s">
        <v>447</v>
      </c>
      <c r="D119" s="498">
        <v>0.6</v>
      </c>
      <c r="E119" s="501">
        <v>0.9</v>
      </c>
      <c r="F119" s="501">
        <v>1.1000000000000001</v>
      </c>
      <c r="G119" s="501">
        <v>0.75487824183184982</v>
      </c>
      <c r="H119" s="502">
        <v>0.87173681689880778</v>
      </c>
      <c r="I119" s="500">
        <v>1.25</v>
      </c>
      <c r="J119" s="501">
        <v>2.67</v>
      </c>
      <c r="K119" s="501">
        <v>4.03</v>
      </c>
      <c r="L119" s="501">
        <v>4.03</v>
      </c>
      <c r="M119" s="502">
        <v>4.03</v>
      </c>
      <c r="N119" s="474"/>
      <c r="O119" s="130"/>
      <c r="P119" s="131"/>
      <c r="Q119" s="132"/>
      <c r="R119" s="133"/>
      <c r="S119" s="130"/>
      <c r="T119" s="522"/>
    </row>
    <row r="120" spans="1:20" s="458" customFormat="1" ht="15" customHeight="1">
      <c r="A120" s="457"/>
      <c r="B120" s="1257"/>
      <c r="C120" s="523" t="s">
        <v>448</v>
      </c>
      <c r="D120" s="524">
        <v>1.9</v>
      </c>
      <c r="E120" s="524">
        <v>5.2</v>
      </c>
      <c r="F120" s="524">
        <v>5</v>
      </c>
      <c r="G120" s="524">
        <v>3.4246972663411661</v>
      </c>
      <c r="H120" s="525">
        <v>3.2169433076456775</v>
      </c>
      <c r="I120" s="526">
        <v>5.15</v>
      </c>
      <c r="J120" s="524">
        <v>7.1</v>
      </c>
      <c r="K120" s="524">
        <v>9.07</v>
      </c>
      <c r="L120" s="524">
        <v>9.07</v>
      </c>
      <c r="M120" s="525">
        <v>9.07</v>
      </c>
      <c r="N120" s="474"/>
      <c r="O120" s="130">
        <v>12.1</v>
      </c>
      <c r="P120" s="131">
        <v>6.6416405739868436</v>
      </c>
      <c r="Q120" s="132">
        <v>18.741640573986842</v>
      </c>
      <c r="R120" s="133"/>
      <c r="S120" s="130">
        <v>39.46</v>
      </c>
      <c r="T120" s="522">
        <v>1.1054720286744788</v>
      </c>
    </row>
    <row r="121" spans="1:20" s="458" customFormat="1" ht="15" customHeight="1">
      <c r="A121" s="457"/>
      <c r="B121" s="1255" t="s">
        <v>449</v>
      </c>
      <c r="C121" s="521" t="s">
        <v>443</v>
      </c>
      <c r="D121" s="498">
        <v>0</v>
      </c>
      <c r="E121" s="501">
        <v>0.1</v>
      </c>
      <c r="F121" s="501">
        <v>0.4</v>
      </c>
      <c r="G121" s="501">
        <v>1.6908853821892336</v>
      </c>
      <c r="H121" s="502">
        <v>1.1394312631289236</v>
      </c>
      <c r="I121" s="500">
        <v>0.24</v>
      </c>
      <c r="J121" s="501">
        <v>0.38</v>
      </c>
      <c r="K121" s="501">
        <v>0.52</v>
      </c>
      <c r="L121" s="501">
        <v>0.52</v>
      </c>
      <c r="M121" s="502">
        <v>0.52</v>
      </c>
      <c r="N121" s="474"/>
      <c r="O121" s="130">
        <v>0.5</v>
      </c>
      <c r="P121" s="131">
        <v>2.830316645318157</v>
      </c>
      <c r="Q121" s="132">
        <v>3.3303166453181574</v>
      </c>
      <c r="R121" s="133"/>
      <c r="S121" s="130">
        <v>2.1800000000000002</v>
      </c>
      <c r="T121" s="522">
        <v>-0.34540758967628538</v>
      </c>
    </row>
    <row r="122" spans="1:20" s="458" customFormat="1" ht="15" customHeight="1">
      <c r="A122" s="457"/>
      <c r="B122" s="1256"/>
      <c r="C122" s="521" t="s">
        <v>444</v>
      </c>
      <c r="D122" s="498">
        <v>0</v>
      </c>
      <c r="E122" s="501">
        <v>0</v>
      </c>
      <c r="F122" s="501">
        <v>0</v>
      </c>
      <c r="G122" s="501">
        <v>0</v>
      </c>
      <c r="H122" s="502">
        <v>0</v>
      </c>
      <c r="I122" s="500">
        <v>0</v>
      </c>
      <c r="J122" s="501">
        <v>0</v>
      </c>
      <c r="K122" s="501">
        <v>0</v>
      </c>
      <c r="L122" s="501">
        <v>0</v>
      </c>
      <c r="M122" s="502">
        <v>0</v>
      </c>
      <c r="N122" s="474"/>
      <c r="O122" s="130">
        <v>0</v>
      </c>
      <c r="P122" s="131">
        <v>0</v>
      </c>
      <c r="Q122" s="132">
        <v>0</v>
      </c>
      <c r="R122" s="133"/>
      <c r="S122" s="130">
        <v>0</v>
      </c>
      <c r="T122" s="522" t="s">
        <v>989</v>
      </c>
    </row>
    <row r="123" spans="1:20" s="458" customFormat="1" ht="15" customHeight="1">
      <c r="A123" s="457"/>
      <c r="B123" s="1256"/>
      <c r="C123" s="521" t="s">
        <v>445</v>
      </c>
      <c r="D123" s="498">
        <v>0</v>
      </c>
      <c r="E123" s="501">
        <v>0</v>
      </c>
      <c r="F123" s="501">
        <v>0</v>
      </c>
      <c r="G123" s="501">
        <v>0</v>
      </c>
      <c r="H123" s="502">
        <v>0</v>
      </c>
      <c r="I123" s="500">
        <v>0</v>
      </c>
      <c r="J123" s="501">
        <v>0</v>
      </c>
      <c r="K123" s="501">
        <v>0</v>
      </c>
      <c r="L123" s="501">
        <v>0</v>
      </c>
      <c r="M123" s="502">
        <v>0</v>
      </c>
      <c r="N123" s="474"/>
      <c r="O123" s="130"/>
      <c r="P123" s="131"/>
      <c r="Q123" s="132"/>
      <c r="R123" s="133"/>
      <c r="S123" s="130"/>
      <c r="T123" s="522"/>
    </row>
    <row r="124" spans="1:20" s="458" customFormat="1" ht="15" customHeight="1">
      <c r="A124" s="457"/>
      <c r="B124" s="1257"/>
      <c r="C124" s="521" t="s">
        <v>447</v>
      </c>
      <c r="D124" s="498">
        <v>0.3</v>
      </c>
      <c r="E124" s="501">
        <v>0.3</v>
      </c>
      <c r="F124" s="501">
        <v>0.5</v>
      </c>
      <c r="G124" s="501">
        <v>0.38633851766428928</v>
      </c>
      <c r="H124" s="502">
        <v>6.9503200893261521E-2</v>
      </c>
      <c r="I124" s="500">
        <v>0.27</v>
      </c>
      <c r="J124" s="501">
        <v>0.53</v>
      </c>
      <c r="K124" s="501">
        <v>0.8</v>
      </c>
      <c r="L124" s="501">
        <v>0.8</v>
      </c>
      <c r="M124" s="502">
        <v>0.8</v>
      </c>
      <c r="N124" s="474"/>
      <c r="O124" s="130"/>
      <c r="P124" s="131"/>
      <c r="Q124" s="132"/>
      <c r="R124" s="133"/>
      <c r="S124" s="130"/>
      <c r="T124" s="522"/>
    </row>
    <row r="125" spans="1:20" s="458" customFormat="1" ht="15" customHeight="1">
      <c r="A125" s="457"/>
      <c r="B125" s="1255" t="s">
        <v>450</v>
      </c>
      <c r="C125" s="521" t="s">
        <v>451</v>
      </c>
      <c r="D125" s="498">
        <v>0</v>
      </c>
      <c r="E125" s="501">
        <v>0</v>
      </c>
      <c r="F125" s="501">
        <v>0</v>
      </c>
      <c r="G125" s="501">
        <v>0</v>
      </c>
      <c r="H125" s="502">
        <v>0</v>
      </c>
      <c r="I125" s="500">
        <v>0</v>
      </c>
      <c r="J125" s="501">
        <v>0</v>
      </c>
      <c r="K125" s="501">
        <v>0</v>
      </c>
      <c r="L125" s="501">
        <v>0</v>
      </c>
      <c r="M125" s="502">
        <v>0</v>
      </c>
      <c r="N125" s="474"/>
      <c r="O125" s="130">
        <v>0</v>
      </c>
      <c r="P125" s="131">
        <v>0</v>
      </c>
      <c r="Q125" s="132">
        <v>0</v>
      </c>
      <c r="R125" s="133"/>
      <c r="S125" s="130">
        <v>0</v>
      </c>
      <c r="T125" s="522" t="s">
        <v>989</v>
      </c>
    </row>
    <row r="126" spans="1:20" s="458" customFormat="1" ht="15" customHeight="1">
      <c r="A126" s="457"/>
      <c r="B126" s="1256"/>
      <c r="C126" s="523" t="s">
        <v>452</v>
      </c>
      <c r="D126" s="498">
        <v>0</v>
      </c>
      <c r="E126" s="501">
        <v>0</v>
      </c>
      <c r="F126" s="501">
        <v>0</v>
      </c>
      <c r="G126" s="501">
        <v>0</v>
      </c>
      <c r="H126" s="502">
        <v>0</v>
      </c>
      <c r="I126" s="500">
        <v>0.12</v>
      </c>
      <c r="J126" s="501">
        <v>0.11</v>
      </c>
      <c r="K126" s="501">
        <v>0.1</v>
      </c>
      <c r="L126" s="501">
        <v>0.1</v>
      </c>
      <c r="M126" s="502">
        <v>0.1</v>
      </c>
      <c r="N126" s="474"/>
      <c r="O126" s="130">
        <v>0</v>
      </c>
      <c r="P126" s="131">
        <v>0</v>
      </c>
      <c r="Q126" s="132">
        <v>0</v>
      </c>
      <c r="R126" s="133"/>
      <c r="S126" s="130">
        <v>0.53</v>
      </c>
      <c r="T126" s="522" t="s">
        <v>989</v>
      </c>
    </row>
    <row r="127" spans="1:20" s="458" customFormat="1" ht="15" customHeight="1">
      <c r="A127" s="457"/>
      <c r="B127" s="1256"/>
      <c r="C127" s="521" t="s">
        <v>445</v>
      </c>
      <c r="D127" s="498">
        <v>0</v>
      </c>
      <c r="E127" s="498">
        <v>0</v>
      </c>
      <c r="F127" s="498">
        <v>0</v>
      </c>
      <c r="G127" s="498">
        <v>0</v>
      </c>
      <c r="H127" s="499">
        <v>0</v>
      </c>
      <c r="I127" s="500">
        <v>0</v>
      </c>
      <c r="J127" s="498">
        <v>0</v>
      </c>
      <c r="K127" s="498">
        <v>0</v>
      </c>
      <c r="L127" s="498">
        <v>0</v>
      </c>
      <c r="M127" s="499">
        <v>0</v>
      </c>
      <c r="N127" s="474"/>
      <c r="O127" s="130"/>
      <c r="P127" s="131"/>
      <c r="Q127" s="132"/>
      <c r="R127" s="133"/>
      <c r="S127" s="130"/>
      <c r="T127" s="522"/>
    </row>
    <row r="128" spans="1:20" s="458" customFormat="1" ht="15" customHeight="1">
      <c r="A128" s="457"/>
      <c r="B128" s="1257"/>
      <c r="C128" s="521" t="s">
        <v>453</v>
      </c>
      <c r="D128" s="498">
        <v>0</v>
      </c>
      <c r="E128" s="498">
        <v>0</v>
      </c>
      <c r="F128" s="498">
        <v>0</v>
      </c>
      <c r="G128" s="498">
        <v>0</v>
      </c>
      <c r="H128" s="499">
        <v>0</v>
      </c>
      <c r="I128" s="500">
        <v>0.03</v>
      </c>
      <c r="J128" s="498">
        <v>0.06</v>
      </c>
      <c r="K128" s="498">
        <v>0.09</v>
      </c>
      <c r="L128" s="498">
        <v>0.09</v>
      </c>
      <c r="M128" s="499">
        <v>0.1</v>
      </c>
      <c r="N128" s="474"/>
      <c r="O128" s="130"/>
      <c r="P128" s="131"/>
      <c r="Q128" s="132"/>
      <c r="R128" s="133"/>
      <c r="S128" s="130"/>
      <c r="T128" s="522"/>
    </row>
    <row r="129" spans="1:20" s="458" customFormat="1" ht="15" customHeight="1">
      <c r="A129" s="457"/>
      <c r="B129" s="527" t="s">
        <v>454</v>
      </c>
      <c r="C129" s="523" t="s">
        <v>448</v>
      </c>
      <c r="D129" s="524">
        <v>0.3</v>
      </c>
      <c r="E129" s="524">
        <v>0.4</v>
      </c>
      <c r="F129" s="524">
        <v>0.9</v>
      </c>
      <c r="G129" s="524">
        <v>2.0772238998535228</v>
      </c>
      <c r="H129" s="525">
        <v>1.2089344640221851</v>
      </c>
      <c r="I129" s="526">
        <v>0.66</v>
      </c>
      <c r="J129" s="524">
        <v>1.08</v>
      </c>
      <c r="K129" s="524">
        <v>1.51</v>
      </c>
      <c r="L129" s="524">
        <v>1.51</v>
      </c>
      <c r="M129" s="525">
        <v>1.52</v>
      </c>
      <c r="N129" s="474"/>
      <c r="O129" s="130">
        <v>1.6</v>
      </c>
      <c r="P129" s="131">
        <v>3.2861583638757077</v>
      </c>
      <c r="Q129" s="132">
        <v>4.8861583638757082</v>
      </c>
      <c r="R129" s="133"/>
      <c r="S129" s="130">
        <v>6.28</v>
      </c>
      <c r="T129" s="522">
        <v>0.28526329527696592</v>
      </c>
    </row>
    <row r="130" spans="1:20" s="458" customFormat="1" ht="15" customHeight="1">
      <c r="A130" s="457"/>
      <c r="B130" s="1255" t="s">
        <v>455</v>
      </c>
      <c r="C130" s="521" t="s">
        <v>443</v>
      </c>
      <c r="D130" s="498">
        <v>0</v>
      </c>
      <c r="E130" s="501">
        <v>0</v>
      </c>
      <c r="F130" s="501">
        <v>0</v>
      </c>
      <c r="G130" s="501">
        <v>0</v>
      </c>
      <c r="H130" s="502">
        <v>0</v>
      </c>
      <c r="I130" s="500">
        <v>0</v>
      </c>
      <c r="J130" s="501">
        <v>0</v>
      </c>
      <c r="K130" s="501">
        <v>0</v>
      </c>
      <c r="L130" s="501">
        <v>0</v>
      </c>
      <c r="M130" s="502">
        <v>0</v>
      </c>
      <c r="N130" s="474"/>
      <c r="O130" s="130">
        <v>0</v>
      </c>
      <c r="P130" s="131">
        <v>0</v>
      </c>
      <c r="Q130" s="132">
        <v>0</v>
      </c>
      <c r="R130" s="133"/>
      <c r="S130" s="130">
        <v>0</v>
      </c>
      <c r="T130" s="522" t="s">
        <v>989</v>
      </c>
    </row>
    <row r="131" spans="1:20" s="458" customFormat="1" ht="15" customHeight="1">
      <c r="A131" s="457"/>
      <c r="B131" s="1256"/>
      <c r="C131" s="521" t="s">
        <v>444</v>
      </c>
      <c r="D131" s="498">
        <v>0</v>
      </c>
      <c r="E131" s="501">
        <v>0</v>
      </c>
      <c r="F131" s="501">
        <v>0</v>
      </c>
      <c r="G131" s="501">
        <v>0</v>
      </c>
      <c r="H131" s="502">
        <v>0</v>
      </c>
      <c r="I131" s="500">
        <v>0</v>
      </c>
      <c r="J131" s="501">
        <v>0</v>
      </c>
      <c r="K131" s="501">
        <v>0</v>
      </c>
      <c r="L131" s="501">
        <v>0</v>
      </c>
      <c r="M131" s="502">
        <v>0</v>
      </c>
      <c r="N131" s="474"/>
      <c r="O131" s="130">
        <v>0</v>
      </c>
      <c r="P131" s="131">
        <v>0</v>
      </c>
      <c r="Q131" s="132">
        <v>0</v>
      </c>
      <c r="R131" s="133"/>
      <c r="S131" s="130">
        <v>0</v>
      </c>
      <c r="T131" s="522" t="s">
        <v>989</v>
      </c>
    </row>
    <row r="132" spans="1:20" s="458" customFormat="1" ht="15" customHeight="1">
      <c r="A132" s="457"/>
      <c r="B132" s="1256"/>
      <c r="C132" s="521" t="s">
        <v>445</v>
      </c>
      <c r="D132" s="498">
        <v>0</v>
      </c>
      <c r="E132" s="501">
        <v>0</v>
      </c>
      <c r="F132" s="501">
        <v>0</v>
      </c>
      <c r="G132" s="501">
        <v>0</v>
      </c>
      <c r="H132" s="502">
        <v>0</v>
      </c>
      <c r="I132" s="500">
        <v>0</v>
      </c>
      <c r="J132" s="501">
        <v>0</v>
      </c>
      <c r="K132" s="501">
        <v>0</v>
      </c>
      <c r="L132" s="501">
        <v>0</v>
      </c>
      <c r="M132" s="502">
        <v>0</v>
      </c>
      <c r="N132" s="474"/>
      <c r="O132" s="130"/>
      <c r="P132" s="131"/>
      <c r="Q132" s="132"/>
      <c r="R132" s="133"/>
      <c r="S132" s="130"/>
      <c r="T132" s="522"/>
    </row>
    <row r="133" spans="1:20" s="458" customFormat="1" ht="15" customHeight="1">
      <c r="A133" s="457"/>
      <c r="B133" s="1257"/>
      <c r="C133" s="521" t="s">
        <v>447</v>
      </c>
      <c r="D133" s="498">
        <v>0</v>
      </c>
      <c r="E133" s="501">
        <v>0</v>
      </c>
      <c r="F133" s="501">
        <v>0</v>
      </c>
      <c r="G133" s="501">
        <v>0</v>
      </c>
      <c r="H133" s="502">
        <v>0</v>
      </c>
      <c r="I133" s="500">
        <v>0.04</v>
      </c>
      <c r="J133" s="501">
        <v>0.06</v>
      </c>
      <c r="K133" s="501">
        <v>0.08</v>
      </c>
      <c r="L133" s="501">
        <v>0.08</v>
      </c>
      <c r="M133" s="502">
        <v>0.08</v>
      </c>
      <c r="N133" s="474"/>
      <c r="O133" s="130"/>
      <c r="P133" s="131"/>
      <c r="Q133" s="132"/>
      <c r="R133" s="133"/>
      <c r="S133" s="130"/>
      <c r="T133" s="522"/>
    </row>
    <row r="134" spans="1:20" s="458" customFormat="1" ht="15" customHeight="1">
      <c r="A134" s="457"/>
      <c r="B134" s="1255" t="s">
        <v>456</v>
      </c>
      <c r="C134" s="521" t="s">
        <v>451</v>
      </c>
      <c r="D134" s="498">
        <v>0</v>
      </c>
      <c r="E134" s="501">
        <v>0</v>
      </c>
      <c r="F134" s="501">
        <v>0</v>
      </c>
      <c r="G134" s="501">
        <v>0</v>
      </c>
      <c r="H134" s="502">
        <v>0</v>
      </c>
      <c r="I134" s="500">
        <v>0.27</v>
      </c>
      <c r="J134" s="501">
        <v>0.28999999999999998</v>
      </c>
      <c r="K134" s="501">
        <v>0.31</v>
      </c>
      <c r="L134" s="501">
        <v>0.31</v>
      </c>
      <c r="M134" s="502">
        <v>0.31</v>
      </c>
      <c r="N134" s="474"/>
      <c r="O134" s="130"/>
      <c r="P134" s="131"/>
      <c r="Q134" s="132"/>
      <c r="R134" s="133"/>
      <c r="S134" s="130"/>
      <c r="T134" s="522"/>
    </row>
    <row r="135" spans="1:20" s="458" customFormat="1" ht="15" customHeight="1">
      <c r="A135" s="457"/>
      <c r="B135" s="1256"/>
      <c r="C135" s="523" t="s">
        <v>452</v>
      </c>
      <c r="D135" s="498">
        <v>0.5</v>
      </c>
      <c r="E135" s="501">
        <v>1.3</v>
      </c>
      <c r="F135" s="501">
        <v>1.1000000000000001</v>
      </c>
      <c r="G135" s="501">
        <v>0.88575172342544373</v>
      </c>
      <c r="H135" s="502">
        <v>0.3338259800479379</v>
      </c>
      <c r="I135" s="500">
        <v>0.2</v>
      </c>
      <c r="J135" s="501">
        <v>0.33</v>
      </c>
      <c r="K135" s="501">
        <v>0.46</v>
      </c>
      <c r="L135" s="501">
        <v>0.46</v>
      </c>
      <c r="M135" s="502">
        <v>0.46</v>
      </c>
      <c r="N135" s="474"/>
      <c r="O135" s="130">
        <v>2.9</v>
      </c>
      <c r="P135" s="131">
        <v>1.2195777034733817</v>
      </c>
      <c r="Q135" s="132">
        <v>4.1195777034733823</v>
      </c>
      <c r="R135" s="133"/>
      <c r="S135" s="130">
        <v>1.91</v>
      </c>
      <c r="T135" s="522">
        <v>-0.53636024430620599</v>
      </c>
    </row>
    <row r="136" spans="1:20" s="458" customFormat="1" ht="15" customHeight="1">
      <c r="A136" s="457"/>
      <c r="B136" s="1256"/>
      <c r="C136" s="521" t="s">
        <v>445</v>
      </c>
      <c r="D136" s="498">
        <v>0</v>
      </c>
      <c r="E136" s="501">
        <v>0</v>
      </c>
      <c r="F136" s="501">
        <v>0</v>
      </c>
      <c r="G136" s="501">
        <v>0</v>
      </c>
      <c r="H136" s="502">
        <v>0</v>
      </c>
      <c r="I136" s="500">
        <v>0</v>
      </c>
      <c r="J136" s="501">
        <v>0</v>
      </c>
      <c r="K136" s="501">
        <v>0</v>
      </c>
      <c r="L136" s="501">
        <v>0</v>
      </c>
      <c r="M136" s="502">
        <v>0</v>
      </c>
      <c r="N136" s="474"/>
      <c r="O136" s="130"/>
      <c r="P136" s="131"/>
      <c r="Q136" s="132"/>
      <c r="R136" s="133"/>
      <c r="S136" s="130"/>
      <c r="T136" s="522"/>
    </row>
    <row r="137" spans="1:20" s="458" customFormat="1" ht="15" customHeight="1">
      <c r="A137" s="457"/>
      <c r="B137" s="1257"/>
      <c r="C137" s="521" t="s">
        <v>453</v>
      </c>
      <c r="D137" s="498">
        <v>0</v>
      </c>
      <c r="E137" s="501">
        <v>0</v>
      </c>
      <c r="F137" s="501">
        <v>0</v>
      </c>
      <c r="G137" s="501">
        <v>0</v>
      </c>
      <c r="H137" s="502">
        <v>0</v>
      </c>
      <c r="I137" s="500">
        <v>0.09</v>
      </c>
      <c r="J137" s="501">
        <v>0.09</v>
      </c>
      <c r="K137" s="501">
        <v>0.11</v>
      </c>
      <c r="L137" s="501">
        <v>0.13</v>
      </c>
      <c r="M137" s="502">
        <v>0.15</v>
      </c>
      <c r="N137" s="474"/>
      <c r="O137" s="130">
        <v>0</v>
      </c>
      <c r="P137" s="131">
        <v>0</v>
      </c>
      <c r="Q137" s="132">
        <v>0</v>
      </c>
      <c r="R137" s="133"/>
      <c r="S137" s="130">
        <v>0.56999999999999995</v>
      </c>
      <c r="T137" s="522" t="s">
        <v>989</v>
      </c>
    </row>
    <row r="138" spans="1:20" s="458" customFormat="1" ht="15" customHeight="1" thickBot="1">
      <c r="A138" s="457"/>
      <c r="B138" s="528" t="s">
        <v>457</v>
      </c>
      <c r="C138" s="529" t="s">
        <v>448</v>
      </c>
      <c r="D138" s="530">
        <v>0.5</v>
      </c>
      <c r="E138" s="530">
        <v>1.3</v>
      </c>
      <c r="F138" s="530">
        <v>1.1000000000000001</v>
      </c>
      <c r="G138" s="530">
        <v>0.88575172342544373</v>
      </c>
      <c r="H138" s="531">
        <v>0.3338259800479379</v>
      </c>
      <c r="I138" s="532">
        <v>0.6</v>
      </c>
      <c r="J138" s="530">
        <v>0.77</v>
      </c>
      <c r="K138" s="530">
        <v>0.96</v>
      </c>
      <c r="L138" s="530">
        <v>0.98</v>
      </c>
      <c r="M138" s="531">
        <v>1</v>
      </c>
      <c r="N138" s="474"/>
      <c r="O138" s="150">
        <v>2.9</v>
      </c>
      <c r="P138" s="151">
        <v>1.2195777034733817</v>
      </c>
      <c r="Q138" s="152">
        <v>4.1195777034733823</v>
      </c>
      <c r="R138" s="133"/>
      <c r="S138" s="150">
        <v>4.3099999999999996</v>
      </c>
      <c r="T138" s="533">
        <v>4.6223741905891354E-2</v>
      </c>
    </row>
    <row r="139" spans="1:20" s="458" customFormat="1">
      <c r="A139" s="457"/>
      <c r="B139" s="338"/>
      <c r="C139" s="338"/>
      <c r="D139" s="474"/>
      <c r="E139" s="474"/>
      <c r="F139" s="474"/>
      <c r="G139" s="474"/>
      <c r="H139" s="474"/>
      <c r="I139" s="474"/>
      <c r="J139" s="474"/>
      <c r="K139" s="474"/>
      <c r="L139" s="474"/>
      <c r="M139" s="474"/>
      <c r="N139" s="474"/>
      <c r="O139" s="474"/>
      <c r="P139" s="474"/>
      <c r="Q139" s="474"/>
      <c r="R139" s="485"/>
      <c r="S139" s="485"/>
      <c r="T139" s="485"/>
    </row>
    <row r="140" spans="1:20" s="458" customFormat="1" ht="12.75">
      <c r="A140" s="457"/>
      <c r="B140" s="456" t="s">
        <v>458</v>
      </c>
      <c r="C140" s="338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s="458" customFormat="1" ht="13.5" thickBot="1">
      <c r="A141" s="457"/>
      <c r="B141" s="338"/>
      <c r="C141" s="338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s="458" customFormat="1" ht="12.75">
      <c r="A142" s="457"/>
      <c r="B142" s="1258" t="s">
        <v>420</v>
      </c>
      <c r="C142" s="1259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s="458" customFormat="1" ht="12.75">
      <c r="A143" s="457"/>
      <c r="B143" s="1260"/>
      <c r="C143" s="1261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s="458" customFormat="1" ht="12.75">
      <c r="A144" s="457"/>
      <c r="B144" s="1262"/>
      <c r="C144" s="1263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s="458" customFormat="1" ht="12.75">
      <c r="A145" s="457"/>
      <c r="B145" s="534" t="s">
        <v>459</v>
      </c>
      <c r="C145" s="535" t="s">
        <v>460</v>
      </c>
      <c r="D145" s="536"/>
      <c r="E145" s="338"/>
      <c r="F145" s="338"/>
      <c r="G145" s="338"/>
      <c r="H145" s="537"/>
      <c r="I145" s="538"/>
      <c r="J145" s="338"/>
      <c r="K145" s="338"/>
      <c r="L145" s="338"/>
      <c r="M145" s="537"/>
      <c r="N145" s="338"/>
      <c r="O145" s="538"/>
      <c r="P145" s="338"/>
      <c r="Q145" s="537"/>
      <c r="S145" s="536"/>
      <c r="T145" s="539"/>
    </row>
    <row r="146" spans="1:20" s="458" customFormat="1" ht="12.75">
      <c r="A146" s="457"/>
      <c r="B146" s="538"/>
      <c r="C146" s="540" t="s">
        <v>461</v>
      </c>
      <c r="D146" s="541"/>
      <c r="E146" s="542"/>
      <c r="F146" s="542"/>
      <c r="G146" s="542"/>
      <c r="H146" s="543"/>
      <c r="I146" s="541"/>
      <c r="J146" s="542"/>
      <c r="K146" s="542"/>
      <c r="L146" s="542"/>
      <c r="M146" s="543"/>
      <c r="N146" s="338"/>
      <c r="O146" s="447">
        <f t="shared" ref="O146:O153" si="0">SUM(D146:G146)</f>
        <v>0</v>
      </c>
      <c r="P146" s="448">
        <f t="shared" ref="P146:P153" si="1">H146</f>
        <v>0</v>
      </c>
      <c r="Q146" s="449">
        <f t="shared" ref="Q146:Q153" si="2">SUM(D146:H146)</f>
        <v>0</v>
      </c>
      <c r="R146" s="440"/>
      <c r="S146" s="447">
        <f t="shared" ref="S146:S153" si="3">SUM(I146:M146)</f>
        <v>0</v>
      </c>
      <c r="T146" s="522" t="str">
        <f t="shared" ref="T146:T153" si="4">IF(Q146&lt;&gt;0,(S146-Q146)/Q146,"0")</f>
        <v>0</v>
      </c>
    </row>
    <row r="147" spans="1:20" s="458" customFormat="1" ht="12.75">
      <c r="A147" s="457"/>
      <c r="B147" s="538"/>
      <c r="C147" s="540" t="s">
        <v>462</v>
      </c>
      <c r="D147" s="326"/>
      <c r="E147" s="327"/>
      <c r="F147" s="327"/>
      <c r="G147" s="327"/>
      <c r="H147" s="328"/>
      <c r="I147" s="326"/>
      <c r="J147" s="327"/>
      <c r="K147" s="327"/>
      <c r="L147" s="327"/>
      <c r="M147" s="328"/>
      <c r="N147" s="338"/>
      <c r="O147" s="447">
        <f t="shared" si="0"/>
        <v>0</v>
      </c>
      <c r="P147" s="448">
        <f t="shared" si="1"/>
        <v>0</v>
      </c>
      <c r="Q147" s="449">
        <f t="shared" si="2"/>
        <v>0</v>
      </c>
      <c r="R147" s="440"/>
      <c r="S147" s="447">
        <f t="shared" si="3"/>
        <v>0</v>
      </c>
      <c r="T147" s="522" t="str">
        <f t="shared" si="4"/>
        <v>0</v>
      </c>
    </row>
    <row r="148" spans="1:20" s="458" customFormat="1" ht="12.75">
      <c r="A148" s="457"/>
      <c r="B148" s="538"/>
      <c r="C148" s="544"/>
      <c r="D148" s="326"/>
      <c r="E148" s="327"/>
      <c r="F148" s="327"/>
      <c r="G148" s="327">
        <v>0</v>
      </c>
      <c r="H148" s="328"/>
      <c r="I148" s="326"/>
      <c r="J148" s="327"/>
      <c r="K148" s="327"/>
      <c r="L148" s="327"/>
      <c r="M148" s="328"/>
      <c r="N148" s="338"/>
      <c r="O148" s="447">
        <f t="shared" si="0"/>
        <v>0</v>
      </c>
      <c r="P148" s="448">
        <f t="shared" si="1"/>
        <v>0</v>
      </c>
      <c r="Q148" s="449">
        <f t="shared" si="2"/>
        <v>0</v>
      </c>
      <c r="R148" s="440"/>
      <c r="S148" s="447">
        <f t="shared" si="3"/>
        <v>0</v>
      </c>
      <c r="T148" s="522" t="str">
        <f t="shared" si="4"/>
        <v>0</v>
      </c>
    </row>
    <row r="149" spans="1:20" s="458" customFormat="1" ht="12.75">
      <c r="A149" s="457"/>
      <c r="B149" s="538"/>
      <c r="C149" s="535"/>
      <c r="D149" s="536"/>
      <c r="E149" s="338"/>
      <c r="F149" s="338"/>
      <c r="G149" s="338"/>
      <c r="H149" s="537"/>
      <c r="I149" s="538"/>
      <c r="J149" s="338"/>
      <c r="K149" s="338"/>
      <c r="L149" s="338"/>
      <c r="M149" s="537"/>
      <c r="N149" s="338"/>
      <c r="O149" s="135"/>
      <c r="P149" s="138"/>
      <c r="Q149" s="137"/>
      <c r="R149" s="545"/>
      <c r="S149" s="135"/>
      <c r="T149" s="546"/>
    </row>
    <row r="150" spans="1:20" s="458" customFormat="1" ht="12.75">
      <c r="A150" s="457"/>
      <c r="B150" s="538"/>
      <c r="C150" s="535" t="s">
        <v>463</v>
      </c>
      <c r="D150" s="536"/>
      <c r="E150" s="338"/>
      <c r="F150" s="338"/>
      <c r="G150" s="338"/>
      <c r="H150" s="537"/>
      <c r="I150" s="538"/>
      <c r="J150" s="338"/>
      <c r="K150" s="338"/>
      <c r="L150" s="338"/>
      <c r="M150" s="537"/>
      <c r="N150" s="338"/>
      <c r="O150" s="135"/>
      <c r="P150" s="138"/>
      <c r="Q150" s="137"/>
      <c r="R150" s="545"/>
      <c r="S150" s="135"/>
      <c r="T150" s="546"/>
    </row>
    <row r="151" spans="1:20" s="458" customFormat="1" ht="12.75">
      <c r="A151" s="457"/>
      <c r="B151" s="538"/>
      <c r="C151" s="540" t="s">
        <v>461</v>
      </c>
      <c r="D151" s="541"/>
      <c r="E151" s="542"/>
      <c r="F151" s="542"/>
      <c r="G151" s="542"/>
      <c r="H151" s="543"/>
      <c r="I151" s="541"/>
      <c r="J151" s="542"/>
      <c r="K151" s="542"/>
      <c r="L151" s="542"/>
      <c r="M151" s="543"/>
      <c r="N151" s="338"/>
      <c r="O151" s="447">
        <f t="shared" si="0"/>
        <v>0</v>
      </c>
      <c r="P151" s="448">
        <f t="shared" si="1"/>
        <v>0</v>
      </c>
      <c r="Q151" s="449">
        <f t="shared" si="2"/>
        <v>0</v>
      </c>
      <c r="R151" s="440"/>
      <c r="S151" s="447">
        <f t="shared" si="3"/>
        <v>0</v>
      </c>
      <c r="T151" s="522" t="str">
        <f t="shared" si="4"/>
        <v>0</v>
      </c>
    </row>
    <row r="152" spans="1:20" s="458" customFormat="1" ht="12.75">
      <c r="A152" s="457"/>
      <c r="B152" s="538"/>
      <c r="C152" s="540" t="s">
        <v>462</v>
      </c>
      <c r="D152" s="326"/>
      <c r="E152" s="327"/>
      <c r="F152" s="327"/>
      <c r="G152" s="327"/>
      <c r="H152" s="328"/>
      <c r="I152" s="326"/>
      <c r="J152" s="327"/>
      <c r="K152" s="327"/>
      <c r="L152" s="327"/>
      <c r="M152" s="328"/>
      <c r="N152" s="338"/>
      <c r="O152" s="447">
        <f t="shared" si="0"/>
        <v>0</v>
      </c>
      <c r="P152" s="448">
        <f t="shared" si="1"/>
        <v>0</v>
      </c>
      <c r="Q152" s="449">
        <f t="shared" si="2"/>
        <v>0</v>
      </c>
      <c r="R152" s="440"/>
      <c r="S152" s="447">
        <f t="shared" si="3"/>
        <v>0</v>
      </c>
      <c r="T152" s="522" t="str">
        <f t="shared" si="4"/>
        <v>0</v>
      </c>
    </row>
    <row r="153" spans="1:20" s="458" customFormat="1" ht="13.5" thickBot="1">
      <c r="A153" s="457"/>
      <c r="B153" s="547"/>
      <c r="C153" s="548"/>
      <c r="D153" s="347"/>
      <c r="E153" s="348"/>
      <c r="F153" s="348"/>
      <c r="G153" s="348">
        <v>0</v>
      </c>
      <c r="H153" s="549"/>
      <c r="I153" s="347"/>
      <c r="J153" s="348"/>
      <c r="K153" s="348"/>
      <c r="L153" s="348"/>
      <c r="M153" s="549"/>
      <c r="N153" s="338"/>
      <c r="O153" s="550">
        <f t="shared" si="0"/>
        <v>0</v>
      </c>
      <c r="P153" s="551">
        <f t="shared" si="1"/>
        <v>0</v>
      </c>
      <c r="Q153" s="552">
        <f t="shared" si="2"/>
        <v>0</v>
      </c>
      <c r="R153" s="440"/>
      <c r="S153" s="550">
        <f t="shared" si="3"/>
        <v>0</v>
      </c>
      <c r="T153" s="533" t="str">
        <f t="shared" si="4"/>
        <v>0</v>
      </c>
    </row>
    <row r="154" spans="1:20" s="458" customFormat="1" ht="12.75">
      <c r="A154" s="457"/>
      <c r="B154" s="338"/>
      <c r="E154" s="338"/>
      <c r="F154" s="338"/>
      <c r="G154" s="338"/>
      <c r="H154" s="338"/>
      <c r="I154" s="338"/>
      <c r="J154" s="338"/>
      <c r="K154" s="338"/>
      <c r="L154" s="338"/>
      <c r="M154" s="338"/>
      <c r="N154" s="338"/>
      <c r="O154" s="338"/>
      <c r="P154" s="338"/>
      <c r="Q154" s="338"/>
    </row>
    <row r="155" spans="1:20" s="458" customFormat="1" ht="12.75">
      <c r="A155" s="457"/>
      <c r="B155" s="338"/>
      <c r="C155" s="338"/>
      <c r="E155" s="338"/>
      <c r="F155" s="338"/>
      <c r="G155" s="338"/>
      <c r="H155" s="338"/>
      <c r="I155" s="338"/>
      <c r="J155" s="338"/>
      <c r="K155" s="338"/>
      <c r="L155" s="338"/>
      <c r="M155" s="338"/>
      <c r="N155" s="338"/>
      <c r="O155" s="338"/>
      <c r="P155" s="338"/>
      <c r="Q155" s="338"/>
    </row>
    <row r="156" spans="1:20" s="458" customFormat="1" ht="12.75">
      <c r="A156" s="457"/>
      <c r="B156" s="338"/>
      <c r="C156" s="338"/>
      <c r="E156" s="338"/>
      <c r="F156" s="338"/>
      <c r="G156" s="338"/>
      <c r="H156" s="338"/>
      <c r="I156" s="338"/>
      <c r="J156" s="338"/>
      <c r="K156" s="338"/>
      <c r="L156" s="338"/>
      <c r="M156" s="338"/>
      <c r="N156" s="338"/>
      <c r="O156" s="338"/>
      <c r="P156" s="338"/>
      <c r="Q156" s="338"/>
    </row>
    <row r="157" spans="1:20" s="458" customFormat="1" ht="12.75">
      <c r="A157" s="457"/>
      <c r="B157" s="338"/>
      <c r="C157" s="338"/>
      <c r="E157" s="338"/>
      <c r="F157" s="338"/>
      <c r="G157" s="338"/>
      <c r="H157" s="338"/>
      <c r="I157" s="338"/>
      <c r="J157" s="338"/>
      <c r="K157" s="338"/>
      <c r="L157" s="338"/>
      <c r="M157" s="338"/>
      <c r="N157" s="338"/>
      <c r="O157" s="338"/>
      <c r="P157" s="338"/>
      <c r="Q157" s="338"/>
    </row>
    <row r="158" spans="1:20" s="458" customFormat="1" ht="12.75">
      <c r="A158" s="457"/>
      <c r="B158" s="338"/>
      <c r="C158" s="338"/>
      <c r="E158" s="338"/>
      <c r="F158" s="338"/>
      <c r="G158" s="338"/>
      <c r="H158" s="338"/>
      <c r="I158" s="338"/>
      <c r="J158" s="338"/>
      <c r="K158" s="338"/>
      <c r="L158" s="338"/>
      <c r="M158" s="338"/>
      <c r="N158" s="338"/>
      <c r="O158" s="338"/>
      <c r="P158" s="338"/>
      <c r="Q158" s="338"/>
    </row>
    <row r="159" spans="1:20" s="458" customFormat="1" ht="12.75">
      <c r="A159" s="457"/>
      <c r="B159" s="338"/>
      <c r="C159" s="338"/>
      <c r="E159" s="338"/>
      <c r="F159" s="338"/>
      <c r="G159" s="338"/>
      <c r="H159" s="338"/>
      <c r="I159" s="338"/>
      <c r="J159" s="338"/>
      <c r="K159" s="338"/>
      <c r="L159" s="338"/>
      <c r="M159" s="338"/>
      <c r="N159" s="338"/>
      <c r="O159" s="338"/>
      <c r="P159" s="338"/>
      <c r="Q159" s="338"/>
    </row>
    <row r="160" spans="1:20" s="458" customFormat="1" ht="12.75">
      <c r="A160" s="457"/>
      <c r="B160" s="338"/>
      <c r="C160" s="338"/>
      <c r="E160" s="338"/>
      <c r="F160" s="338"/>
      <c r="G160" s="338"/>
      <c r="H160" s="338"/>
      <c r="I160" s="338"/>
      <c r="J160" s="338"/>
      <c r="K160" s="338"/>
      <c r="L160" s="338"/>
      <c r="M160" s="338"/>
      <c r="N160" s="338"/>
      <c r="O160" s="338"/>
      <c r="P160" s="338"/>
      <c r="Q160" s="338"/>
    </row>
    <row r="161" spans="1:17" s="458" customFormat="1" ht="12.75">
      <c r="A161" s="457"/>
      <c r="B161" s="338"/>
      <c r="C161" s="338"/>
      <c r="E161" s="338"/>
      <c r="F161" s="338"/>
      <c r="G161" s="338"/>
      <c r="H161" s="338"/>
      <c r="I161" s="338"/>
      <c r="J161" s="338"/>
      <c r="K161" s="338"/>
      <c r="L161" s="338"/>
      <c r="M161" s="338"/>
      <c r="N161" s="338"/>
      <c r="O161" s="338"/>
      <c r="P161" s="338"/>
      <c r="Q161" s="338"/>
    </row>
    <row r="162" spans="1:17" s="458" customFormat="1" ht="12.75">
      <c r="A162" s="457"/>
      <c r="B162" s="338"/>
      <c r="C162" s="338"/>
      <c r="E162" s="338"/>
      <c r="F162" s="338"/>
      <c r="G162" s="338"/>
      <c r="H162" s="338"/>
      <c r="I162" s="338"/>
      <c r="J162" s="338"/>
      <c r="K162" s="338"/>
      <c r="L162" s="338"/>
      <c r="M162" s="338"/>
      <c r="N162" s="338"/>
      <c r="O162" s="338"/>
      <c r="P162" s="338"/>
      <c r="Q162" s="338"/>
    </row>
    <row r="163" spans="1:17" s="458" customFormat="1" ht="12.75">
      <c r="A163" s="457"/>
      <c r="B163" s="338"/>
      <c r="C163" s="338"/>
      <c r="E163" s="338"/>
      <c r="F163" s="338"/>
      <c r="G163" s="338"/>
      <c r="H163" s="338"/>
      <c r="I163" s="338"/>
      <c r="J163" s="338"/>
      <c r="K163" s="338"/>
      <c r="L163" s="338"/>
      <c r="M163" s="338"/>
      <c r="N163" s="338"/>
      <c r="O163" s="338"/>
      <c r="P163" s="338"/>
      <c r="Q163" s="338"/>
    </row>
    <row r="164" spans="1:17" s="458" customFormat="1" ht="12.75">
      <c r="A164" s="457"/>
      <c r="B164" s="338"/>
      <c r="C164" s="338"/>
      <c r="E164" s="338"/>
      <c r="F164" s="338"/>
      <c r="G164" s="338"/>
      <c r="H164" s="338"/>
      <c r="I164" s="338"/>
      <c r="J164" s="338"/>
      <c r="K164" s="338"/>
      <c r="L164" s="338"/>
      <c r="M164" s="338"/>
      <c r="N164" s="338"/>
      <c r="O164" s="338"/>
      <c r="P164" s="338"/>
      <c r="Q164" s="338"/>
    </row>
    <row r="165" spans="1:17" s="458" customFormat="1" ht="12.75">
      <c r="A165" s="457"/>
      <c r="B165" s="338"/>
      <c r="C165" s="338"/>
      <c r="E165" s="338"/>
      <c r="F165" s="338"/>
      <c r="G165" s="338"/>
      <c r="H165" s="338"/>
      <c r="I165" s="338"/>
      <c r="J165" s="338"/>
      <c r="K165" s="338"/>
      <c r="L165" s="338"/>
      <c r="M165" s="338"/>
      <c r="N165" s="338"/>
      <c r="O165" s="338"/>
      <c r="P165" s="338"/>
      <c r="Q165" s="338"/>
    </row>
    <row r="166" spans="1:17" s="458" customFormat="1" ht="12.75">
      <c r="A166" s="457"/>
      <c r="B166" s="338"/>
      <c r="C166" s="338"/>
      <c r="E166" s="338"/>
      <c r="F166" s="338"/>
      <c r="G166" s="338"/>
      <c r="H166" s="338"/>
      <c r="I166" s="338"/>
      <c r="J166" s="338"/>
      <c r="K166" s="338"/>
      <c r="L166" s="338"/>
      <c r="M166" s="338"/>
      <c r="N166" s="338"/>
      <c r="O166" s="338"/>
      <c r="P166" s="338"/>
      <c r="Q166" s="338"/>
    </row>
    <row r="167" spans="1:17" s="458" customFormat="1" ht="12.75">
      <c r="A167" s="457"/>
      <c r="B167" s="338"/>
      <c r="C167" s="338"/>
      <c r="E167" s="338"/>
      <c r="F167" s="338"/>
      <c r="G167" s="338"/>
      <c r="H167" s="338"/>
      <c r="I167" s="338"/>
      <c r="J167" s="338"/>
      <c r="K167" s="338"/>
      <c r="L167" s="338"/>
      <c r="M167" s="338"/>
      <c r="N167" s="338"/>
      <c r="O167" s="338"/>
      <c r="P167" s="338"/>
      <c r="Q167" s="338"/>
    </row>
    <row r="168" spans="1:17" s="458" customFormat="1" ht="12.75">
      <c r="A168" s="457"/>
      <c r="B168" s="338"/>
      <c r="C168" s="338"/>
      <c r="E168" s="338"/>
      <c r="F168" s="338"/>
      <c r="G168" s="338"/>
      <c r="H168" s="338"/>
      <c r="I168" s="338"/>
      <c r="J168" s="338"/>
      <c r="K168" s="338"/>
      <c r="L168" s="338"/>
      <c r="M168" s="338"/>
      <c r="N168" s="338"/>
      <c r="O168" s="338"/>
      <c r="P168" s="338"/>
      <c r="Q168" s="338"/>
    </row>
    <row r="169" spans="1:17" s="458" customFormat="1" ht="12.75">
      <c r="A169" s="457"/>
      <c r="B169" s="338"/>
      <c r="C169" s="338"/>
      <c r="E169" s="338"/>
      <c r="F169" s="338"/>
      <c r="G169" s="338"/>
      <c r="H169" s="338"/>
      <c r="I169" s="338"/>
      <c r="J169" s="338"/>
      <c r="K169" s="338"/>
      <c r="L169" s="338"/>
      <c r="M169" s="338"/>
      <c r="N169" s="338"/>
      <c r="O169" s="338"/>
      <c r="P169" s="338"/>
      <c r="Q169" s="338"/>
    </row>
    <row r="170" spans="1:17" s="458" customFormat="1" ht="12.75">
      <c r="A170" s="457"/>
      <c r="B170" s="338"/>
      <c r="C170" s="338"/>
      <c r="E170" s="338"/>
      <c r="F170" s="338"/>
      <c r="G170" s="338"/>
      <c r="H170" s="338"/>
      <c r="I170" s="338"/>
      <c r="J170" s="338"/>
      <c r="K170" s="338"/>
      <c r="L170" s="338"/>
      <c r="M170" s="338"/>
      <c r="N170" s="338"/>
      <c r="O170" s="338"/>
      <c r="P170" s="338"/>
      <c r="Q170" s="338"/>
    </row>
    <row r="171" spans="1:17" s="458" customFormat="1" ht="12.75">
      <c r="A171" s="457"/>
      <c r="B171" s="338"/>
      <c r="C171" s="338"/>
      <c r="E171" s="338"/>
      <c r="F171" s="338"/>
      <c r="G171" s="338"/>
      <c r="H171" s="338"/>
      <c r="I171" s="338"/>
      <c r="J171" s="338"/>
      <c r="K171" s="338"/>
      <c r="L171" s="338"/>
      <c r="M171" s="338"/>
      <c r="N171" s="338"/>
      <c r="O171" s="338"/>
      <c r="P171" s="338"/>
      <c r="Q171" s="338"/>
    </row>
    <row r="172" spans="1:17" s="458" customFormat="1" ht="12.75">
      <c r="A172" s="457"/>
      <c r="B172" s="338"/>
      <c r="C172" s="338"/>
      <c r="E172" s="338"/>
      <c r="F172" s="338"/>
      <c r="G172" s="338"/>
      <c r="H172" s="338"/>
      <c r="I172" s="338"/>
      <c r="J172" s="338"/>
      <c r="K172" s="338"/>
      <c r="L172" s="338"/>
      <c r="M172" s="338"/>
      <c r="N172" s="338"/>
      <c r="O172" s="338"/>
      <c r="P172" s="338"/>
      <c r="Q172" s="338"/>
    </row>
    <row r="173" spans="1:17" s="458" customFormat="1" ht="12.75">
      <c r="A173" s="457"/>
      <c r="B173" s="338"/>
      <c r="C173" s="338"/>
      <c r="E173" s="338"/>
      <c r="F173" s="338"/>
      <c r="G173" s="338"/>
      <c r="H173" s="338"/>
      <c r="I173" s="338"/>
      <c r="J173" s="338"/>
      <c r="K173" s="338"/>
      <c r="L173" s="338"/>
      <c r="M173" s="338"/>
      <c r="N173" s="338"/>
      <c r="O173" s="338"/>
      <c r="P173" s="338"/>
      <c r="Q173" s="338"/>
    </row>
    <row r="174" spans="1:17" s="458" customFormat="1" ht="12.75">
      <c r="A174" s="457"/>
      <c r="B174" s="338"/>
      <c r="C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8"/>
      <c r="O174" s="338"/>
      <c r="P174" s="338"/>
      <c r="Q174" s="338"/>
    </row>
    <row r="175" spans="1:17" s="458" customFormat="1" ht="12.75">
      <c r="A175" s="457"/>
      <c r="B175" s="338"/>
      <c r="C175" s="338"/>
      <c r="E175" s="338"/>
      <c r="F175" s="338"/>
      <c r="G175" s="338"/>
      <c r="H175" s="338"/>
      <c r="I175" s="338"/>
      <c r="J175" s="338"/>
      <c r="K175" s="338"/>
      <c r="L175" s="338"/>
      <c r="M175" s="338"/>
      <c r="N175" s="338"/>
      <c r="O175" s="338"/>
      <c r="P175" s="338"/>
      <c r="Q175" s="338"/>
    </row>
    <row r="176" spans="1:17" s="458" customFormat="1" ht="12.75">
      <c r="A176" s="457"/>
      <c r="B176" s="338"/>
      <c r="C176" s="338"/>
      <c r="E176" s="338"/>
      <c r="F176" s="338"/>
      <c r="G176" s="338"/>
      <c r="H176" s="338"/>
      <c r="I176" s="338"/>
      <c r="J176" s="338"/>
      <c r="K176" s="338"/>
      <c r="L176" s="338"/>
      <c r="M176" s="338"/>
      <c r="N176" s="338"/>
      <c r="O176" s="338"/>
      <c r="P176" s="338"/>
      <c r="Q176" s="338"/>
    </row>
    <row r="177" spans="1:23" s="458" customFormat="1" ht="12.75">
      <c r="A177" s="457"/>
      <c r="B177" s="338"/>
      <c r="C177" s="338"/>
      <c r="E177" s="338"/>
      <c r="F177" s="338"/>
      <c r="G177" s="338"/>
      <c r="H177" s="338"/>
      <c r="I177" s="338"/>
      <c r="J177" s="338"/>
      <c r="K177" s="338"/>
      <c r="L177" s="338"/>
      <c r="M177" s="338"/>
      <c r="N177" s="338"/>
      <c r="O177" s="338"/>
      <c r="P177" s="338"/>
      <c r="Q177" s="338"/>
    </row>
    <row r="178" spans="1:23" s="458" customFormat="1" ht="12.75">
      <c r="A178" s="457"/>
      <c r="B178" s="338"/>
      <c r="C178" s="338"/>
      <c r="E178" s="338"/>
      <c r="F178" s="338"/>
      <c r="G178" s="338"/>
      <c r="H178" s="338"/>
      <c r="I178" s="338"/>
      <c r="J178" s="338"/>
      <c r="K178" s="338"/>
      <c r="L178" s="338"/>
      <c r="M178" s="338"/>
      <c r="N178" s="338"/>
      <c r="O178" s="338"/>
      <c r="P178" s="338"/>
      <c r="Q178" s="338"/>
    </row>
    <row r="179" spans="1:23" s="458" customFormat="1" ht="12.75">
      <c r="A179" s="457"/>
      <c r="B179" s="338"/>
      <c r="C179" s="338"/>
      <c r="E179" s="338"/>
      <c r="F179" s="338"/>
      <c r="G179" s="338"/>
      <c r="H179" s="338"/>
      <c r="I179" s="338"/>
      <c r="J179" s="338"/>
      <c r="K179" s="338"/>
      <c r="L179" s="338"/>
      <c r="M179" s="338"/>
      <c r="N179" s="338"/>
      <c r="O179" s="338"/>
      <c r="P179" s="338"/>
      <c r="Q179" s="338"/>
    </row>
    <row r="180" spans="1:23" s="458" customFormat="1" ht="12.75">
      <c r="A180" s="457"/>
      <c r="B180" s="338"/>
      <c r="C180" s="338"/>
      <c r="E180" s="338"/>
      <c r="F180" s="338"/>
      <c r="G180" s="338"/>
      <c r="H180" s="338"/>
      <c r="I180" s="338"/>
      <c r="J180" s="338"/>
      <c r="K180" s="338"/>
      <c r="L180" s="338"/>
      <c r="M180" s="338"/>
      <c r="N180" s="338"/>
      <c r="O180" s="338"/>
      <c r="P180" s="338"/>
      <c r="Q180" s="338"/>
    </row>
    <row r="181" spans="1:23" s="458" customFormat="1" ht="12.75">
      <c r="A181" s="457"/>
      <c r="B181" s="338"/>
      <c r="C181" s="338"/>
      <c r="E181" s="338"/>
      <c r="F181" s="338"/>
      <c r="G181" s="338"/>
      <c r="H181" s="338"/>
      <c r="I181" s="338"/>
      <c r="J181" s="338"/>
      <c r="K181" s="338"/>
      <c r="L181" s="338"/>
      <c r="M181" s="338"/>
      <c r="N181" s="338"/>
      <c r="O181" s="338"/>
      <c r="P181" s="338"/>
      <c r="Q181" s="338"/>
    </row>
    <row r="182" spans="1:23" s="458" customFormat="1" ht="12.75">
      <c r="A182" s="457"/>
      <c r="B182" s="338"/>
      <c r="C182" s="338"/>
      <c r="E182" s="338"/>
      <c r="F182" s="338"/>
      <c r="G182" s="338"/>
      <c r="H182" s="338"/>
      <c r="I182" s="338"/>
      <c r="J182" s="338"/>
      <c r="K182" s="338"/>
      <c r="L182" s="338"/>
      <c r="M182" s="338"/>
      <c r="N182" s="338"/>
      <c r="O182" s="338"/>
      <c r="P182" s="338"/>
      <c r="Q182" s="338"/>
    </row>
    <row r="183" spans="1:23" s="458" customFormat="1" ht="12.75">
      <c r="A183" s="457"/>
      <c r="B183" s="338"/>
      <c r="C183" s="338"/>
      <c r="E183" s="338"/>
      <c r="F183" s="338"/>
      <c r="G183" s="338"/>
      <c r="H183" s="338"/>
      <c r="I183" s="338"/>
      <c r="J183" s="338"/>
      <c r="K183" s="338"/>
      <c r="L183" s="338"/>
      <c r="M183" s="338"/>
      <c r="N183" s="338"/>
      <c r="O183" s="338"/>
      <c r="P183" s="338"/>
      <c r="Q183" s="338"/>
    </row>
    <row r="184" spans="1:23">
      <c r="B184" s="554"/>
      <c r="C184" s="554"/>
      <c r="E184" s="554"/>
      <c r="F184" s="554"/>
      <c r="G184" s="554"/>
      <c r="H184" s="554"/>
      <c r="I184" s="554"/>
      <c r="J184" s="554"/>
      <c r="K184" s="554"/>
      <c r="L184" s="554"/>
      <c r="M184" s="554"/>
      <c r="N184" s="554"/>
      <c r="O184" s="554"/>
      <c r="P184" s="554"/>
      <c r="Q184" s="554"/>
      <c r="R184" s="555"/>
      <c r="S184" s="555"/>
      <c r="T184" s="555"/>
      <c r="U184" s="555"/>
      <c r="V184" s="555"/>
      <c r="W184" s="555"/>
    </row>
    <row r="185" spans="1:23">
      <c r="B185" s="554"/>
      <c r="C185" s="554"/>
      <c r="E185" s="554"/>
      <c r="F185" s="554"/>
      <c r="G185" s="554"/>
      <c r="H185" s="554"/>
      <c r="I185" s="554"/>
      <c r="J185" s="554"/>
      <c r="K185" s="554"/>
      <c r="L185" s="554"/>
      <c r="M185" s="554"/>
    </row>
    <row r="186" spans="1:23">
      <c r="B186" s="554"/>
      <c r="C186" s="554"/>
      <c r="E186" s="554"/>
      <c r="F186" s="554"/>
      <c r="G186" s="554"/>
      <c r="H186" s="554"/>
      <c r="I186" s="554"/>
      <c r="J186" s="554"/>
      <c r="K186" s="554"/>
      <c r="L186" s="554"/>
      <c r="M186" s="554"/>
    </row>
    <row r="187" spans="1:23">
      <c r="B187" s="554"/>
      <c r="C187" s="554"/>
      <c r="E187" s="554"/>
      <c r="F187" s="554"/>
      <c r="G187" s="554"/>
      <c r="H187" s="554"/>
      <c r="I187" s="554"/>
      <c r="J187" s="554"/>
      <c r="K187" s="554"/>
      <c r="L187" s="554"/>
      <c r="M187" s="554"/>
    </row>
  </sheetData>
  <mergeCells count="32">
    <mergeCell ref="B47:B49"/>
    <mergeCell ref="B7:C9"/>
    <mergeCell ref="B10:B11"/>
    <mergeCell ref="B12:B13"/>
    <mergeCell ref="B14:B16"/>
    <mergeCell ref="B17:B22"/>
    <mergeCell ref="B23:B28"/>
    <mergeCell ref="B29:B34"/>
    <mergeCell ref="B35:C35"/>
    <mergeCell ref="B40:C42"/>
    <mergeCell ref="B43:B44"/>
    <mergeCell ref="B45:B46"/>
    <mergeCell ref="B101:C101"/>
    <mergeCell ref="B50:B55"/>
    <mergeCell ref="B56:B61"/>
    <mergeCell ref="B62:B67"/>
    <mergeCell ref="B68:C68"/>
    <mergeCell ref="B73:C75"/>
    <mergeCell ref="B76:B77"/>
    <mergeCell ref="B78:B79"/>
    <mergeCell ref="B80:B82"/>
    <mergeCell ref="B83:B88"/>
    <mergeCell ref="B89:B94"/>
    <mergeCell ref="B95:B100"/>
    <mergeCell ref="B134:B137"/>
    <mergeCell ref="B142:C144"/>
    <mergeCell ref="B106:C108"/>
    <mergeCell ref="B109:B114"/>
    <mergeCell ref="B115:B120"/>
    <mergeCell ref="B121:B124"/>
    <mergeCell ref="B125:B128"/>
    <mergeCell ref="B130:B133"/>
  </mergeCells>
  <phoneticPr fontId="1" type="noConversion"/>
  <dataValidations count="1">
    <dataValidation type="decimal" operator="greaterThanOrEqual" showInputMessage="1" showErrorMessage="1" sqref="D43:M69 D10:M36 D76:M101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30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Index</vt:lpstr>
      <vt:lpstr>Inputs</vt:lpstr>
      <vt:lpstr>Allowed revenue -DPCR4</vt:lpstr>
      <vt:lpstr>FBPQ T4</vt:lpstr>
      <vt:lpstr>FBPQ LR1</vt:lpstr>
      <vt:lpstr>FBPQ LR1 - V5 opt3</vt:lpstr>
      <vt:lpstr>FBPQ LR4</vt:lpstr>
      <vt:lpstr>FBPQ LR6</vt:lpstr>
      <vt:lpstr>FBPQ NL1</vt:lpstr>
      <vt:lpstr>NL9 - Legal &amp; Safety</vt:lpstr>
      <vt:lpstr>FBPQ C2</vt:lpstr>
      <vt:lpstr>Reductions to net capex</vt:lpstr>
      <vt:lpstr>RRP 1.3</vt:lpstr>
      <vt:lpstr>RRP 2.3</vt:lpstr>
      <vt:lpstr>RRP 2.4</vt:lpstr>
      <vt:lpstr>RRP 2.6</vt:lpstr>
      <vt:lpstr>RRP 5.1</vt:lpstr>
      <vt:lpstr>Summary of revenue</vt:lpstr>
      <vt:lpstr>Data-MEAV</vt:lpstr>
      <vt:lpstr>Calc-MEAV</vt:lpstr>
      <vt:lpstr>Calc-Units</vt:lpstr>
      <vt:lpstr>Calc-Net capex</vt:lpstr>
      <vt:lpstr>Calc-Opex</vt:lpstr>
      <vt:lpstr>Calc-Drivers</vt:lpstr>
      <vt:lpstr>Calc-Allocation</vt:lpstr>
      <vt:lpstr>Calc-Summary</vt:lpstr>
      <vt:lpstr>EDCM discounts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Yeo, Simon M.</cp:lastModifiedBy>
  <cp:lastPrinted>2015-11-27T07:14:01Z</cp:lastPrinted>
  <dcterms:created xsi:type="dcterms:W3CDTF">2014-06-02T13:43:59Z</dcterms:created>
  <dcterms:modified xsi:type="dcterms:W3CDTF">2015-11-27T07:14:05Z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