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19440" windowHeight="15600" tabRatio="735" firstSheet="19" activeTab="26"/>
  </bookViews>
  <sheets>
    <sheet name="Index" sheetId="1" r:id="rId1"/>
    <sheet name="Inputs" sheetId="2" r:id="rId2"/>
    <sheet name="Allowed revenue -DPCR4" sheetId="3" r:id="rId3"/>
    <sheet name="FBPQ T4" sheetId="4" r:id="rId4"/>
    <sheet name="FBPQ LR1" sheetId="5" r:id="rId5"/>
    <sheet name="FBPQ LR1 - V5 opt3" sheetId="6" r:id="rId6"/>
    <sheet name="FBPQ LR4" sheetId="7" r:id="rId7"/>
    <sheet name="FBPQ LR6" sheetId="8" r:id="rId8"/>
    <sheet name="FBPQ NL1" sheetId="9" r:id="rId9"/>
    <sheet name="NL9 - Legal &amp; Safety" sheetId="10" r:id="rId10"/>
    <sheet name="FBPQ C2" sheetId="11" r:id="rId11"/>
    <sheet name="Reductions to net capex" sheetId="12" r:id="rId12"/>
    <sheet name="RRP 1.3" sheetId="13" r:id="rId13"/>
    <sheet name="RRP 2.3" sheetId="14" r:id="rId14"/>
    <sheet name="RRP 2.4" sheetId="15" r:id="rId15"/>
    <sheet name="RRP 2.6" sheetId="16" r:id="rId16"/>
    <sheet name="RRP 5.1" sheetId="28" r:id="rId17"/>
    <sheet name="Summary of revenue" sheetId="18" r:id="rId18"/>
    <sheet name="Data-MEAV" sheetId="19" r:id="rId19"/>
    <sheet name="Calc-MEAV" sheetId="20" r:id="rId20"/>
    <sheet name="Calc-Units" sheetId="21" r:id="rId21"/>
    <sheet name="Calc-Net capex" sheetId="22" r:id="rId22"/>
    <sheet name="Calc-Opex" sheetId="23" r:id="rId23"/>
    <sheet name="Calc-Drivers" sheetId="24" r:id="rId24"/>
    <sheet name="Calc-Allocation" sheetId="25" r:id="rId25"/>
    <sheet name="Calc-Summary" sheetId="26" r:id="rId26"/>
    <sheet name="EDCM discounts" sheetId="29" r:id="rId27"/>
  </sheets>
  <definedNames>
    <definedName name="_xlnm._FilterDatabase" localSheetId="0" hidden="1">Index!$A$7:$B$37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37" i="10" l="1"/>
  <c r="U137" i="10"/>
  <c r="T137" i="10"/>
  <c r="S137" i="10"/>
  <c r="N137" i="10"/>
  <c r="M137" i="10"/>
  <c r="L137" i="10"/>
  <c r="K137" i="10"/>
  <c r="F137" i="10"/>
  <c r="E137" i="10"/>
  <c r="D137" i="10"/>
  <c r="C137" i="10"/>
  <c r="V136" i="10"/>
  <c r="U136" i="10"/>
  <c r="T136" i="10"/>
  <c r="S136" i="10"/>
  <c r="N136" i="10"/>
  <c r="M136" i="10"/>
  <c r="L136" i="10"/>
  <c r="K136" i="10"/>
  <c r="F136" i="10"/>
  <c r="E136" i="10"/>
  <c r="D136" i="10"/>
  <c r="C136" i="10"/>
  <c r="V135" i="10"/>
  <c r="U135" i="10"/>
  <c r="T135" i="10"/>
  <c r="S135" i="10"/>
  <c r="N135" i="10"/>
  <c r="M135" i="10"/>
  <c r="L135" i="10"/>
  <c r="K135" i="10"/>
  <c r="F135" i="10"/>
  <c r="E135" i="10"/>
  <c r="D135" i="10"/>
  <c r="C135" i="10"/>
  <c r="V134" i="10"/>
  <c r="U134" i="10"/>
  <c r="T134" i="10"/>
  <c r="S134" i="10"/>
  <c r="N134" i="10"/>
  <c r="M134" i="10"/>
  <c r="L134" i="10"/>
  <c r="K134" i="10"/>
  <c r="F134" i="10"/>
  <c r="E134" i="10"/>
  <c r="D134" i="10"/>
  <c r="C134" i="10"/>
  <c r="X129" i="10"/>
  <c r="V129" i="10"/>
  <c r="U129" i="10"/>
  <c r="T129" i="10"/>
  <c r="S125" i="10"/>
  <c r="S126" i="10"/>
  <c r="S127" i="10"/>
  <c r="S128" i="10"/>
  <c r="S129" i="10"/>
  <c r="P129" i="10"/>
  <c r="N129" i="10"/>
  <c r="M129" i="10"/>
  <c r="L129" i="10"/>
  <c r="K125" i="10"/>
  <c r="K126" i="10"/>
  <c r="K127" i="10"/>
  <c r="K128" i="10"/>
  <c r="K129" i="10"/>
  <c r="H129" i="10"/>
  <c r="F129" i="10"/>
  <c r="E129" i="10"/>
  <c r="D129" i="10"/>
  <c r="C125" i="10"/>
  <c r="C126" i="10"/>
  <c r="C127" i="10"/>
  <c r="C128" i="10"/>
  <c r="C129" i="10"/>
  <c r="X120" i="10"/>
  <c r="W120" i="10"/>
  <c r="V120" i="10"/>
  <c r="U120" i="10"/>
  <c r="T120" i="10"/>
  <c r="S120" i="10"/>
  <c r="P120" i="10"/>
  <c r="O120" i="10"/>
  <c r="N120" i="10"/>
  <c r="M120" i="10"/>
  <c r="L120" i="10"/>
  <c r="K120" i="10"/>
  <c r="H120" i="10"/>
  <c r="F120" i="10"/>
  <c r="E120" i="10"/>
  <c r="D120" i="10"/>
  <c r="C120" i="10"/>
  <c r="X111" i="10"/>
  <c r="W111" i="10"/>
  <c r="V111" i="10"/>
  <c r="U111" i="10"/>
  <c r="T111" i="10"/>
  <c r="S107" i="10"/>
  <c r="S108" i="10"/>
  <c r="S109" i="10"/>
  <c r="S110" i="10"/>
  <c r="S111" i="10"/>
  <c r="P111" i="10"/>
  <c r="O111" i="10"/>
  <c r="N111" i="10"/>
  <c r="M111" i="10"/>
  <c r="L111" i="10"/>
  <c r="K107" i="10"/>
  <c r="K108" i="10"/>
  <c r="K109" i="10"/>
  <c r="K110" i="10"/>
  <c r="K111" i="10"/>
  <c r="H111" i="10"/>
  <c r="G111" i="10"/>
  <c r="F111" i="10"/>
  <c r="E111" i="10"/>
  <c r="D111" i="10"/>
  <c r="C107" i="10"/>
  <c r="C108" i="10"/>
  <c r="C109" i="10"/>
  <c r="C110" i="10"/>
  <c r="C111" i="10"/>
  <c r="F97" i="10"/>
  <c r="G97" i="10"/>
  <c r="H97" i="10"/>
  <c r="F98" i="10"/>
  <c r="G98" i="10"/>
  <c r="H98" i="10"/>
  <c r="F99" i="10"/>
  <c r="G99" i="10"/>
  <c r="H99" i="10"/>
  <c r="F100" i="10"/>
  <c r="G100" i="10"/>
  <c r="H100" i="10"/>
  <c r="H101" i="10"/>
  <c r="G101" i="10"/>
  <c r="F101" i="10"/>
  <c r="E101" i="10"/>
  <c r="D97" i="10"/>
  <c r="D98" i="10"/>
  <c r="D99" i="10"/>
  <c r="D100" i="10"/>
  <c r="D101" i="10"/>
  <c r="C97" i="10"/>
  <c r="C98" i="10"/>
  <c r="C99" i="10"/>
  <c r="C100" i="10"/>
  <c r="C101" i="10"/>
  <c r="W91" i="10"/>
  <c r="V91" i="10"/>
  <c r="U91" i="10"/>
  <c r="T91" i="10"/>
  <c r="S91" i="10"/>
  <c r="O91" i="10"/>
  <c r="N91" i="10"/>
  <c r="M91" i="10"/>
  <c r="L91" i="10"/>
  <c r="K91" i="10"/>
  <c r="G91" i="10"/>
  <c r="F91" i="10"/>
  <c r="E91" i="10"/>
  <c r="D91" i="10"/>
  <c r="C91" i="10"/>
  <c r="W90" i="10"/>
  <c r="V90" i="10"/>
  <c r="U90" i="10"/>
  <c r="T90" i="10"/>
  <c r="S90" i="10"/>
  <c r="O90" i="10"/>
  <c r="N90" i="10"/>
  <c r="M90" i="10"/>
  <c r="L90" i="10"/>
  <c r="K90" i="10"/>
  <c r="G90" i="10"/>
  <c r="F90" i="10"/>
  <c r="E90" i="10"/>
  <c r="D90" i="10"/>
  <c r="C90" i="10"/>
  <c r="W89" i="10"/>
  <c r="V89" i="10"/>
  <c r="U89" i="10"/>
  <c r="T89" i="10"/>
  <c r="S89" i="10"/>
  <c r="O89" i="10"/>
  <c r="N89" i="10"/>
  <c r="M89" i="10"/>
  <c r="L89" i="10"/>
  <c r="K89" i="10"/>
  <c r="G89" i="10"/>
  <c r="F89" i="10"/>
  <c r="E89" i="10"/>
  <c r="D89" i="10"/>
  <c r="C89" i="10"/>
  <c r="W88" i="10"/>
  <c r="V88" i="10"/>
  <c r="U88" i="10"/>
  <c r="T88" i="10"/>
  <c r="S88" i="10"/>
  <c r="O88" i="10"/>
  <c r="N88" i="10"/>
  <c r="M88" i="10"/>
  <c r="L88" i="10"/>
  <c r="K88" i="10"/>
  <c r="G88" i="10"/>
  <c r="F88" i="10"/>
  <c r="E88" i="10"/>
  <c r="D88" i="10"/>
  <c r="C88" i="10"/>
  <c r="X83" i="10"/>
  <c r="W83" i="10"/>
  <c r="V83" i="10"/>
  <c r="U83" i="10"/>
  <c r="T83" i="10"/>
  <c r="S79" i="10"/>
  <c r="S80" i="10"/>
  <c r="S81" i="10"/>
  <c r="S82" i="10"/>
  <c r="S83" i="10"/>
  <c r="P83" i="10"/>
  <c r="O83" i="10"/>
  <c r="N83" i="10"/>
  <c r="M83" i="10"/>
  <c r="L83" i="10"/>
  <c r="K79" i="10"/>
  <c r="K80" i="10"/>
  <c r="K81" i="10"/>
  <c r="K82" i="10"/>
  <c r="K83" i="10"/>
  <c r="H83" i="10"/>
  <c r="G83" i="10"/>
  <c r="F83" i="10"/>
  <c r="E83" i="10"/>
  <c r="D83" i="10"/>
  <c r="C83" i="10"/>
  <c r="X74" i="10"/>
  <c r="W74" i="10"/>
  <c r="V74" i="10"/>
  <c r="U74" i="10"/>
  <c r="T74" i="10"/>
  <c r="S74" i="10"/>
  <c r="P74" i="10"/>
  <c r="O74" i="10"/>
  <c r="N74" i="10"/>
  <c r="M74" i="10"/>
  <c r="L74" i="10"/>
  <c r="K74" i="10"/>
  <c r="H74" i="10"/>
  <c r="G74" i="10"/>
  <c r="F74" i="10"/>
  <c r="E74" i="10"/>
  <c r="D74" i="10"/>
  <c r="C74" i="10"/>
  <c r="X65" i="10"/>
  <c r="W65" i="10"/>
  <c r="V65" i="10"/>
  <c r="U65" i="10"/>
  <c r="T65" i="10"/>
  <c r="S61" i="10"/>
  <c r="S62" i="10"/>
  <c r="S63" i="10"/>
  <c r="S64" i="10"/>
  <c r="S65" i="10"/>
  <c r="P65" i="10"/>
  <c r="O65" i="10"/>
  <c r="N65" i="10"/>
  <c r="M65" i="10"/>
  <c r="L65" i="10"/>
  <c r="K61" i="10"/>
  <c r="K62" i="10"/>
  <c r="K63" i="10"/>
  <c r="K64" i="10"/>
  <c r="K65" i="10"/>
  <c r="H65" i="10"/>
  <c r="G65" i="10"/>
  <c r="F65" i="10"/>
  <c r="E65" i="10"/>
  <c r="D65" i="10"/>
  <c r="C61" i="10"/>
  <c r="C62" i="10"/>
  <c r="C63" i="10"/>
  <c r="C64" i="10"/>
  <c r="C65" i="10"/>
  <c r="F51" i="10"/>
  <c r="G51" i="10"/>
  <c r="H51" i="10"/>
  <c r="F52" i="10"/>
  <c r="G52" i="10"/>
  <c r="H52" i="10"/>
  <c r="F53" i="10"/>
  <c r="G53" i="10"/>
  <c r="H53" i="10"/>
  <c r="F54" i="10"/>
  <c r="G54" i="10"/>
  <c r="H54" i="10"/>
  <c r="H55" i="10"/>
  <c r="G55" i="10"/>
  <c r="F55" i="10"/>
  <c r="E55" i="10"/>
  <c r="D51" i="10"/>
  <c r="D52" i="10"/>
  <c r="D53" i="10"/>
  <c r="D54" i="10"/>
  <c r="D55" i="10"/>
  <c r="C51" i="10"/>
  <c r="C52" i="10"/>
  <c r="C53" i="10"/>
  <c r="C54" i="10"/>
  <c r="C55" i="10"/>
  <c r="M46" i="10"/>
  <c r="L46" i="10"/>
  <c r="K46" i="10"/>
  <c r="J46" i="10"/>
  <c r="I46" i="10"/>
  <c r="H46" i="10"/>
  <c r="G46" i="10"/>
  <c r="F46" i="10"/>
  <c r="E46" i="10"/>
  <c r="D46" i="10"/>
  <c r="M37" i="10"/>
  <c r="L37" i="10"/>
  <c r="K37" i="10"/>
  <c r="J37" i="10"/>
  <c r="I37" i="10"/>
  <c r="H37" i="10"/>
  <c r="G37" i="10"/>
  <c r="F37" i="10"/>
  <c r="E37" i="10"/>
  <c r="D37" i="10"/>
  <c r="M25" i="10"/>
  <c r="L25" i="10"/>
  <c r="K25" i="10"/>
  <c r="J25" i="10"/>
  <c r="I25" i="10"/>
  <c r="H25" i="10"/>
  <c r="G25" i="10"/>
  <c r="F25" i="10"/>
  <c r="E25" i="10"/>
  <c r="D25" i="10"/>
  <c r="Q153" i="9"/>
  <c r="T153" i="9"/>
  <c r="S153" i="9"/>
  <c r="P153" i="9"/>
  <c r="O153" i="9"/>
  <c r="Q152" i="9"/>
  <c r="T152" i="9"/>
  <c r="S152" i="9"/>
  <c r="P152" i="9"/>
  <c r="O152" i="9"/>
  <c r="Q151" i="9"/>
  <c r="T151" i="9"/>
  <c r="S151" i="9"/>
  <c r="P151" i="9"/>
  <c r="O151" i="9"/>
  <c r="Q148" i="9"/>
  <c r="T148" i="9"/>
  <c r="S148" i="9"/>
  <c r="P148" i="9"/>
  <c r="O148" i="9"/>
  <c r="Q147" i="9"/>
  <c r="T147" i="9"/>
  <c r="S147" i="9"/>
  <c r="P147" i="9"/>
  <c r="O147" i="9"/>
  <c r="Q146" i="9"/>
  <c r="T146" i="9"/>
  <c r="S146" i="9"/>
  <c r="P146" i="9"/>
  <c r="O146" i="9"/>
  <c r="AH99" i="7"/>
  <c r="AG99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J99" i="7"/>
  <c r="I99" i="7"/>
  <c r="M39" i="7"/>
  <c r="L39" i="7"/>
  <c r="M38" i="7"/>
  <c r="L38" i="7"/>
  <c r="M35" i="7"/>
  <c r="M37" i="7"/>
  <c r="L35" i="7"/>
  <c r="L37" i="7"/>
  <c r="K37" i="7"/>
  <c r="J37" i="7"/>
  <c r="I37" i="7"/>
  <c r="H37" i="7"/>
  <c r="G37" i="7"/>
  <c r="F37" i="7"/>
  <c r="E37" i="7"/>
  <c r="D37" i="7"/>
  <c r="M36" i="7"/>
  <c r="L36" i="7"/>
  <c r="M34" i="7"/>
  <c r="L34" i="7"/>
  <c r="M27" i="7"/>
  <c r="M29" i="7"/>
  <c r="L27" i="7"/>
  <c r="L29" i="7"/>
  <c r="K29" i="7"/>
  <c r="J29" i="7"/>
  <c r="I29" i="7"/>
  <c r="H29" i="7"/>
  <c r="G29" i="7"/>
  <c r="F29" i="7"/>
  <c r="E29" i="7"/>
  <c r="D29" i="7"/>
  <c r="M28" i="7"/>
  <c r="L28" i="7"/>
  <c r="M26" i="7"/>
  <c r="L26" i="7"/>
  <c r="D240" i="6"/>
  <c r="E240" i="6"/>
  <c r="F240" i="6"/>
  <c r="G240" i="6"/>
  <c r="H240" i="6"/>
  <c r="I227" i="6"/>
  <c r="I231" i="6"/>
  <c r="I235" i="6"/>
  <c r="I239" i="6"/>
  <c r="I240" i="6"/>
  <c r="J227" i="6"/>
  <c r="J231" i="6"/>
  <c r="J235" i="6"/>
  <c r="J239" i="6"/>
  <c r="J240" i="6"/>
  <c r="K227" i="6"/>
  <c r="K231" i="6"/>
  <c r="K235" i="6"/>
  <c r="K239" i="6"/>
  <c r="K240" i="6"/>
  <c r="L227" i="6"/>
  <c r="L231" i="6"/>
  <c r="L235" i="6"/>
  <c r="L239" i="6"/>
  <c r="L240" i="6"/>
  <c r="M227" i="6"/>
  <c r="M231" i="6"/>
  <c r="M235" i="6"/>
  <c r="M239" i="6"/>
  <c r="M240" i="6"/>
  <c r="D263" i="6"/>
  <c r="E263" i="6"/>
  <c r="F263" i="6"/>
  <c r="G263" i="6"/>
  <c r="H263" i="6"/>
  <c r="I250" i="6"/>
  <c r="I254" i="6"/>
  <c r="I258" i="6"/>
  <c r="I262" i="6"/>
  <c r="I263" i="6"/>
  <c r="J250" i="6"/>
  <c r="J254" i="6"/>
  <c r="J258" i="6"/>
  <c r="J262" i="6"/>
  <c r="J263" i="6"/>
  <c r="K250" i="6"/>
  <c r="K254" i="6"/>
  <c r="K258" i="6"/>
  <c r="K262" i="6"/>
  <c r="K263" i="6"/>
  <c r="L250" i="6"/>
  <c r="L254" i="6"/>
  <c r="L258" i="6"/>
  <c r="L262" i="6"/>
  <c r="L263" i="6"/>
  <c r="M250" i="6"/>
  <c r="M254" i="6"/>
  <c r="M258" i="6"/>
  <c r="M262" i="6"/>
  <c r="M263" i="6"/>
  <c r="D266" i="6"/>
  <c r="Q250" i="6"/>
  <c r="Q254" i="6"/>
  <c r="Q258" i="6"/>
  <c r="Q262" i="6"/>
  <c r="Q263" i="6"/>
  <c r="T263" i="6"/>
  <c r="S250" i="6"/>
  <c r="S254" i="6"/>
  <c r="S258" i="6"/>
  <c r="S262" i="6"/>
  <c r="S263" i="6"/>
  <c r="P250" i="6"/>
  <c r="P254" i="6"/>
  <c r="P258" i="6"/>
  <c r="P262" i="6"/>
  <c r="P263" i="6"/>
  <c r="O250" i="6"/>
  <c r="O254" i="6"/>
  <c r="O258" i="6"/>
  <c r="O262" i="6"/>
  <c r="O263" i="6"/>
  <c r="T262" i="6"/>
  <c r="T258" i="6"/>
  <c r="T254" i="6"/>
  <c r="T250" i="6"/>
  <c r="Q227" i="6"/>
  <c r="Q231" i="6"/>
  <c r="Q235" i="6"/>
  <c r="Q239" i="6"/>
  <c r="Q240" i="6"/>
  <c r="T240" i="6"/>
  <c r="S227" i="6"/>
  <c r="S231" i="6"/>
  <c r="S235" i="6"/>
  <c r="S239" i="6"/>
  <c r="S240" i="6"/>
  <c r="P227" i="6"/>
  <c r="P231" i="6"/>
  <c r="P235" i="6"/>
  <c r="P239" i="6"/>
  <c r="P240" i="6"/>
  <c r="O227" i="6"/>
  <c r="O231" i="6"/>
  <c r="O235" i="6"/>
  <c r="O239" i="6"/>
  <c r="O240" i="6"/>
  <c r="T239" i="6"/>
  <c r="T235" i="6"/>
  <c r="T231" i="6"/>
  <c r="T227" i="6"/>
  <c r="Q192" i="6"/>
  <c r="Q200" i="6"/>
  <c r="Q208" i="6"/>
  <c r="Q216" i="6"/>
  <c r="Q217" i="6"/>
  <c r="T217" i="6"/>
  <c r="I192" i="6"/>
  <c r="J192" i="6"/>
  <c r="K192" i="6"/>
  <c r="L192" i="6"/>
  <c r="M192" i="6"/>
  <c r="S192" i="6"/>
  <c r="I200" i="6"/>
  <c r="J200" i="6"/>
  <c r="K200" i="6"/>
  <c r="L200" i="6"/>
  <c r="M200" i="6"/>
  <c r="S200" i="6"/>
  <c r="I208" i="6"/>
  <c r="J208" i="6"/>
  <c r="K208" i="6"/>
  <c r="L208" i="6"/>
  <c r="M208" i="6"/>
  <c r="S208" i="6"/>
  <c r="I216" i="6"/>
  <c r="J216" i="6"/>
  <c r="K216" i="6"/>
  <c r="L216" i="6"/>
  <c r="M216" i="6"/>
  <c r="S216" i="6"/>
  <c r="S217" i="6"/>
  <c r="P192" i="6"/>
  <c r="P200" i="6"/>
  <c r="P208" i="6"/>
  <c r="P216" i="6"/>
  <c r="P217" i="6"/>
  <c r="O192" i="6"/>
  <c r="O200" i="6"/>
  <c r="O208" i="6"/>
  <c r="O216" i="6"/>
  <c r="O217" i="6"/>
  <c r="M217" i="6"/>
  <c r="L217" i="6"/>
  <c r="K217" i="6"/>
  <c r="J217" i="6"/>
  <c r="I217" i="6"/>
  <c r="H217" i="6"/>
  <c r="G217" i="6"/>
  <c r="F217" i="6"/>
  <c r="E217" i="6"/>
  <c r="D217" i="6"/>
  <c r="T216" i="6"/>
  <c r="M215" i="6"/>
  <c r="L215" i="6"/>
  <c r="K215" i="6"/>
  <c r="J215" i="6"/>
  <c r="I215" i="6"/>
  <c r="M212" i="6"/>
  <c r="L212" i="6"/>
  <c r="K212" i="6"/>
  <c r="J212" i="6"/>
  <c r="I212" i="6"/>
  <c r="T208" i="6"/>
  <c r="M207" i="6"/>
  <c r="L207" i="6"/>
  <c r="K207" i="6"/>
  <c r="J207" i="6"/>
  <c r="I207" i="6"/>
  <c r="M204" i="6"/>
  <c r="L204" i="6"/>
  <c r="K204" i="6"/>
  <c r="J204" i="6"/>
  <c r="I204" i="6"/>
  <c r="T200" i="6"/>
  <c r="M199" i="6"/>
  <c r="L199" i="6"/>
  <c r="K199" i="6"/>
  <c r="J199" i="6"/>
  <c r="I199" i="6"/>
  <c r="M196" i="6"/>
  <c r="L196" i="6"/>
  <c r="K196" i="6"/>
  <c r="J196" i="6"/>
  <c r="I196" i="6"/>
  <c r="T192" i="6"/>
  <c r="M191" i="6"/>
  <c r="L191" i="6"/>
  <c r="K191" i="6"/>
  <c r="J191" i="6"/>
  <c r="I191" i="6"/>
  <c r="M188" i="6"/>
  <c r="L188" i="6"/>
  <c r="K188" i="6"/>
  <c r="J188" i="6"/>
  <c r="I188" i="6"/>
  <c r="Q153" i="6"/>
  <c r="Q161" i="6"/>
  <c r="Q169" i="6"/>
  <c r="Q177" i="6"/>
  <c r="Q178" i="6"/>
  <c r="T178" i="6"/>
  <c r="I153" i="6"/>
  <c r="J153" i="6"/>
  <c r="K153" i="6"/>
  <c r="L153" i="6"/>
  <c r="M153" i="6"/>
  <c r="S153" i="6"/>
  <c r="I161" i="6"/>
  <c r="J161" i="6"/>
  <c r="K161" i="6"/>
  <c r="L161" i="6"/>
  <c r="M161" i="6"/>
  <c r="S161" i="6"/>
  <c r="I169" i="6"/>
  <c r="J169" i="6"/>
  <c r="K169" i="6"/>
  <c r="L169" i="6"/>
  <c r="M169" i="6"/>
  <c r="S169" i="6"/>
  <c r="I177" i="6"/>
  <c r="J177" i="6"/>
  <c r="K177" i="6"/>
  <c r="L177" i="6"/>
  <c r="M177" i="6"/>
  <c r="S177" i="6"/>
  <c r="S178" i="6"/>
  <c r="P153" i="6"/>
  <c r="P161" i="6"/>
  <c r="P169" i="6"/>
  <c r="P177" i="6"/>
  <c r="P178" i="6"/>
  <c r="O153" i="6"/>
  <c r="O161" i="6"/>
  <c r="O169" i="6"/>
  <c r="O177" i="6"/>
  <c r="O178" i="6"/>
  <c r="M178" i="6"/>
  <c r="L178" i="6"/>
  <c r="K178" i="6"/>
  <c r="J178" i="6"/>
  <c r="I178" i="6"/>
  <c r="H178" i="6"/>
  <c r="G178" i="6"/>
  <c r="F178" i="6"/>
  <c r="E178" i="6"/>
  <c r="D178" i="6"/>
  <c r="T177" i="6"/>
  <c r="M176" i="6"/>
  <c r="L176" i="6"/>
  <c r="K176" i="6"/>
  <c r="J176" i="6"/>
  <c r="I176" i="6"/>
  <c r="M173" i="6"/>
  <c r="L173" i="6"/>
  <c r="K173" i="6"/>
  <c r="J173" i="6"/>
  <c r="I173" i="6"/>
  <c r="T169" i="6"/>
  <c r="M168" i="6"/>
  <c r="L168" i="6"/>
  <c r="K168" i="6"/>
  <c r="J168" i="6"/>
  <c r="I168" i="6"/>
  <c r="M165" i="6"/>
  <c r="L165" i="6"/>
  <c r="K165" i="6"/>
  <c r="J165" i="6"/>
  <c r="I165" i="6"/>
  <c r="T161" i="6"/>
  <c r="M160" i="6"/>
  <c r="L160" i="6"/>
  <c r="K160" i="6"/>
  <c r="J160" i="6"/>
  <c r="I160" i="6"/>
  <c r="M157" i="6"/>
  <c r="L157" i="6"/>
  <c r="K157" i="6"/>
  <c r="J157" i="6"/>
  <c r="I157" i="6"/>
  <c r="T153" i="6"/>
  <c r="M152" i="6"/>
  <c r="L152" i="6"/>
  <c r="K152" i="6"/>
  <c r="J152" i="6"/>
  <c r="I152" i="6"/>
  <c r="M149" i="6"/>
  <c r="L149" i="6"/>
  <c r="K149" i="6"/>
  <c r="J149" i="6"/>
  <c r="I149" i="6"/>
  <c r="M118" i="6"/>
  <c r="M124" i="6"/>
  <c r="M130" i="6"/>
  <c r="M136" i="6"/>
  <c r="M137" i="6"/>
  <c r="L118" i="6"/>
  <c r="L124" i="6"/>
  <c r="L130" i="6"/>
  <c r="L136" i="6"/>
  <c r="L137" i="6"/>
  <c r="K118" i="6"/>
  <c r="K124" i="6"/>
  <c r="K130" i="6"/>
  <c r="K136" i="6"/>
  <c r="K137" i="6"/>
  <c r="J118" i="6"/>
  <c r="J124" i="6"/>
  <c r="J130" i="6"/>
  <c r="J136" i="6"/>
  <c r="J137" i="6"/>
  <c r="I118" i="6"/>
  <c r="I124" i="6"/>
  <c r="I130" i="6"/>
  <c r="I136" i="6"/>
  <c r="I137" i="6"/>
  <c r="H137" i="6"/>
  <c r="G137" i="6"/>
  <c r="F137" i="6"/>
  <c r="E137" i="6"/>
  <c r="D137" i="6"/>
  <c r="M87" i="6"/>
  <c r="M93" i="6"/>
  <c r="M99" i="6"/>
  <c r="M105" i="6"/>
  <c r="M106" i="6"/>
  <c r="L87" i="6"/>
  <c r="L93" i="6"/>
  <c r="L99" i="6"/>
  <c r="L105" i="6"/>
  <c r="L106" i="6"/>
  <c r="K87" i="6"/>
  <c r="K93" i="6"/>
  <c r="K99" i="6"/>
  <c r="K105" i="6"/>
  <c r="K106" i="6"/>
  <c r="J87" i="6"/>
  <c r="J93" i="6"/>
  <c r="J99" i="6"/>
  <c r="J105" i="6"/>
  <c r="J106" i="6"/>
  <c r="I87" i="6"/>
  <c r="I93" i="6"/>
  <c r="I99" i="6"/>
  <c r="I105" i="6"/>
  <c r="I106" i="6"/>
  <c r="H106" i="6"/>
  <c r="G106" i="6"/>
  <c r="F106" i="6"/>
  <c r="E106" i="6"/>
  <c r="D106" i="6"/>
  <c r="M52" i="6"/>
  <c r="M53" i="6"/>
  <c r="M54" i="6"/>
  <c r="M55" i="6"/>
  <c r="M58" i="6"/>
  <c r="M59" i="6"/>
  <c r="M60" i="6"/>
  <c r="M61" i="6"/>
  <c r="M64" i="6"/>
  <c r="M65" i="6"/>
  <c r="M66" i="6"/>
  <c r="M67" i="6"/>
  <c r="M70" i="6"/>
  <c r="M71" i="6"/>
  <c r="M72" i="6"/>
  <c r="M73" i="6"/>
  <c r="M75" i="6"/>
  <c r="L52" i="6"/>
  <c r="L53" i="6"/>
  <c r="L54" i="6"/>
  <c r="L55" i="6"/>
  <c r="L58" i="6"/>
  <c r="L59" i="6"/>
  <c r="L60" i="6"/>
  <c r="L61" i="6"/>
  <c r="L64" i="6"/>
  <c r="L65" i="6"/>
  <c r="L66" i="6"/>
  <c r="L67" i="6"/>
  <c r="L70" i="6"/>
  <c r="L71" i="6"/>
  <c r="L72" i="6"/>
  <c r="L73" i="6"/>
  <c r="L75" i="6"/>
  <c r="K52" i="6"/>
  <c r="K53" i="6"/>
  <c r="K54" i="6"/>
  <c r="K55" i="6"/>
  <c r="K58" i="6"/>
  <c r="K59" i="6"/>
  <c r="K60" i="6"/>
  <c r="K61" i="6"/>
  <c r="K64" i="6"/>
  <c r="K65" i="6"/>
  <c r="K66" i="6"/>
  <c r="K67" i="6"/>
  <c r="K70" i="6"/>
  <c r="K71" i="6"/>
  <c r="K72" i="6"/>
  <c r="K73" i="6"/>
  <c r="K75" i="6"/>
  <c r="J52" i="6"/>
  <c r="J53" i="6"/>
  <c r="J54" i="6"/>
  <c r="J55" i="6"/>
  <c r="J58" i="6"/>
  <c r="J59" i="6"/>
  <c r="J60" i="6"/>
  <c r="J61" i="6"/>
  <c r="J64" i="6"/>
  <c r="J65" i="6"/>
  <c r="J66" i="6"/>
  <c r="J67" i="6"/>
  <c r="J70" i="6"/>
  <c r="J71" i="6"/>
  <c r="J72" i="6"/>
  <c r="J73" i="6"/>
  <c r="J75" i="6"/>
  <c r="I52" i="6"/>
  <c r="I53" i="6"/>
  <c r="I54" i="6"/>
  <c r="I55" i="6"/>
  <c r="I58" i="6"/>
  <c r="I59" i="6"/>
  <c r="I60" i="6"/>
  <c r="I61" i="6"/>
  <c r="I64" i="6"/>
  <c r="I65" i="6"/>
  <c r="I66" i="6"/>
  <c r="I67" i="6"/>
  <c r="I70" i="6"/>
  <c r="I71" i="6"/>
  <c r="I72" i="6"/>
  <c r="I73" i="6"/>
  <c r="I75" i="6"/>
  <c r="H52" i="6"/>
  <c r="H53" i="6"/>
  <c r="H58" i="6"/>
  <c r="H59" i="6"/>
  <c r="H64" i="6"/>
  <c r="H65" i="6"/>
  <c r="H70" i="6"/>
  <c r="H71" i="6"/>
  <c r="H75" i="6"/>
  <c r="G52" i="6"/>
  <c r="G53" i="6"/>
  <c r="G58" i="6"/>
  <c r="G59" i="6"/>
  <c r="G64" i="6"/>
  <c r="G65" i="6"/>
  <c r="G70" i="6"/>
  <c r="G71" i="6"/>
  <c r="G75" i="6"/>
  <c r="F52" i="6"/>
  <c r="F53" i="6"/>
  <c r="F58" i="6"/>
  <c r="F59" i="6"/>
  <c r="F64" i="6"/>
  <c r="F65" i="6"/>
  <c r="F70" i="6"/>
  <c r="F71" i="6"/>
  <c r="F75" i="6"/>
  <c r="E52" i="6"/>
  <c r="E53" i="6"/>
  <c r="E58" i="6"/>
  <c r="E59" i="6"/>
  <c r="E64" i="6"/>
  <c r="E65" i="6"/>
  <c r="E70" i="6"/>
  <c r="E71" i="6"/>
  <c r="E75" i="6"/>
  <c r="D52" i="6"/>
  <c r="D53" i="6"/>
  <c r="D58" i="6"/>
  <c r="D59" i="6"/>
  <c r="D64" i="6"/>
  <c r="D65" i="6"/>
  <c r="D70" i="6"/>
  <c r="D71" i="6"/>
  <c r="D75" i="6"/>
  <c r="M74" i="6"/>
  <c r="L74" i="6"/>
  <c r="K74" i="6"/>
  <c r="J74" i="6"/>
  <c r="I74" i="6"/>
  <c r="H74" i="6"/>
  <c r="G74" i="6"/>
  <c r="F74" i="6"/>
  <c r="E74" i="6"/>
  <c r="D74" i="6"/>
  <c r="M68" i="6"/>
  <c r="L68" i="6"/>
  <c r="K68" i="6"/>
  <c r="J68" i="6"/>
  <c r="I68" i="6"/>
  <c r="H68" i="6"/>
  <c r="G68" i="6"/>
  <c r="F68" i="6"/>
  <c r="E68" i="6"/>
  <c r="D68" i="6"/>
  <c r="M62" i="6"/>
  <c r="L62" i="6"/>
  <c r="K62" i="6"/>
  <c r="J62" i="6"/>
  <c r="I62" i="6"/>
  <c r="H62" i="6"/>
  <c r="G62" i="6"/>
  <c r="F62" i="6"/>
  <c r="E62" i="6"/>
  <c r="D62" i="6"/>
  <c r="M56" i="6"/>
  <c r="L56" i="6"/>
  <c r="K56" i="6"/>
  <c r="J56" i="6"/>
  <c r="I56" i="6"/>
  <c r="H56" i="6"/>
  <c r="G56" i="6"/>
  <c r="F56" i="6"/>
  <c r="E56" i="6"/>
  <c r="D56" i="6"/>
  <c r="D43" i="6"/>
  <c r="E43" i="6"/>
  <c r="F43" i="6"/>
  <c r="G43" i="6"/>
  <c r="H43" i="6"/>
  <c r="Q43" i="6"/>
  <c r="T43" i="6"/>
  <c r="I41" i="6"/>
  <c r="I42" i="6"/>
  <c r="I43" i="6"/>
  <c r="J41" i="6"/>
  <c r="J42" i="6"/>
  <c r="J43" i="6"/>
  <c r="K41" i="6"/>
  <c r="K42" i="6"/>
  <c r="K43" i="6"/>
  <c r="L41" i="6"/>
  <c r="L42" i="6"/>
  <c r="L43" i="6"/>
  <c r="M41" i="6"/>
  <c r="M42" i="6"/>
  <c r="M43" i="6"/>
  <c r="S43" i="6"/>
  <c r="P43" i="6"/>
  <c r="O43" i="6"/>
  <c r="D39" i="6"/>
  <c r="E39" i="6"/>
  <c r="F39" i="6"/>
  <c r="G39" i="6"/>
  <c r="H39" i="6"/>
  <c r="Q39" i="6"/>
  <c r="T39" i="6"/>
  <c r="I37" i="6"/>
  <c r="I38" i="6"/>
  <c r="I39" i="6"/>
  <c r="J37" i="6"/>
  <c r="J38" i="6"/>
  <c r="J39" i="6"/>
  <c r="K37" i="6"/>
  <c r="K38" i="6"/>
  <c r="K39" i="6"/>
  <c r="L37" i="6"/>
  <c r="L38" i="6"/>
  <c r="L39" i="6"/>
  <c r="M37" i="6"/>
  <c r="M38" i="6"/>
  <c r="M39" i="6"/>
  <c r="S39" i="6"/>
  <c r="P39" i="6"/>
  <c r="O39" i="6"/>
  <c r="D35" i="6"/>
  <c r="E35" i="6"/>
  <c r="F35" i="6"/>
  <c r="G35" i="6"/>
  <c r="H35" i="6"/>
  <c r="Q35" i="6"/>
  <c r="T35" i="6"/>
  <c r="I33" i="6"/>
  <c r="I34" i="6"/>
  <c r="I35" i="6"/>
  <c r="J33" i="6"/>
  <c r="J34" i="6"/>
  <c r="J35" i="6"/>
  <c r="K33" i="6"/>
  <c r="K34" i="6"/>
  <c r="K35" i="6"/>
  <c r="L33" i="6"/>
  <c r="L34" i="6"/>
  <c r="L35" i="6"/>
  <c r="M33" i="6"/>
  <c r="M34" i="6"/>
  <c r="M35" i="6"/>
  <c r="S35" i="6"/>
  <c r="P35" i="6"/>
  <c r="O35" i="6"/>
  <c r="D31" i="6"/>
  <c r="E31" i="6"/>
  <c r="F31" i="6"/>
  <c r="G31" i="6"/>
  <c r="H31" i="6"/>
  <c r="Q31" i="6"/>
  <c r="T31" i="6"/>
  <c r="I29" i="6"/>
  <c r="I30" i="6"/>
  <c r="I31" i="6"/>
  <c r="J29" i="6"/>
  <c r="J30" i="6"/>
  <c r="J31" i="6"/>
  <c r="K29" i="6"/>
  <c r="K30" i="6"/>
  <c r="K31" i="6"/>
  <c r="L29" i="6"/>
  <c r="L30" i="6"/>
  <c r="L31" i="6"/>
  <c r="M29" i="6"/>
  <c r="M30" i="6"/>
  <c r="M31" i="6"/>
  <c r="S31" i="6"/>
  <c r="P31" i="6"/>
  <c r="O31" i="6"/>
  <c r="D22" i="6"/>
  <c r="E22" i="6"/>
  <c r="F22" i="6"/>
  <c r="G22" i="6"/>
  <c r="H22" i="6"/>
  <c r="Q22" i="6"/>
  <c r="T22" i="6"/>
  <c r="I22" i="6"/>
  <c r="J22" i="6"/>
  <c r="K22" i="6"/>
  <c r="L22" i="6"/>
  <c r="M22" i="6"/>
  <c r="S22" i="6"/>
  <c r="P22" i="6"/>
  <c r="O22" i="6"/>
  <c r="Q21" i="6"/>
  <c r="T21" i="6"/>
  <c r="S21" i="6"/>
  <c r="P21" i="6"/>
  <c r="O21" i="6"/>
  <c r="Q20" i="6"/>
  <c r="T20" i="6"/>
  <c r="S20" i="6"/>
  <c r="P20" i="6"/>
  <c r="O20" i="6"/>
  <c r="M11" i="6"/>
  <c r="M12" i="6"/>
  <c r="M13" i="6"/>
  <c r="M16" i="6"/>
  <c r="L11" i="6"/>
  <c r="L12" i="6"/>
  <c r="L13" i="6"/>
  <c r="L16" i="6"/>
  <c r="K11" i="6"/>
  <c r="K12" i="6"/>
  <c r="K13" i="6"/>
  <c r="K16" i="6"/>
  <c r="J11" i="6"/>
  <c r="J12" i="6"/>
  <c r="J13" i="6"/>
  <c r="J16" i="6"/>
  <c r="I11" i="6"/>
  <c r="I12" i="6"/>
  <c r="I13" i="6"/>
  <c r="I16" i="6"/>
  <c r="H11" i="6"/>
  <c r="H12" i="6"/>
  <c r="H13" i="6"/>
  <c r="H16" i="6"/>
  <c r="G11" i="6"/>
  <c r="G12" i="6"/>
  <c r="G13" i="6"/>
  <c r="G16" i="6"/>
  <c r="F11" i="6"/>
  <c r="F12" i="6"/>
  <c r="F13" i="6"/>
  <c r="F16" i="6"/>
  <c r="E11" i="6"/>
  <c r="E12" i="6"/>
  <c r="E13" i="6"/>
  <c r="E16" i="6"/>
  <c r="D11" i="6"/>
  <c r="D12" i="6"/>
  <c r="D13" i="6"/>
  <c r="D16" i="6"/>
  <c r="D15" i="6"/>
  <c r="E15" i="6"/>
  <c r="F15" i="6"/>
  <c r="G15" i="6"/>
  <c r="H15" i="6"/>
  <c r="Q15" i="6"/>
  <c r="T15" i="6"/>
  <c r="I15" i="6"/>
  <c r="J15" i="6"/>
  <c r="K15" i="6"/>
  <c r="L15" i="6"/>
  <c r="M15" i="6"/>
  <c r="S15" i="6"/>
  <c r="P15" i="6"/>
  <c r="O15" i="6"/>
  <c r="Q14" i="6"/>
  <c r="T14" i="6"/>
  <c r="S14" i="6"/>
  <c r="P14" i="6"/>
  <c r="O14" i="6"/>
  <c r="Q13" i="6"/>
  <c r="T13" i="6"/>
  <c r="S13" i="6"/>
  <c r="P13" i="6"/>
  <c r="O13" i="6"/>
  <c r="Q12" i="6"/>
  <c r="T12" i="6"/>
  <c r="S12" i="6"/>
  <c r="P12" i="6"/>
  <c r="O12" i="6"/>
  <c r="Q11" i="6"/>
  <c r="T11" i="6"/>
  <c r="S11" i="6"/>
  <c r="P11" i="6"/>
  <c r="O11" i="6"/>
  <c r="D10" i="6"/>
  <c r="E10" i="6"/>
  <c r="F10" i="6"/>
  <c r="G10" i="6"/>
  <c r="H10" i="6"/>
  <c r="Q10" i="6"/>
  <c r="T10" i="6"/>
  <c r="I10" i="6"/>
  <c r="J10" i="6"/>
  <c r="K10" i="6"/>
  <c r="L10" i="6"/>
  <c r="M10" i="6"/>
  <c r="S10" i="6"/>
  <c r="P10" i="6"/>
  <c r="O10" i="6"/>
  <c r="M126" i="5"/>
  <c r="L126" i="5"/>
  <c r="K126" i="5"/>
  <c r="J126" i="5"/>
  <c r="I126" i="5"/>
  <c r="M86" i="5"/>
  <c r="L86" i="5"/>
  <c r="K86" i="5"/>
  <c r="J86" i="5"/>
  <c r="I86" i="5"/>
  <c r="M82" i="5"/>
  <c r="L82" i="5"/>
  <c r="K82" i="5"/>
  <c r="J82" i="5"/>
  <c r="I82" i="5"/>
  <c r="F61" i="25"/>
  <c r="F62" i="25"/>
  <c r="F63" i="25"/>
  <c r="F64" i="25"/>
  <c r="F65" i="25"/>
  <c r="F66" i="25"/>
  <c r="P63" i="25"/>
  <c r="P65" i="25"/>
  <c r="D37" i="23"/>
  <c r="I37" i="23"/>
  <c r="P66" i="25"/>
  <c r="P69" i="25"/>
  <c r="O11" i="25"/>
  <c r="D18" i="25"/>
  <c r="O19" i="25"/>
  <c r="D19" i="25"/>
  <c r="O20" i="25"/>
  <c r="D20" i="25"/>
  <c r="O21" i="25"/>
  <c r="D21" i="25"/>
  <c r="S27" i="25"/>
  <c r="O36" i="25"/>
  <c r="O31" i="25"/>
  <c r="O41" i="25"/>
  <c r="P36" i="25"/>
  <c r="P31" i="25"/>
  <c r="P41" i="25"/>
  <c r="Q36" i="25"/>
  <c r="Q31" i="25"/>
  <c r="Q41" i="25"/>
  <c r="R36" i="25"/>
  <c r="R31" i="25"/>
  <c r="R41" i="25"/>
  <c r="S36" i="25"/>
  <c r="S31" i="25"/>
  <c r="S41" i="25"/>
  <c r="N41" i="25"/>
  <c r="O33" i="25"/>
  <c r="O34" i="25"/>
  <c r="P33" i="25"/>
  <c r="P34" i="25"/>
  <c r="Q33" i="25"/>
  <c r="Q34" i="25"/>
  <c r="R33" i="25"/>
  <c r="R34" i="25"/>
  <c r="S33" i="25"/>
  <c r="S34" i="25"/>
  <c r="O35" i="25"/>
  <c r="D10" i="25"/>
  <c r="O16" i="25"/>
  <c r="O18" i="25"/>
  <c r="D12" i="25"/>
  <c r="O22" i="25"/>
  <c r="D13" i="25"/>
  <c r="O23" i="25"/>
  <c r="D14" i="25"/>
  <c r="D15" i="25"/>
  <c r="D22" i="25"/>
  <c r="D23" i="25"/>
  <c r="D24" i="25"/>
  <c r="P11" i="25"/>
  <c r="E18" i="25"/>
  <c r="P19" i="25"/>
  <c r="E19" i="25"/>
  <c r="P20" i="25"/>
  <c r="E20" i="25"/>
  <c r="P21" i="25"/>
  <c r="E21" i="25"/>
  <c r="P35" i="25"/>
  <c r="E10" i="25"/>
  <c r="P16" i="25"/>
  <c r="P18" i="25"/>
  <c r="E12" i="25"/>
  <c r="P22" i="25"/>
  <c r="E13" i="25"/>
  <c r="E15" i="25"/>
  <c r="E22" i="25"/>
  <c r="E23" i="25"/>
  <c r="E24" i="25"/>
  <c r="Q11" i="25"/>
  <c r="G18" i="25"/>
  <c r="Q19" i="25"/>
  <c r="G19" i="25"/>
  <c r="Q20" i="25"/>
  <c r="G20" i="25"/>
  <c r="Q21" i="25"/>
  <c r="G21" i="25"/>
  <c r="Q35" i="25"/>
  <c r="G10" i="25"/>
  <c r="Q16" i="25"/>
  <c r="Q18" i="25"/>
  <c r="G12" i="25"/>
  <c r="Q22" i="25"/>
  <c r="G13" i="25"/>
  <c r="G15" i="25"/>
  <c r="G22" i="25"/>
  <c r="G23" i="25"/>
  <c r="G24" i="25"/>
  <c r="R11" i="25"/>
  <c r="H18" i="25"/>
  <c r="R19" i="25"/>
  <c r="H19" i="25"/>
  <c r="R20" i="25"/>
  <c r="H20" i="25"/>
  <c r="R21" i="25"/>
  <c r="H21" i="25"/>
  <c r="R35" i="25"/>
  <c r="H10" i="25"/>
  <c r="R16" i="25"/>
  <c r="R18" i="25"/>
  <c r="H12" i="25"/>
  <c r="R22" i="25"/>
  <c r="H13" i="25"/>
  <c r="H15" i="25"/>
  <c r="H22" i="25"/>
  <c r="H23" i="25"/>
  <c r="H24" i="25"/>
  <c r="S11" i="25"/>
  <c r="I18" i="25"/>
  <c r="S19" i="25"/>
  <c r="I19" i="25"/>
  <c r="S20" i="25"/>
  <c r="I20" i="25"/>
  <c r="S21" i="25"/>
  <c r="I21" i="25"/>
  <c r="S35" i="25"/>
  <c r="I10" i="25"/>
  <c r="S16" i="25"/>
  <c r="S18" i="25"/>
  <c r="I12" i="25"/>
  <c r="S22" i="25"/>
  <c r="I13" i="25"/>
  <c r="I15" i="25"/>
  <c r="I22" i="25"/>
  <c r="I23" i="25"/>
  <c r="I24" i="25"/>
  <c r="C47" i="25"/>
  <c r="C99" i="22"/>
  <c r="C42" i="22"/>
  <c r="F42" i="22"/>
  <c r="I42" i="22"/>
  <c r="C52" i="22"/>
  <c r="F52" i="22"/>
  <c r="K5" i="22"/>
  <c r="F21" i="22"/>
  <c r="F22" i="22"/>
  <c r="L5" i="22"/>
  <c r="O9" i="22"/>
  <c r="G9" i="22"/>
  <c r="C96" i="22"/>
  <c r="C39" i="22"/>
  <c r="F39" i="22"/>
  <c r="I39" i="22"/>
  <c r="C49" i="22"/>
  <c r="F49" i="22"/>
  <c r="O6" i="22"/>
  <c r="G6" i="22"/>
  <c r="C50" i="22"/>
  <c r="C51" i="22"/>
  <c r="C110" i="22"/>
  <c r="C97" i="22"/>
  <c r="C40" i="22"/>
  <c r="C55" i="22"/>
  <c r="F40" i="22"/>
  <c r="I40" i="22"/>
  <c r="F50" i="22"/>
  <c r="G7" i="22"/>
  <c r="C98" i="22"/>
  <c r="C41" i="22"/>
  <c r="F41" i="22"/>
  <c r="I41" i="22"/>
  <c r="F51" i="22"/>
  <c r="G8" i="22"/>
  <c r="C53" i="22"/>
  <c r="F53" i="22"/>
  <c r="G10" i="22"/>
  <c r="H9" i="22"/>
  <c r="C100" i="22"/>
  <c r="C43" i="22"/>
  <c r="F43" i="22"/>
  <c r="I43" i="22"/>
  <c r="L6" i="22"/>
  <c r="O10" i="22"/>
  <c r="H10" i="22"/>
  <c r="G17" i="24"/>
  <c r="E47" i="25"/>
  <c r="K47" i="25"/>
  <c r="E48" i="25"/>
  <c r="K48" i="25"/>
  <c r="E81" i="19"/>
  <c r="G81" i="19"/>
  <c r="I81" i="19"/>
  <c r="E82" i="19"/>
  <c r="G82" i="19"/>
  <c r="I82" i="19"/>
  <c r="E83" i="19"/>
  <c r="G83" i="19"/>
  <c r="I83" i="19"/>
  <c r="E84" i="19"/>
  <c r="G84" i="19"/>
  <c r="I84" i="19"/>
  <c r="E85" i="19"/>
  <c r="G85" i="19"/>
  <c r="I85" i="19"/>
  <c r="E86" i="19"/>
  <c r="G86" i="19"/>
  <c r="I86" i="19"/>
  <c r="E87" i="19"/>
  <c r="G87" i="19"/>
  <c r="I87" i="19"/>
  <c r="E88" i="19"/>
  <c r="G88" i="19"/>
  <c r="I88" i="19"/>
  <c r="E89" i="19"/>
  <c r="G89" i="19"/>
  <c r="I89" i="19"/>
  <c r="E90" i="19"/>
  <c r="G90" i="19"/>
  <c r="I90" i="19"/>
  <c r="E91" i="19"/>
  <c r="G91" i="19"/>
  <c r="I91" i="19"/>
  <c r="E92" i="19"/>
  <c r="G92" i="19"/>
  <c r="I92" i="19"/>
  <c r="E93" i="19"/>
  <c r="G93" i="19"/>
  <c r="I93" i="19"/>
  <c r="E94" i="19"/>
  <c r="G94" i="19"/>
  <c r="I94" i="19"/>
  <c r="E95" i="19"/>
  <c r="G95" i="19"/>
  <c r="I95" i="19"/>
  <c r="E96" i="19"/>
  <c r="G96" i="19"/>
  <c r="I96" i="19"/>
  <c r="E97" i="19"/>
  <c r="G97" i="19"/>
  <c r="I97" i="19"/>
  <c r="E98" i="19"/>
  <c r="G98" i="19"/>
  <c r="I98" i="19"/>
  <c r="E99" i="19"/>
  <c r="G99" i="19"/>
  <c r="I99" i="19"/>
  <c r="E100" i="19"/>
  <c r="G100" i="19"/>
  <c r="I100" i="19"/>
  <c r="E101" i="19"/>
  <c r="G101" i="19"/>
  <c r="I101" i="19"/>
  <c r="E102" i="19"/>
  <c r="G102" i="19"/>
  <c r="I102" i="19"/>
  <c r="E103" i="19"/>
  <c r="G103" i="19"/>
  <c r="I103" i="19"/>
  <c r="E104" i="19"/>
  <c r="G104" i="19"/>
  <c r="I104" i="19"/>
  <c r="E105" i="19"/>
  <c r="G105" i="19"/>
  <c r="I105" i="19"/>
  <c r="E106" i="19"/>
  <c r="G106" i="19"/>
  <c r="I106" i="19"/>
  <c r="E107" i="19"/>
  <c r="G107" i="19"/>
  <c r="I107" i="19"/>
  <c r="E108" i="19"/>
  <c r="G108" i="19"/>
  <c r="I108" i="19"/>
  <c r="E109" i="19"/>
  <c r="G109" i="19"/>
  <c r="I109" i="19"/>
  <c r="E110" i="19"/>
  <c r="G110" i="19"/>
  <c r="I110" i="19"/>
  <c r="E111" i="19"/>
  <c r="G111" i="19"/>
  <c r="I111" i="19"/>
  <c r="E112" i="19"/>
  <c r="G112" i="19"/>
  <c r="I112" i="19"/>
  <c r="E113" i="19"/>
  <c r="G113" i="19"/>
  <c r="I113" i="19"/>
  <c r="E114" i="19"/>
  <c r="G114" i="19"/>
  <c r="I114" i="19"/>
  <c r="E115" i="19"/>
  <c r="G115" i="19"/>
  <c r="I115" i="19"/>
  <c r="E116" i="19"/>
  <c r="G116" i="19"/>
  <c r="I116" i="19"/>
  <c r="E117" i="19"/>
  <c r="G117" i="19"/>
  <c r="I117" i="19"/>
  <c r="E118" i="19"/>
  <c r="G118" i="19"/>
  <c r="I118" i="19"/>
  <c r="E119" i="19"/>
  <c r="G119" i="19"/>
  <c r="I119" i="19"/>
  <c r="E120" i="19"/>
  <c r="G120" i="19"/>
  <c r="I120" i="19"/>
  <c r="E149" i="19"/>
  <c r="G149" i="19"/>
  <c r="I149" i="19"/>
  <c r="E150" i="19"/>
  <c r="G150" i="19"/>
  <c r="I150" i="19"/>
  <c r="G9" i="20"/>
  <c r="E20" i="19"/>
  <c r="G20" i="19"/>
  <c r="I20" i="19"/>
  <c r="E21" i="19"/>
  <c r="G21" i="19"/>
  <c r="I21" i="19"/>
  <c r="E22" i="19"/>
  <c r="G22" i="19"/>
  <c r="I22" i="19"/>
  <c r="E23" i="19"/>
  <c r="G23" i="19"/>
  <c r="I23" i="19"/>
  <c r="E24" i="19"/>
  <c r="G24" i="19"/>
  <c r="I24" i="19"/>
  <c r="E25" i="19"/>
  <c r="G25" i="19"/>
  <c r="I25" i="19"/>
  <c r="E26" i="19"/>
  <c r="G26" i="19"/>
  <c r="I26" i="19"/>
  <c r="E27" i="19"/>
  <c r="G27" i="19"/>
  <c r="I27" i="19"/>
  <c r="E28" i="19"/>
  <c r="G28" i="19"/>
  <c r="I28" i="19"/>
  <c r="E29" i="19"/>
  <c r="G29" i="19"/>
  <c r="I29" i="19"/>
  <c r="E30" i="19"/>
  <c r="G30" i="19"/>
  <c r="I30" i="19"/>
  <c r="E31" i="19"/>
  <c r="G31" i="19"/>
  <c r="I31" i="19"/>
  <c r="E32" i="19"/>
  <c r="G32" i="19"/>
  <c r="I32" i="19"/>
  <c r="E33" i="19"/>
  <c r="G33" i="19"/>
  <c r="I33" i="19"/>
  <c r="E34" i="19"/>
  <c r="G34" i="19"/>
  <c r="I34" i="19"/>
  <c r="E35" i="19"/>
  <c r="G35" i="19"/>
  <c r="I35" i="19"/>
  <c r="E36" i="19"/>
  <c r="G36" i="19"/>
  <c r="I36" i="19"/>
  <c r="E37" i="19"/>
  <c r="G37" i="19"/>
  <c r="I37" i="19"/>
  <c r="E38" i="19"/>
  <c r="G38" i="19"/>
  <c r="I38" i="19"/>
  <c r="E39" i="19"/>
  <c r="G39" i="19"/>
  <c r="I39" i="19"/>
  <c r="G6" i="20"/>
  <c r="E62" i="19"/>
  <c r="G62" i="19"/>
  <c r="I62" i="19"/>
  <c r="E63" i="19"/>
  <c r="G63" i="19"/>
  <c r="I63" i="19"/>
  <c r="E69" i="19"/>
  <c r="G69" i="19"/>
  <c r="I69" i="19"/>
  <c r="E70" i="19"/>
  <c r="G70" i="19"/>
  <c r="I70" i="19"/>
  <c r="E75" i="19"/>
  <c r="G75" i="19"/>
  <c r="I75" i="19"/>
  <c r="E76" i="19"/>
  <c r="G76" i="19"/>
  <c r="I76" i="19"/>
  <c r="E77" i="19"/>
  <c r="G77" i="19"/>
  <c r="I77" i="19"/>
  <c r="E78" i="19"/>
  <c r="G78" i="19"/>
  <c r="I78" i="19"/>
  <c r="G7" i="20"/>
  <c r="E42" i="19"/>
  <c r="G42" i="19"/>
  <c r="I42" i="19"/>
  <c r="E43" i="19"/>
  <c r="G43" i="19"/>
  <c r="I43" i="19"/>
  <c r="E44" i="19"/>
  <c r="G44" i="19"/>
  <c r="I44" i="19"/>
  <c r="E45" i="19"/>
  <c r="G45" i="19"/>
  <c r="I45" i="19"/>
  <c r="E46" i="19"/>
  <c r="G46" i="19"/>
  <c r="I46" i="19"/>
  <c r="E47" i="19"/>
  <c r="G47" i="19"/>
  <c r="I47" i="19"/>
  <c r="E48" i="19"/>
  <c r="G48" i="19"/>
  <c r="I48" i="19"/>
  <c r="E49" i="19"/>
  <c r="G49" i="19"/>
  <c r="I49" i="19"/>
  <c r="E50" i="19"/>
  <c r="G50" i="19"/>
  <c r="I50" i="19"/>
  <c r="E51" i="19"/>
  <c r="G51" i="19"/>
  <c r="I51" i="19"/>
  <c r="E52" i="19"/>
  <c r="G52" i="19"/>
  <c r="I52" i="19"/>
  <c r="E53" i="19"/>
  <c r="G53" i="19"/>
  <c r="I53" i="19"/>
  <c r="E54" i="19"/>
  <c r="G54" i="19"/>
  <c r="I54" i="19"/>
  <c r="E55" i="19"/>
  <c r="G55" i="19"/>
  <c r="I55" i="19"/>
  <c r="E56" i="19"/>
  <c r="G56" i="19"/>
  <c r="I56" i="19"/>
  <c r="E59" i="19"/>
  <c r="G59" i="19"/>
  <c r="I59" i="19"/>
  <c r="E60" i="19"/>
  <c r="G60" i="19"/>
  <c r="I60" i="19"/>
  <c r="E61" i="19"/>
  <c r="G61" i="19"/>
  <c r="I61" i="19"/>
  <c r="E64" i="19"/>
  <c r="G64" i="19"/>
  <c r="I64" i="19"/>
  <c r="E65" i="19"/>
  <c r="G65" i="19"/>
  <c r="I65" i="19"/>
  <c r="E66" i="19"/>
  <c r="G66" i="19"/>
  <c r="I66" i="19"/>
  <c r="E67" i="19"/>
  <c r="G67" i="19"/>
  <c r="I67" i="19"/>
  <c r="E68" i="19"/>
  <c r="G68" i="19"/>
  <c r="I68" i="19"/>
  <c r="E71" i="19"/>
  <c r="G71" i="19"/>
  <c r="I71" i="19"/>
  <c r="E72" i="19"/>
  <c r="G72" i="19"/>
  <c r="I72" i="19"/>
  <c r="E158" i="19"/>
  <c r="G158" i="19"/>
  <c r="I158" i="19"/>
  <c r="E159" i="19"/>
  <c r="G159" i="19"/>
  <c r="I159" i="19"/>
  <c r="E160" i="19"/>
  <c r="G160" i="19"/>
  <c r="I160" i="19"/>
  <c r="E161" i="19"/>
  <c r="G161" i="19"/>
  <c r="I161" i="19"/>
  <c r="E162" i="19"/>
  <c r="G162" i="19"/>
  <c r="I162" i="19"/>
  <c r="E163" i="19"/>
  <c r="G163" i="19"/>
  <c r="I163" i="19"/>
  <c r="E153" i="19"/>
  <c r="G153" i="19"/>
  <c r="I153" i="19"/>
  <c r="E154" i="19"/>
  <c r="G154" i="19"/>
  <c r="I154" i="19"/>
  <c r="G8" i="20"/>
  <c r="E121" i="19"/>
  <c r="G121" i="19"/>
  <c r="I121" i="19"/>
  <c r="E122" i="19"/>
  <c r="G122" i="19"/>
  <c r="I122" i="19"/>
  <c r="E123" i="19"/>
  <c r="G123" i="19"/>
  <c r="I123" i="19"/>
  <c r="E124" i="19"/>
  <c r="G124" i="19"/>
  <c r="I124" i="19"/>
  <c r="E125" i="19"/>
  <c r="G125" i="19"/>
  <c r="I125" i="19"/>
  <c r="E126" i="19"/>
  <c r="G126" i="19"/>
  <c r="I126" i="19"/>
  <c r="E127" i="19"/>
  <c r="G127" i="19"/>
  <c r="I127" i="19"/>
  <c r="E128" i="19"/>
  <c r="G128" i="19"/>
  <c r="I128" i="19"/>
  <c r="E129" i="19"/>
  <c r="G129" i="19"/>
  <c r="I129" i="19"/>
  <c r="E130" i="19"/>
  <c r="G130" i="19"/>
  <c r="I130" i="19"/>
  <c r="E131" i="19"/>
  <c r="G131" i="19"/>
  <c r="I131" i="19"/>
  <c r="E132" i="19"/>
  <c r="G132" i="19"/>
  <c r="I132" i="19"/>
  <c r="E133" i="19"/>
  <c r="G133" i="19"/>
  <c r="I133" i="19"/>
  <c r="E134" i="19"/>
  <c r="G134" i="19"/>
  <c r="I134" i="19"/>
  <c r="E135" i="19"/>
  <c r="G135" i="19"/>
  <c r="I135" i="19"/>
  <c r="E136" i="19"/>
  <c r="G136" i="19"/>
  <c r="I136" i="19"/>
  <c r="E137" i="19"/>
  <c r="G137" i="19"/>
  <c r="I137" i="19"/>
  <c r="E138" i="19"/>
  <c r="G138" i="19"/>
  <c r="I138" i="19"/>
  <c r="E139" i="19"/>
  <c r="G139" i="19"/>
  <c r="I139" i="19"/>
  <c r="E140" i="19"/>
  <c r="G140" i="19"/>
  <c r="I140" i="19"/>
  <c r="E141" i="19"/>
  <c r="G141" i="19"/>
  <c r="I141" i="19"/>
  <c r="E142" i="19"/>
  <c r="G142" i="19"/>
  <c r="I142" i="19"/>
  <c r="E143" i="19"/>
  <c r="G143" i="19"/>
  <c r="I143" i="19"/>
  <c r="E144" i="19"/>
  <c r="G144" i="19"/>
  <c r="I144" i="19"/>
  <c r="E145" i="19"/>
  <c r="G145" i="19"/>
  <c r="I145" i="19"/>
  <c r="E146" i="19"/>
  <c r="G146" i="19"/>
  <c r="I146" i="19"/>
  <c r="G10" i="20"/>
  <c r="G11" i="20"/>
  <c r="H9" i="20"/>
  <c r="H10" i="20"/>
  <c r="G22" i="24"/>
  <c r="L7" i="23"/>
  <c r="S7" i="23"/>
  <c r="E7" i="23"/>
  <c r="Z7" i="23"/>
  <c r="AQ7" i="23"/>
  <c r="L8" i="23"/>
  <c r="D8" i="23"/>
  <c r="E8" i="23"/>
  <c r="F8" i="23"/>
  <c r="G8" i="23"/>
  <c r="H8" i="23"/>
  <c r="I8" i="23"/>
  <c r="S8" i="23"/>
  <c r="Z8" i="23"/>
  <c r="AQ8" i="23"/>
  <c r="L9" i="23"/>
  <c r="D9" i="23"/>
  <c r="I9" i="23"/>
  <c r="S9" i="23"/>
  <c r="Z9" i="23"/>
  <c r="AQ9" i="23"/>
  <c r="L10" i="23"/>
  <c r="D10" i="23"/>
  <c r="E10" i="23"/>
  <c r="F10" i="23"/>
  <c r="G10" i="23"/>
  <c r="H10" i="23"/>
  <c r="I10" i="23"/>
  <c r="S10" i="23"/>
  <c r="Z10" i="23"/>
  <c r="AQ10" i="23"/>
  <c r="L11" i="23"/>
  <c r="D11" i="23"/>
  <c r="E11" i="23"/>
  <c r="F11" i="23"/>
  <c r="G11" i="23"/>
  <c r="H11" i="23"/>
  <c r="I11" i="23"/>
  <c r="S11" i="23"/>
  <c r="Z11" i="23"/>
  <c r="AQ11" i="23"/>
  <c r="L12" i="23"/>
  <c r="D12" i="23"/>
  <c r="E12" i="23"/>
  <c r="F12" i="23"/>
  <c r="H12" i="23"/>
  <c r="I12" i="23"/>
  <c r="S12" i="23"/>
  <c r="Z12" i="23"/>
  <c r="AQ12" i="23"/>
  <c r="L13" i="23"/>
  <c r="D13" i="23"/>
  <c r="I13" i="23"/>
  <c r="S13" i="23"/>
  <c r="Z13" i="23"/>
  <c r="AQ13" i="23"/>
  <c r="L14" i="23"/>
  <c r="D14" i="23"/>
  <c r="I14" i="23"/>
  <c r="S14" i="23"/>
  <c r="Z14" i="23"/>
  <c r="AQ14" i="23"/>
  <c r="L15" i="23"/>
  <c r="D15" i="23"/>
  <c r="I15" i="23"/>
  <c r="S15" i="23"/>
  <c r="Z15" i="23"/>
  <c r="AQ15" i="23"/>
  <c r="L16" i="23"/>
  <c r="D16" i="23"/>
  <c r="I16" i="23"/>
  <c r="S16" i="23"/>
  <c r="Z16" i="23"/>
  <c r="AQ16" i="23"/>
  <c r="L17" i="23"/>
  <c r="D17" i="23"/>
  <c r="I17" i="23"/>
  <c r="S17" i="23"/>
  <c r="Z17" i="23"/>
  <c r="AQ17" i="23"/>
  <c r="L18" i="23"/>
  <c r="D18" i="23"/>
  <c r="I18" i="23"/>
  <c r="S18" i="23"/>
  <c r="Z18" i="23"/>
  <c r="AQ18" i="23"/>
  <c r="L19" i="23"/>
  <c r="D19" i="23"/>
  <c r="I19" i="23"/>
  <c r="S19" i="23"/>
  <c r="Z19" i="23"/>
  <c r="AQ19" i="23"/>
  <c r="L20" i="23"/>
  <c r="D20" i="23"/>
  <c r="I20" i="23"/>
  <c r="S20" i="23"/>
  <c r="Z20" i="23"/>
  <c r="AQ20" i="23"/>
  <c r="L21" i="23"/>
  <c r="D21" i="23"/>
  <c r="I21" i="23"/>
  <c r="S21" i="23"/>
  <c r="Z21" i="23"/>
  <c r="AQ21" i="23"/>
  <c r="Z22" i="23"/>
  <c r="AQ22" i="23"/>
  <c r="Z23" i="23"/>
  <c r="AQ23" i="23"/>
  <c r="L24" i="23"/>
  <c r="D24" i="23"/>
  <c r="I24" i="23"/>
  <c r="S24" i="23"/>
  <c r="Z24" i="23"/>
  <c r="AQ24" i="23"/>
  <c r="L25" i="23"/>
  <c r="D25" i="23"/>
  <c r="I25" i="23"/>
  <c r="S25" i="23"/>
  <c r="Z25" i="23"/>
  <c r="AQ25" i="23"/>
  <c r="L26" i="23"/>
  <c r="D26" i="23"/>
  <c r="I26" i="23"/>
  <c r="S26" i="23"/>
  <c r="Z26" i="23"/>
  <c r="AQ26" i="23"/>
  <c r="L27" i="23"/>
  <c r="D27" i="23"/>
  <c r="I27" i="23"/>
  <c r="S27" i="23"/>
  <c r="Z27" i="23"/>
  <c r="AQ27" i="23"/>
  <c r="Z28" i="23"/>
  <c r="AQ28" i="23"/>
  <c r="Z29" i="23"/>
  <c r="AQ29" i="23"/>
  <c r="Z30" i="23"/>
  <c r="AQ30" i="23"/>
  <c r="Z31" i="23"/>
  <c r="AQ31" i="23"/>
  <c r="Z32" i="23"/>
  <c r="AQ32" i="23"/>
  <c r="Z33" i="23"/>
  <c r="AQ33" i="23"/>
  <c r="Z34" i="23"/>
  <c r="AQ34" i="23"/>
  <c r="Z35" i="23"/>
  <c r="AQ35" i="23"/>
  <c r="Z36" i="23"/>
  <c r="AQ36" i="23"/>
  <c r="Z37" i="23"/>
  <c r="AQ37" i="23"/>
  <c r="Z38" i="23"/>
  <c r="AQ38" i="23"/>
  <c r="Z39" i="23"/>
  <c r="AQ39" i="23"/>
  <c r="AQ41" i="23"/>
  <c r="H8" i="20"/>
  <c r="F22" i="24"/>
  <c r="M7" i="23"/>
  <c r="T7" i="23"/>
  <c r="F7" i="23"/>
  <c r="AA7" i="23"/>
  <c r="AR7" i="23"/>
  <c r="M8" i="23"/>
  <c r="T8" i="23"/>
  <c r="AA8" i="23"/>
  <c r="AR8" i="23"/>
  <c r="M9" i="23"/>
  <c r="T9" i="23"/>
  <c r="AA9" i="23"/>
  <c r="AR9" i="23"/>
  <c r="M10" i="23"/>
  <c r="T10" i="23"/>
  <c r="AA10" i="23"/>
  <c r="AR10" i="23"/>
  <c r="M11" i="23"/>
  <c r="T11" i="23"/>
  <c r="AA11" i="23"/>
  <c r="AR11" i="23"/>
  <c r="M12" i="23"/>
  <c r="T12" i="23"/>
  <c r="AA12" i="23"/>
  <c r="AR12" i="23"/>
  <c r="M13" i="23"/>
  <c r="T13" i="23"/>
  <c r="AA13" i="23"/>
  <c r="AR13" i="23"/>
  <c r="M14" i="23"/>
  <c r="T14" i="23"/>
  <c r="AA14" i="23"/>
  <c r="AR14" i="23"/>
  <c r="M15" i="23"/>
  <c r="T15" i="23"/>
  <c r="AA15" i="23"/>
  <c r="AR15" i="23"/>
  <c r="M16" i="23"/>
  <c r="T16" i="23"/>
  <c r="AA16" i="23"/>
  <c r="AR16" i="23"/>
  <c r="M17" i="23"/>
  <c r="T17" i="23"/>
  <c r="AA17" i="23"/>
  <c r="AR17" i="23"/>
  <c r="M18" i="23"/>
  <c r="T18" i="23"/>
  <c r="AA18" i="23"/>
  <c r="AR18" i="23"/>
  <c r="M19" i="23"/>
  <c r="T19" i="23"/>
  <c r="AA19" i="23"/>
  <c r="AR19" i="23"/>
  <c r="M20" i="23"/>
  <c r="T20" i="23"/>
  <c r="AA20" i="23"/>
  <c r="AR20" i="23"/>
  <c r="M21" i="23"/>
  <c r="T21" i="23"/>
  <c r="AA21" i="23"/>
  <c r="AR21" i="23"/>
  <c r="AA22" i="23"/>
  <c r="AR22" i="23"/>
  <c r="AA23" i="23"/>
  <c r="AR23" i="23"/>
  <c r="M24" i="23"/>
  <c r="T24" i="23"/>
  <c r="AA24" i="23"/>
  <c r="AR24" i="23"/>
  <c r="M25" i="23"/>
  <c r="T25" i="23"/>
  <c r="AA25" i="23"/>
  <c r="AR25" i="23"/>
  <c r="M26" i="23"/>
  <c r="T26" i="23"/>
  <c r="AA26" i="23"/>
  <c r="AR26" i="23"/>
  <c r="M27" i="23"/>
  <c r="T27" i="23"/>
  <c r="AA27" i="23"/>
  <c r="AR27" i="23"/>
  <c r="AA28" i="23"/>
  <c r="AR28" i="23"/>
  <c r="AA29" i="23"/>
  <c r="AR29" i="23"/>
  <c r="AA30" i="23"/>
  <c r="AR30" i="23"/>
  <c r="AA31" i="23"/>
  <c r="AR31" i="23"/>
  <c r="AA32" i="23"/>
  <c r="AR32" i="23"/>
  <c r="AA33" i="23"/>
  <c r="AR33" i="23"/>
  <c r="AA34" i="23"/>
  <c r="AR34" i="23"/>
  <c r="AA35" i="23"/>
  <c r="AR35" i="23"/>
  <c r="AA36" i="23"/>
  <c r="AR36" i="23"/>
  <c r="AA37" i="23"/>
  <c r="AR37" i="23"/>
  <c r="AA38" i="23"/>
  <c r="AR38" i="23"/>
  <c r="AA39" i="23"/>
  <c r="AR39" i="23"/>
  <c r="AR41" i="23"/>
  <c r="H7" i="20"/>
  <c r="E22" i="24"/>
  <c r="N7" i="23"/>
  <c r="U7" i="23"/>
  <c r="AB7" i="23"/>
  <c r="AS7" i="23"/>
  <c r="N8" i="23"/>
  <c r="U8" i="23"/>
  <c r="AB8" i="23"/>
  <c r="AS8" i="23"/>
  <c r="N9" i="23"/>
  <c r="U9" i="23"/>
  <c r="AB9" i="23"/>
  <c r="AS9" i="23"/>
  <c r="N10" i="23"/>
  <c r="U10" i="23"/>
  <c r="AB10" i="23"/>
  <c r="AS10" i="23"/>
  <c r="N11" i="23"/>
  <c r="U11" i="23"/>
  <c r="AB11" i="23"/>
  <c r="AS11" i="23"/>
  <c r="N12" i="23"/>
  <c r="U12" i="23"/>
  <c r="AB12" i="23"/>
  <c r="AS12" i="23"/>
  <c r="N13" i="23"/>
  <c r="U13" i="23"/>
  <c r="AB13" i="23"/>
  <c r="AS13" i="23"/>
  <c r="N14" i="23"/>
  <c r="U14" i="23"/>
  <c r="AB14" i="23"/>
  <c r="AS14" i="23"/>
  <c r="N15" i="23"/>
  <c r="U15" i="23"/>
  <c r="AB15" i="23"/>
  <c r="AS15" i="23"/>
  <c r="N16" i="23"/>
  <c r="U16" i="23"/>
  <c r="AB16" i="23"/>
  <c r="AS16" i="23"/>
  <c r="N17" i="23"/>
  <c r="U17" i="23"/>
  <c r="AB17" i="23"/>
  <c r="AS17" i="23"/>
  <c r="N18" i="23"/>
  <c r="U18" i="23"/>
  <c r="AB18" i="23"/>
  <c r="AS18" i="23"/>
  <c r="N19" i="23"/>
  <c r="U19" i="23"/>
  <c r="AB19" i="23"/>
  <c r="AS19" i="23"/>
  <c r="N20" i="23"/>
  <c r="U20" i="23"/>
  <c r="AB20" i="23"/>
  <c r="AS20" i="23"/>
  <c r="N21" i="23"/>
  <c r="U21" i="23"/>
  <c r="AB21" i="23"/>
  <c r="AS21" i="23"/>
  <c r="AB22" i="23"/>
  <c r="AS22" i="23"/>
  <c r="AB23" i="23"/>
  <c r="AS23" i="23"/>
  <c r="N24" i="23"/>
  <c r="U24" i="23"/>
  <c r="AB24" i="23"/>
  <c r="AS24" i="23"/>
  <c r="N25" i="23"/>
  <c r="U25" i="23"/>
  <c r="AB25" i="23"/>
  <c r="AS25" i="23"/>
  <c r="N26" i="23"/>
  <c r="U26" i="23"/>
  <c r="AB26" i="23"/>
  <c r="AS26" i="23"/>
  <c r="N27" i="23"/>
  <c r="U27" i="23"/>
  <c r="AB27" i="23"/>
  <c r="AS27" i="23"/>
  <c r="AB28" i="23"/>
  <c r="AS28" i="23"/>
  <c r="AB29" i="23"/>
  <c r="AS29" i="23"/>
  <c r="AB30" i="23"/>
  <c r="AS30" i="23"/>
  <c r="AB31" i="23"/>
  <c r="AS31" i="23"/>
  <c r="AB32" i="23"/>
  <c r="AS32" i="23"/>
  <c r="AB33" i="23"/>
  <c r="AS33" i="23"/>
  <c r="AB34" i="23"/>
  <c r="AS34" i="23"/>
  <c r="AB35" i="23"/>
  <c r="AS35" i="23"/>
  <c r="AB36" i="23"/>
  <c r="AS36" i="23"/>
  <c r="AB37" i="23"/>
  <c r="AS37" i="23"/>
  <c r="AB38" i="23"/>
  <c r="AS38" i="23"/>
  <c r="AB39" i="23"/>
  <c r="AS39" i="23"/>
  <c r="AS41" i="23"/>
  <c r="H6" i="20"/>
  <c r="D22" i="24"/>
  <c r="O7" i="23"/>
  <c r="C22" i="24"/>
  <c r="P7" i="23"/>
  <c r="V7" i="23"/>
  <c r="H7" i="23"/>
  <c r="AC7" i="23"/>
  <c r="AT7" i="23"/>
  <c r="O8" i="23"/>
  <c r="P8" i="23"/>
  <c r="V8" i="23"/>
  <c r="AC8" i="23"/>
  <c r="AT8" i="23"/>
  <c r="O9" i="23"/>
  <c r="P9" i="23"/>
  <c r="V9" i="23"/>
  <c r="AC9" i="23"/>
  <c r="AT9" i="23"/>
  <c r="O10" i="23"/>
  <c r="P10" i="23"/>
  <c r="V10" i="23"/>
  <c r="AC10" i="23"/>
  <c r="AT10" i="23"/>
  <c r="O11" i="23"/>
  <c r="P11" i="23"/>
  <c r="V11" i="23"/>
  <c r="AC11" i="23"/>
  <c r="AT11" i="23"/>
  <c r="O12" i="23"/>
  <c r="P12" i="23"/>
  <c r="V12" i="23"/>
  <c r="AC12" i="23"/>
  <c r="AT12" i="23"/>
  <c r="O13" i="23"/>
  <c r="P13" i="23"/>
  <c r="V13" i="23"/>
  <c r="AC13" i="23"/>
  <c r="AT13" i="23"/>
  <c r="O14" i="23"/>
  <c r="P14" i="23"/>
  <c r="V14" i="23"/>
  <c r="AC14" i="23"/>
  <c r="AT14" i="23"/>
  <c r="O15" i="23"/>
  <c r="P15" i="23"/>
  <c r="V15" i="23"/>
  <c r="AC15" i="23"/>
  <c r="AT15" i="23"/>
  <c r="O16" i="23"/>
  <c r="P16" i="23"/>
  <c r="V16" i="23"/>
  <c r="AC16" i="23"/>
  <c r="AT16" i="23"/>
  <c r="O17" i="23"/>
  <c r="P17" i="23"/>
  <c r="V17" i="23"/>
  <c r="AC17" i="23"/>
  <c r="AT17" i="23"/>
  <c r="O18" i="23"/>
  <c r="P18" i="23"/>
  <c r="V18" i="23"/>
  <c r="AC18" i="23"/>
  <c r="AT18" i="23"/>
  <c r="O19" i="23"/>
  <c r="P19" i="23"/>
  <c r="V19" i="23"/>
  <c r="AC19" i="23"/>
  <c r="AT19" i="23"/>
  <c r="O20" i="23"/>
  <c r="P20" i="23"/>
  <c r="V20" i="23"/>
  <c r="AC20" i="23"/>
  <c r="AT20" i="23"/>
  <c r="O21" i="23"/>
  <c r="P21" i="23"/>
  <c r="V21" i="23"/>
  <c r="AC21" i="23"/>
  <c r="AT21" i="23"/>
  <c r="AC22" i="23"/>
  <c r="AT22" i="23"/>
  <c r="AC23" i="23"/>
  <c r="AT23" i="23"/>
  <c r="O24" i="23"/>
  <c r="P24" i="23"/>
  <c r="V24" i="23"/>
  <c r="AC24" i="23"/>
  <c r="AT24" i="23"/>
  <c r="O25" i="23"/>
  <c r="P25" i="23"/>
  <c r="V25" i="23"/>
  <c r="AC25" i="23"/>
  <c r="AT25" i="23"/>
  <c r="O26" i="23"/>
  <c r="P26" i="23"/>
  <c r="V26" i="23"/>
  <c r="AC26" i="23"/>
  <c r="AT26" i="23"/>
  <c r="O27" i="23"/>
  <c r="P27" i="23"/>
  <c r="V27" i="23"/>
  <c r="AC27" i="23"/>
  <c r="AT27" i="23"/>
  <c r="AC28" i="23"/>
  <c r="AT28" i="23"/>
  <c r="AC29" i="23"/>
  <c r="AT29" i="23"/>
  <c r="AC30" i="23"/>
  <c r="AT30" i="23"/>
  <c r="AC31" i="23"/>
  <c r="AT31" i="23"/>
  <c r="AC32" i="23"/>
  <c r="AT32" i="23"/>
  <c r="AC33" i="23"/>
  <c r="AT33" i="23"/>
  <c r="AC34" i="23"/>
  <c r="AT34" i="23"/>
  <c r="AC35" i="23"/>
  <c r="AT35" i="23"/>
  <c r="AC36" i="23"/>
  <c r="AT36" i="23"/>
  <c r="AC37" i="23"/>
  <c r="AT37" i="23"/>
  <c r="AC38" i="23"/>
  <c r="AT38" i="23"/>
  <c r="AC39" i="23"/>
  <c r="AT39" i="23"/>
  <c r="AT41" i="23"/>
  <c r="W7" i="23"/>
  <c r="AD7" i="23"/>
  <c r="AU7" i="23"/>
  <c r="W8" i="23"/>
  <c r="AD8" i="23"/>
  <c r="AU8" i="23"/>
  <c r="W9" i="23"/>
  <c r="AD9" i="23"/>
  <c r="AU9" i="23"/>
  <c r="W10" i="23"/>
  <c r="AD10" i="23"/>
  <c r="AU10" i="23"/>
  <c r="W11" i="23"/>
  <c r="AD11" i="23"/>
  <c r="AU11" i="23"/>
  <c r="W12" i="23"/>
  <c r="AD12" i="23"/>
  <c r="AU12" i="23"/>
  <c r="W13" i="23"/>
  <c r="AD13" i="23"/>
  <c r="AU13" i="23"/>
  <c r="W14" i="23"/>
  <c r="AD14" i="23"/>
  <c r="AU14" i="23"/>
  <c r="W15" i="23"/>
  <c r="AD15" i="23"/>
  <c r="AU15" i="23"/>
  <c r="W16" i="23"/>
  <c r="AD16" i="23"/>
  <c r="AU16" i="23"/>
  <c r="W17" i="23"/>
  <c r="AD17" i="23"/>
  <c r="AU17" i="23"/>
  <c r="W18" i="23"/>
  <c r="AD18" i="23"/>
  <c r="AU18" i="23"/>
  <c r="W19" i="23"/>
  <c r="AD19" i="23"/>
  <c r="AU19" i="23"/>
  <c r="W20" i="23"/>
  <c r="AD20" i="23"/>
  <c r="AU20" i="23"/>
  <c r="W21" i="23"/>
  <c r="AD21" i="23"/>
  <c r="AU21" i="23"/>
  <c r="AD22" i="23"/>
  <c r="AU22" i="23"/>
  <c r="AD23" i="23"/>
  <c r="AU23" i="23"/>
  <c r="W24" i="23"/>
  <c r="AD24" i="23"/>
  <c r="AU24" i="23"/>
  <c r="W25" i="23"/>
  <c r="AD25" i="23"/>
  <c r="AU25" i="23"/>
  <c r="W26" i="23"/>
  <c r="AD26" i="23"/>
  <c r="AU26" i="23"/>
  <c r="W27" i="23"/>
  <c r="AD27" i="23"/>
  <c r="AU27" i="23"/>
  <c r="AD28" i="23"/>
  <c r="AU28" i="23"/>
  <c r="AD29" i="23"/>
  <c r="AU29" i="23"/>
  <c r="AD30" i="23"/>
  <c r="AU30" i="23"/>
  <c r="AD31" i="23"/>
  <c r="AU31" i="23"/>
  <c r="AD32" i="23"/>
  <c r="AU32" i="23"/>
  <c r="AD33" i="23"/>
  <c r="AU33" i="23"/>
  <c r="AD34" i="23"/>
  <c r="AU34" i="23"/>
  <c r="AD35" i="23"/>
  <c r="AU35" i="23"/>
  <c r="AD36" i="23"/>
  <c r="AU36" i="23"/>
  <c r="AD37" i="23"/>
  <c r="AU37" i="23"/>
  <c r="AD38" i="23"/>
  <c r="AU38" i="23"/>
  <c r="AD39" i="23"/>
  <c r="AU39" i="23"/>
  <c r="AU41" i="23"/>
  <c r="AQ40" i="23"/>
  <c r="AQ42" i="23"/>
  <c r="E49" i="25"/>
  <c r="K49" i="25"/>
  <c r="K51" i="25"/>
  <c r="AR42" i="23"/>
  <c r="G49" i="25"/>
  <c r="L49" i="25"/>
  <c r="G47" i="25"/>
  <c r="L47" i="25"/>
  <c r="G48" i="25"/>
  <c r="L48" i="25"/>
  <c r="L51" i="25"/>
  <c r="AS42" i="23"/>
  <c r="H49" i="25"/>
  <c r="M49" i="25"/>
  <c r="H47" i="25"/>
  <c r="M47" i="25"/>
  <c r="H48" i="25"/>
  <c r="M48" i="25"/>
  <c r="M51" i="25"/>
  <c r="AT42" i="23"/>
  <c r="I49" i="25"/>
  <c r="N49" i="25"/>
  <c r="I47" i="25"/>
  <c r="N47" i="25"/>
  <c r="I48" i="25"/>
  <c r="N48" i="25"/>
  <c r="N51" i="25"/>
  <c r="AU42" i="23"/>
  <c r="J49" i="25"/>
  <c r="O49" i="25"/>
  <c r="J47" i="25"/>
  <c r="O47" i="25"/>
  <c r="J48" i="25"/>
  <c r="O48" i="25"/>
  <c r="O51" i="25"/>
  <c r="K52" i="25"/>
  <c r="C87" i="22"/>
  <c r="C19" i="22"/>
  <c r="C88" i="22"/>
  <c r="C20" i="22"/>
  <c r="C89" i="22"/>
  <c r="C21" i="22"/>
  <c r="C90" i="22"/>
  <c r="C22" i="22"/>
  <c r="G70" i="25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49" i="19"/>
  <c r="H150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62" i="19"/>
  <c r="H63" i="19"/>
  <c r="H69" i="19"/>
  <c r="H70" i="19"/>
  <c r="H75" i="19"/>
  <c r="H76" i="19"/>
  <c r="H77" i="19"/>
  <c r="H78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9" i="19"/>
  <c r="H60" i="19"/>
  <c r="H61" i="19"/>
  <c r="H64" i="19"/>
  <c r="H65" i="19"/>
  <c r="H66" i="19"/>
  <c r="H67" i="19"/>
  <c r="H68" i="19"/>
  <c r="H71" i="19"/>
  <c r="H72" i="19"/>
  <c r="H158" i="19"/>
  <c r="H159" i="19"/>
  <c r="H160" i="19"/>
  <c r="H161" i="19"/>
  <c r="H162" i="19"/>
  <c r="H163" i="19"/>
  <c r="H153" i="19"/>
  <c r="H154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F75" i="25"/>
  <c r="O8" i="22"/>
  <c r="H8" i="22"/>
  <c r="F17" i="24"/>
  <c r="L52" i="25"/>
  <c r="G75" i="25"/>
  <c r="O7" i="22"/>
  <c r="H7" i="22"/>
  <c r="E17" i="24"/>
  <c r="M52" i="25"/>
  <c r="H75" i="25"/>
  <c r="H6" i="22"/>
  <c r="D17" i="24"/>
  <c r="N52" i="25"/>
  <c r="C17" i="24"/>
  <c r="O52" i="25"/>
  <c r="I75" i="25"/>
  <c r="P68" i="25"/>
  <c r="J75" i="25"/>
  <c r="B6" i="29"/>
  <c r="B7" i="29"/>
  <c r="E41" i="19"/>
  <c r="H41" i="19"/>
  <c r="G41" i="19"/>
  <c r="I41" i="19"/>
  <c r="E57" i="19"/>
  <c r="H57" i="19"/>
  <c r="G57" i="19"/>
  <c r="I57" i="19"/>
  <c r="E58" i="19"/>
  <c r="H58" i="19"/>
  <c r="G58" i="19"/>
  <c r="I58" i="19"/>
  <c r="B8" i="29"/>
  <c r="B10" i="29"/>
  <c r="B11" i="29"/>
  <c r="B12" i="29"/>
  <c r="B13" i="29"/>
  <c r="B15" i="29"/>
  <c r="B5" i="22"/>
  <c r="A1" i="26"/>
  <c r="A1" i="25"/>
  <c r="A1" i="23"/>
  <c r="B23" i="29"/>
  <c r="B22" i="29"/>
  <c r="B21" i="29"/>
  <c r="B20" i="29"/>
  <c r="Z47" i="23"/>
  <c r="Z48" i="23"/>
  <c r="Z49" i="23"/>
  <c r="F10" i="26"/>
  <c r="G29" i="29"/>
  <c r="C44" i="29"/>
  <c r="I29" i="29"/>
  <c r="E42" i="29"/>
  <c r="AC47" i="23"/>
  <c r="AC48" i="23"/>
  <c r="AC49" i="23"/>
  <c r="C10" i="26"/>
  <c r="AA47" i="23"/>
  <c r="AA48" i="23"/>
  <c r="AA49" i="23"/>
  <c r="E10" i="26"/>
  <c r="A1" i="29"/>
  <c r="H29" i="29"/>
  <c r="F29" i="29"/>
  <c r="E29" i="29"/>
  <c r="AB47" i="23"/>
  <c r="AB48" i="23"/>
  <c r="AB49" i="23"/>
  <c r="D10" i="26"/>
  <c r="D29" i="29"/>
  <c r="C29" i="29"/>
  <c r="AD47" i="23"/>
  <c r="AD48" i="23"/>
  <c r="AD49" i="23"/>
  <c r="B10" i="26"/>
  <c r="B29" i="29"/>
  <c r="D7" i="23"/>
  <c r="F8" i="26"/>
  <c r="E8" i="26"/>
  <c r="D8" i="26"/>
  <c r="C8" i="26"/>
  <c r="B8" i="26"/>
  <c r="F7" i="26"/>
  <c r="E7" i="26"/>
  <c r="D7" i="26"/>
  <c r="C7" i="26"/>
  <c r="B7" i="26"/>
  <c r="F6" i="26"/>
  <c r="E6" i="26"/>
  <c r="D6" i="26"/>
  <c r="C6" i="26"/>
  <c r="B6" i="26"/>
  <c r="F5" i="26"/>
  <c r="E5" i="26"/>
  <c r="D5" i="26"/>
  <c r="C5" i="26"/>
  <c r="B5" i="26"/>
  <c r="D75" i="25"/>
  <c r="G61" i="25"/>
  <c r="G62" i="25"/>
  <c r="G63" i="25"/>
  <c r="G64" i="25"/>
  <c r="G65" i="25"/>
  <c r="G66" i="25"/>
  <c r="C48" i="25"/>
  <c r="C49" i="25"/>
  <c r="C51" i="25"/>
  <c r="O37" i="25"/>
  <c r="O38" i="25"/>
  <c r="P37" i="25"/>
  <c r="P38" i="25"/>
  <c r="Q37" i="25"/>
  <c r="Q38" i="25"/>
  <c r="R37" i="25"/>
  <c r="R38" i="25"/>
  <c r="S37" i="25"/>
  <c r="S38" i="25"/>
  <c r="S39" i="25"/>
  <c r="O29" i="25"/>
  <c r="P29" i="25"/>
  <c r="Q29" i="25"/>
  <c r="R29" i="25"/>
  <c r="S30" i="25"/>
  <c r="R30" i="25"/>
  <c r="Q30" i="25"/>
  <c r="P30" i="25"/>
  <c r="I30" i="25"/>
  <c r="H30" i="25"/>
  <c r="G30" i="25"/>
  <c r="E30" i="25"/>
  <c r="D30" i="25"/>
  <c r="S29" i="25"/>
  <c r="I29" i="25"/>
  <c r="H29" i="25"/>
  <c r="G29" i="25"/>
  <c r="E29" i="25"/>
  <c r="D29" i="25"/>
  <c r="I28" i="25"/>
  <c r="H28" i="25"/>
  <c r="G28" i="25"/>
  <c r="E28" i="25"/>
  <c r="D28" i="25"/>
  <c r="S26" i="25"/>
  <c r="S25" i="25"/>
  <c r="R25" i="25"/>
  <c r="Q25" i="25"/>
  <c r="P25" i="25"/>
  <c r="O25" i="25"/>
  <c r="S24" i="25"/>
  <c r="R24" i="25"/>
  <c r="Q24" i="25"/>
  <c r="P24" i="25"/>
  <c r="O24" i="25"/>
  <c r="S23" i="25"/>
  <c r="R23" i="25"/>
  <c r="Q23" i="25"/>
  <c r="P23" i="25"/>
  <c r="S17" i="25"/>
  <c r="R17" i="25"/>
  <c r="Q17" i="25"/>
  <c r="P17" i="25"/>
  <c r="O17" i="25"/>
  <c r="S14" i="25"/>
  <c r="P14" i="25"/>
  <c r="S13" i="25"/>
  <c r="Q13" i="25"/>
  <c r="O13" i="25"/>
  <c r="F13" i="25"/>
  <c r="S12" i="25"/>
  <c r="R12" i="25"/>
  <c r="Q12" i="25"/>
  <c r="P12" i="25"/>
  <c r="O12" i="25"/>
  <c r="S10" i="25"/>
  <c r="R10" i="25"/>
  <c r="Q10" i="25"/>
  <c r="P10" i="25"/>
  <c r="O10" i="25"/>
  <c r="S9" i="25"/>
  <c r="R9" i="25"/>
  <c r="Q9" i="25"/>
  <c r="P9" i="25"/>
  <c r="O9" i="25"/>
  <c r="H27" i="24"/>
  <c r="H26" i="24"/>
  <c r="H25" i="24"/>
  <c r="H22" i="24"/>
  <c r="H21" i="24"/>
  <c r="D20" i="24"/>
  <c r="F20" i="24"/>
  <c r="G20" i="24"/>
  <c r="H20" i="24"/>
  <c r="D19" i="24"/>
  <c r="F19" i="24"/>
  <c r="G19" i="24"/>
  <c r="H19" i="24"/>
  <c r="H18" i="24"/>
  <c r="A1" i="24"/>
  <c r="AD50" i="23"/>
  <c r="AC50" i="23"/>
  <c r="AB50" i="23"/>
  <c r="AA50" i="23"/>
  <c r="Z50" i="23"/>
  <c r="AD41" i="23"/>
  <c r="Z41" i="23"/>
  <c r="AA41" i="23"/>
  <c r="AB41" i="23"/>
  <c r="AC41" i="23"/>
  <c r="Z40" i="23"/>
  <c r="AD42" i="23"/>
  <c r="AC42" i="23"/>
  <c r="AB42" i="23"/>
  <c r="AA42" i="23"/>
  <c r="Z42" i="23"/>
  <c r="AN7" i="23"/>
  <c r="AN8" i="23"/>
  <c r="AN9" i="23"/>
  <c r="AN10" i="23"/>
  <c r="AN11" i="23"/>
  <c r="AN12" i="23"/>
  <c r="AN13" i="23"/>
  <c r="AN14" i="23"/>
  <c r="AN15" i="23"/>
  <c r="AN16" i="23"/>
  <c r="AN17" i="23"/>
  <c r="AN18" i="23"/>
  <c r="AN19" i="23"/>
  <c r="AN20" i="23"/>
  <c r="AN21" i="23"/>
  <c r="D22" i="23"/>
  <c r="AN22" i="23"/>
  <c r="D23" i="23"/>
  <c r="AN23" i="23"/>
  <c r="AN24" i="23"/>
  <c r="AN25" i="23"/>
  <c r="AN26" i="23"/>
  <c r="AN27" i="23"/>
  <c r="D28" i="23"/>
  <c r="AN28" i="23"/>
  <c r="D29" i="23"/>
  <c r="AN29" i="23"/>
  <c r="D30" i="23"/>
  <c r="AN30" i="23"/>
  <c r="D31" i="23"/>
  <c r="AN31" i="23"/>
  <c r="D32" i="23"/>
  <c r="AN32" i="23"/>
  <c r="D33" i="23"/>
  <c r="AN33" i="23"/>
  <c r="D34" i="23"/>
  <c r="AN34" i="23"/>
  <c r="D35" i="23"/>
  <c r="AN35" i="23"/>
  <c r="D36" i="23"/>
  <c r="AN36" i="23"/>
  <c r="AN37" i="23"/>
  <c r="D38" i="23"/>
  <c r="AN38" i="23"/>
  <c r="D39" i="23"/>
  <c r="AN39" i="23"/>
  <c r="AN40" i="23"/>
  <c r="AM7" i="23"/>
  <c r="AM8" i="23"/>
  <c r="AM9" i="23"/>
  <c r="AM10" i="23"/>
  <c r="AM11" i="23"/>
  <c r="AM12" i="23"/>
  <c r="AM13" i="23"/>
  <c r="AM14" i="23"/>
  <c r="AM15" i="23"/>
  <c r="AM16" i="23"/>
  <c r="AM17" i="23"/>
  <c r="AM18" i="23"/>
  <c r="AM19" i="23"/>
  <c r="AM20" i="23"/>
  <c r="AM21" i="23"/>
  <c r="AM22" i="23"/>
  <c r="AM23" i="23"/>
  <c r="AM24" i="23"/>
  <c r="AM25" i="23"/>
  <c r="AM26" i="23"/>
  <c r="AM27" i="23"/>
  <c r="AM28" i="23"/>
  <c r="AM29" i="23"/>
  <c r="AM30" i="23"/>
  <c r="AM31" i="23"/>
  <c r="AM32" i="23"/>
  <c r="AM33" i="23"/>
  <c r="AM34" i="23"/>
  <c r="AM35" i="23"/>
  <c r="AM36" i="23"/>
  <c r="AM37" i="23"/>
  <c r="AM38" i="23"/>
  <c r="AM39" i="23"/>
  <c r="AM40" i="23"/>
  <c r="I22" i="23"/>
  <c r="O22" i="23"/>
  <c r="V22" i="23"/>
  <c r="I23" i="23"/>
  <c r="O23" i="23"/>
  <c r="V23" i="23"/>
  <c r="I28" i="23"/>
  <c r="O28" i="23"/>
  <c r="V28" i="23"/>
  <c r="I29" i="23"/>
  <c r="O29" i="23"/>
  <c r="V29" i="23"/>
  <c r="I30" i="23"/>
  <c r="O30" i="23"/>
  <c r="V30" i="23"/>
  <c r="I31" i="23"/>
  <c r="O31" i="23"/>
  <c r="V31" i="23"/>
  <c r="I32" i="23"/>
  <c r="O32" i="23"/>
  <c r="V32" i="23"/>
  <c r="I33" i="23"/>
  <c r="O33" i="23"/>
  <c r="V33" i="23"/>
  <c r="I34" i="23"/>
  <c r="O34" i="23"/>
  <c r="V34" i="23"/>
  <c r="I35" i="23"/>
  <c r="O35" i="23"/>
  <c r="V35" i="23"/>
  <c r="I36" i="23"/>
  <c r="O36" i="23"/>
  <c r="V36" i="23"/>
  <c r="O37" i="23"/>
  <c r="V37" i="23"/>
  <c r="I38" i="23"/>
  <c r="O38" i="23"/>
  <c r="V38" i="23"/>
  <c r="I39" i="23"/>
  <c r="O39" i="23"/>
  <c r="V39" i="23"/>
  <c r="V40" i="23"/>
  <c r="N22" i="23"/>
  <c r="U22" i="23"/>
  <c r="N23" i="23"/>
  <c r="U23" i="23"/>
  <c r="N28" i="23"/>
  <c r="U28" i="23"/>
  <c r="N29" i="23"/>
  <c r="U29" i="23"/>
  <c r="N30" i="23"/>
  <c r="U30" i="23"/>
  <c r="N31" i="23"/>
  <c r="U31" i="23"/>
  <c r="N32" i="23"/>
  <c r="U32" i="23"/>
  <c r="N33" i="23"/>
  <c r="U33" i="23"/>
  <c r="N34" i="23"/>
  <c r="U34" i="23"/>
  <c r="N35" i="23"/>
  <c r="U35" i="23"/>
  <c r="N36" i="23"/>
  <c r="U36" i="23"/>
  <c r="N37" i="23"/>
  <c r="U37" i="23"/>
  <c r="N38" i="23"/>
  <c r="U38" i="23"/>
  <c r="N39" i="23"/>
  <c r="U39" i="23"/>
  <c r="U40" i="23"/>
  <c r="M22" i="23"/>
  <c r="T22" i="23"/>
  <c r="M23" i="23"/>
  <c r="T23" i="23"/>
  <c r="M28" i="23"/>
  <c r="T28" i="23"/>
  <c r="M29" i="23"/>
  <c r="T29" i="23"/>
  <c r="M30" i="23"/>
  <c r="T30" i="23"/>
  <c r="M31" i="23"/>
  <c r="T31" i="23"/>
  <c r="M32" i="23"/>
  <c r="T32" i="23"/>
  <c r="M33" i="23"/>
  <c r="T33" i="23"/>
  <c r="M34" i="23"/>
  <c r="T34" i="23"/>
  <c r="M35" i="23"/>
  <c r="T35" i="23"/>
  <c r="M36" i="23"/>
  <c r="T36" i="23"/>
  <c r="M37" i="23"/>
  <c r="T37" i="23"/>
  <c r="M38" i="23"/>
  <c r="T38" i="23"/>
  <c r="M39" i="23"/>
  <c r="T39" i="23"/>
  <c r="T40" i="23"/>
  <c r="L22" i="23"/>
  <c r="S22" i="23"/>
  <c r="L23" i="23"/>
  <c r="S23" i="23"/>
  <c r="L28" i="23"/>
  <c r="S28" i="23"/>
  <c r="L29" i="23"/>
  <c r="S29" i="23"/>
  <c r="L30" i="23"/>
  <c r="S30" i="23"/>
  <c r="L31" i="23"/>
  <c r="S31" i="23"/>
  <c r="L32" i="23"/>
  <c r="S32" i="23"/>
  <c r="L33" i="23"/>
  <c r="S33" i="23"/>
  <c r="L34" i="23"/>
  <c r="S34" i="23"/>
  <c r="L35" i="23"/>
  <c r="S35" i="23"/>
  <c r="L36" i="23"/>
  <c r="S36" i="23"/>
  <c r="L37" i="23"/>
  <c r="S37" i="23"/>
  <c r="L38" i="23"/>
  <c r="S38" i="23"/>
  <c r="L39" i="23"/>
  <c r="S39" i="23"/>
  <c r="S40" i="23"/>
  <c r="D40" i="23"/>
  <c r="E40" i="23"/>
  <c r="F40" i="23"/>
  <c r="G40" i="23"/>
  <c r="H40" i="23"/>
  <c r="I40" i="23"/>
  <c r="P39" i="23"/>
  <c r="W39" i="23"/>
  <c r="P38" i="23"/>
  <c r="W38" i="23"/>
  <c r="P37" i="23"/>
  <c r="W37" i="23"/>
  <c r="P36" i="23"/>
  <c r="W36" i="23"/>
  <c r="P35" i="23"/>
  <c r="W35" i="23"/>
  <c r="P34" i="23"/>
  <c r="W34" i="23"/>
  <c r="P33" i="23"/>
  <c r="W33" i="23"/>
  <c r="P32" i="23"/>
  <c r="W32" i="23"/>
  <c r="P31" i="23"/>
  <c r="W31" i="23"/>
  <c r="P30" i="23"/>
  <c r="W30" i="23"/>
  <c r="P29" i="23"/>
  <c r="W29" i="23"/>
  <c r="P28" i="23"/>
  <c r="W28" i="23"/>
  <c r="P23" i="23"/>
  <c r="W23" i="23"/>
  <c r="P22" i="23"/>
  <c r="W22" i="23"/>
  <c r="C79" i="22"/>
  <c r="C78" i="22"/>
  <c r="C77" i="22"/>
  <c r="C76" i="22"/>
  <c r="C75" i="22"/>
  <c r="C69" i="22"/>
  <c r="C68" i="22"/>
  <c r="C67" i="22"/>
  <c r="C66" i="22"/>
  <c r="I53" i="22"/>
  <c r="I49" i="22"/>
  <c r="I50" i="22"/>
  <c r="I51" i="22"/>
  <c r="I52" i="22"/>
  <c r="J53" i="22"/>
  <c r="J52" i="22"/>
  <c r="J51" i="22"/>
  <c r="J50" i="22"/>
  <c r="J49" i="22"/>
  <c r="F31" i="22"/>
  <c r="C31" i="22"/>
  <c r="F30" i="22"/>
  <c r="C30" i="22"/>
  <c r="F29" i="22"/>
  <c r="C29" i="22"/>
  <c r="F28" i="22"/>
  <c r="C28" i="22"/>
  <c r="I22" i="22"/>
  <c r="I21" i="22"/>
  <c r="I20" i="22"/>
  <c r="F20" i="22"/>
  <c r="I19" i="22"/>
  <c r="F19" i="22"/>
  <c r="A1" i="22"/>
  <c r="B8" i="21"/>
  <c r="B5" i="21"/>
  <c r="B6" i="21"/>
  <c r="B7" i="21"/>
  <c r="F14" i="21"/>
  <c r="E14" i="21"/>
  <c r="F13" i="21"/>
  <c r="E13" i="21"/>
  <c r="D13" i="21"/>
  <c r="A1" i="21"/>
  <c r="H11" i="20"/>
  <c r="A1" i="20"/>
  <c r="E157" i="19"/>
  <c r="H157" i="19"/>
  <c r="G157" i="19"/>
  <c r="I157" i="19"/>
  <c r="E156" i="19"/>
  <c r="H156" i="19"/>
  <c r="G156" i="19"/>
  <c r="I156" i="19"/>
  <c r="E155" i="19"/>
  <c r="H155" i="19"/>
  <c r="G155" i="19"/>
  <c r="I155" i="19"/>
  <c r="E152" i="19"/>
  <c r="H152" i="19"/>
  <c r="G152" i="19"/>
  <c r="I152" i="19"/>
  <c r="E151" i="19"/>
  <c r="H151" i="19"/>
  <c r="G151" i="19"/>
  <c r="I151" i="19"/>
  <c r="E148" i="19"/>
  <c r="H148" i="19"/>
  <c r="G148" i="19"/>
  <c r="I148" i="19"/>
  <c r="E147" i="19"/>
  <c r="H147" i="19"/>
  <c r="G147" i="19"/>
  <c r="I147" i="19"/>
  <c r="E80" i="19"/>
  <c r="H80" i="19"/>
  <c r="G80" i="19"/>
  <c r="I80" i="19"/>
  <c r="E79" i="19"/>
  <c r="H79" i="19"/>
  <c r="G79" i="19"/>
  <c r="I79" i="19"/>
  <c r="E74" i="19"/>
  <c r="H74" i="19"/>
  <c r="G74" i="19"/>
  <c r="I74" i="19"/>
  <c r="E73" i="19"/>
  <c r="H73" i="19"/>
  <c r="G73" i="19"/>
  <c r="I73" i="19"/>
  <c r="E40" i="19"/>
  <c r="H40" i="19"/>
  <c r="G40" i="19"/>
  <c r="I40" i="19"/>
  <c r="A1" i="2"/>
  <c r="A1" i="1"/>
  <c r="B22" i="21"/>
  <c r="B23" i="21"/>
  <c r="F22" i="21"/>
  <c r="F23" i="21"/>
  <c r="E22" i="21"/>
  <c r="E23" i="21"/>
  <c r="P75" i="25"/>
  <c r="P77" i="25"/>
  <c r="L75" i="25"/>
  <c r="L77" i="25"/>
  <c r="D22" i="21"/>
  <c r="D23" i="21"/>
  <c r="M75" i="25"/>
  <c r="M77" i="25"/>
  <c r="C22" i="21"/>
  <c r="C23" i="21"/>
  <c r="N75" i="25"/>
  <c r="N77" i="25"/>
  <c r="O75" i="25"/>
  <c r="O77" i="25"/>
  <c r="R77" i="25"/>
  <c r="P81" i="25"/>
  <c r="G9" i="26"/>
  <c r="L81" i="25"/>
  <c r="S81" i="25"/>
  <c r="M81" i="25"/>
  <c r="N81" i="25"/>
  <c r="O81" i="25"/>
  <c r="R81" i="25"/>
  <c r="BA7" i="23"/>
  <c r="BA8" i="23"/>
  <c r="BA9" i="23"/>
  <c r="BA10" i="23"/>
  <c r="BA11" i="23"/>
  <c r="BA12" i="23"/>
  <c r="BA13" i="23"/>
  <c r="BA14" i="23"/>
  <c r="BA15" i="23"/>
  <c r="BA16" i="23"/>
  <c r="BA17" i="23"/>
  <c r="BA18" i="23"/>
  <c r="BA19" i="23"/>
  <c r="BA20" i="23"/>
  <c r="BA21" i="23"/>
  <c r="BA22" i="23"/>
  <c r="BA23" i="23"/>
  <c r="BA24" i="23"/>
  <c r="BA25" i="23"/>
  <c r="BA26" i="23"/>
  <c r="BA27" i="23"/>
  <c r="BA28" i="23"/>
  <c r="BA29" i="23"/>
  <c r="BA30" i="23"/>
  <c r="BA31" i="23"/>
  <c r="BA32" i="23"/>
  <c r="BA33" i="23"/>
  <c r="BA34" i="23"/>
  <c r="BA35" i="23"/>
  <c r="BA36" i="23"/>
  <c r="BA37" i="23"/>
  <c r="BA38" i="23"/>
  <c r="BA39" i="23"/>
  <c r="BA41" i="23"/>
  <c r="AX7" i="23"/>
  <c r="AX8" i="23"/>
  <c r="AX9" i="23"/>
  <c r="AX10" i="23"/>
  <c r="AX11" i="23"/>
  <c r="AX12" i="23"/>
  <c r="AX13" i="23"/>
  <c r="AX14" i="23"/>
  <c r="AX15" i="23"/>
  <c r="AX16" i="23"/>
  <c r="AX17" i="23"/>
  <c r="AX18" i="23"/>
  <c r="AX19" i="23"/>
  <c r="AX20" i="23"/>
  <c r="AX21" i="23"/>
  <c r="AX22" i="23"/>
  <c r="AX23" i="23"/>
  <c r="AX24" i="23"/>
  <c r="AX25" i="23"/>
  <c r="AX26" i="23"/>
  <c r="AX27" i="23"/>
  <c r="AX28" i="23"/>
  <c r="AX29" i="23"/>
  <c r="AX30" i="23"/>
  <c r="AX31" i="23"/>
  <c r="AX32" i="23"/>
  <c r="AX33" i="23"/>
  <c r="AX34" i="23"/>
  <c r="AX35" i="23"/>
  <c r="AX36" i="23"/>
  <c r="AX37" i="23"/>
  <c r="AX38" i="23"/>
  <c r="AX39" i="23"/>
  <c r="AX41" i="23"/>
  <c r="AY7" i="23"/>
  <c r="AY8" i="23"/>
  <c r="AY9" i="23"/>
  <c r="AY10" i="23"/>
  <c r="AY11" i="23"/>
  <c r="AY12" i="23"/>
  <c r="AY13" i="23"/>
  <c r="AY14" i="23"/>
  <c r="AY15" i="23"/>
  <c r="AY16" i="23"/>
  <c r="AY17" i="23"/>
  <c r="AY18" i="23"/>
  <c r="AY19" i="23"/>
  <c r="AY20" i="23"/>
  <c r="AY21" i="23"/>
  <c r="AY22" i="23"/>
  <c r="AY23" i="23"/>
  <c r="AY24" i="23"/>
  <c r="AY25" i="23"/>
  <c r="AY26" i="23"/>
  <c r="AY27" i="23"/>
  <c r="AY28" i="23"/>
  <c r="AY29" i="23"/>
  <c r="AY30" i="23"/>
  <c r="AY31" i="23"/>
  <c r="AY32" i="23"/>
  <c r="AY33" i="23"/>
  <c r="AY34" i="23"/>
  <c r="AY35" i="23"/>
  <c r="AY36" i="23"/>
  <c r="AY37" i="23"/>
  <c r="AY38" i="23"/>
  <c r="AY39" i="23"/>
  <c r="AY41" i="23"/>
  <c r="AZ7" i="23"/>
  <c r="AZ8" i="23"/>
  <c r="AZ9" i="23"/>
  <c r="AZ10" i="23"/>
  <c r="AZ11" i="23"/>
  <c r="AZ12" i="23"/>
  <c r="AZ13" i="23"/>
  <c r="AZ14" i="23"/>
  <c r="AZ15" i="23"/>
  <c r="AZ16" i="23"/>
  <c r="AZ17" i="23"/>
  <c r="AZ18" i="23"/>
  <c r="AZ19" i="23"/>
  <c r="AZ20" i="23"/>
  <c r="AZ21" i="23"/>
  <c r="AZ22" i="23"/>
  <c r="AZ23" i="23"/>
  <c r="AZ24" i="23"/>
  <c r="AZ25" i="23"/>
  <c r="AZ26" i="23"/>
  <c r="AZ27" i="23"/>
  <c r="AZ28" i="23"/>
  <c r="AZ29" i="23"/>
  <c r="AZ30" i="23"/>
  <c r="AZ31" i="23"/>
  <c r="AZ32" i="23"/>
  <c r="AZ33" i="23"/>
  <c r="AZ34" i="23"/>
  <c r="AZ35" i="23"/>
  <c r="AZ36" i="23"/>
  <c r="AZ37" i="23"/>
  <c r="AZ38" i="23"/>
  <c r="AZ39" i="23"/>
  <c r="AZ41" i="23"/>
  <c r="AX40" i="23"/>
  <c r="BA42" i="23"/>
  <c r="AZ42" i="23"/>
  <c r="AY42" i="23"/>
  <c r="AX42" i="23"/>
  <c r="AJ7" i="23"/>
  <c r="AJ8" i="23"/>
  <c r="AJ9" i="23"/>
  <c r="AJ10" i="23"/>
  <c r="AJ11" i="23"/>
  <c r="AJ12" i="23"/>
  <c r="AJ13" i="23"/>
  <c r="AJ14" i="23"/>
  <c r="AJ15" i="23"/>
  <c r="AJ16" i="23"/>
  <c r="AJ17" i="23"/>
  <c r="AJ18" i="23"/>
  <c r="AJ19" i="23"/>
  <c r="AJ20" i="23"/>
  <c r="AJ21" i="23"/>
  <c r="AJ22" i="23"/>
  <c r="AJ23" i="23"/>
  <c r="AJ24" i="23"/>
  <c r="AJ25" i="23"/>
  <c r="AJ26" i="23"/>
  <c r="AJ27" i="23"/>
  <c r="AJ28" i="23"/>
  <c r="AJ29" i="23"/>
  <c r="AJ30" i="23"/>
  <c r="AJ31" i="23"/>
  <c r="AJ32" i="23"/>
  <c r="AJ33" i="23"/>
  <c r="AJ34" i="23"/>
  <c r="AJ35" i="23"/>
  <c r="AJ36" i="23"/>
  <c r="AJ37" i="23"/>
  <c r="AJ38" i="23"/>
  <c r="AJ39" i="23"/>
  <c r="AJ41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21" i="23"/>
  <c r="AG22" i="23"/>
  <c r="AG23" i="23"/>
  <c r="AG24" i="23"/>
  <c r="AG25" i="23"/>
  <c r="AG26" i="23"/>
  <c r="AG27" i="23"/>
  <c r="AG28" i="23"/>
  <c r="AG29" i="23"/>
  <c r="AG30" i="23"/>
  <c r="AG31" i="23"/>
  <c r="AG32" i="23"/>
  <c r="AG33" i="23"/>
  <c r="AG34" i="23"/>
  <c r="AG35" i="23"/>
  <c r="AG36" i="23"/>
  <c r="AG37" i="23"/>
  <c r="AG38" i="23"/>
  <c r="AG39" i="23"/>
  <c r="AG41" i="23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AH30" i="23"/>
  <c r="AH31" i="23"/>
  <c r="AH32" i="23"/>
  <c r="AH33" i="23"/>
  <c r="AH34" i="23"/>
  <c r="AH35" i="23"/>
  <c r="AH36" i="23"/>
  <c r="AH37" i="23"/>
  <c r="AH38" i="23"/>
  <c r="AH39" i="23"/>
  <c r="AH41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3"/>
  <c r="AI29" i="23"/>
  <c r="AI30" i="23"/>
  <c r="AI31" i="23"/>
  <c r="AI32" i="23"/>
  <c r="AI33" i="23"/>
  <c r="AI34" i="23"/>
  <c r="AI35" i="23"/>
  <c r="AI36" i="23"/>
  <c r="AI37" i="23"/>
  <c r="AI38" i="23"/>
  <c r="AI39" i="23"/>
  <c r="AI41" i="23"/>
  <c r="AG40" i="23"/>
  <c r="AJ42" i="23"/>
  <c r="AI42" i="23"/>
  <c r="AH42" i="23"/>
  <c r="AG42" i="23"/>
  <c r="B9" i="26"/>
  <c r="B28" i="29"/>
  <c r="D9" i="26"/>
  <c r="D28" i="29"/>
  <c r="E9" i="26"/>
  <c r="E28" i="29"/>
  <c r="F9" i="26"/>
  <c r="F28" i="29"/>
  <c r="G28" i="29"/>
  <c r="H28" i="29"/>
  <c r="I28" i="29"/>
  <c r="C9" i="26"/>
  <c r="C28" i="29"/>
  <c r="E50" i="29"/>
  <c r="E59" i="29"/>
  <c r="B51" i="29"/>
  <c r="B60" i="29"/>
  <c r="C51" i="29"/>
  <c r="C60" i="29"/>
  <c r="D51" i="29"/>
  <c r="D60" i="29"/>
  <c r="E51" i="29"/>
  <c r="E60" i="29"/>
  <c r="B52" i="29"/>
  <c r="B61" i="29"/>
  <c r="C52" i="29"/>
  <c r="C61" i="29"/>
  <c r="D52" i="29"/>
  <c r="D61" i="29"/>
  <c r="E52" i="29"/>
  <c r="E61" i="29"/>
  <c r="B53" i="29"/>
  <c r="B62" i="29"/>
  <c r="C53" i="29"/>
  <c r="C62" i="29"/>
  <c r="D53" i="29"/>
  <c r="D62" i="29"/>
  <c r="E53" i="29"/>
  <c r="E62" i="29"/>
  <c r="B54" i="29"/>
  <c r="B63" i="29"/>
  <c r="C54" i="29"/>
  <c r="C63" i="29"/>
  <c r="D54" i="29"/>
  <c r="D63" i="29"/>
  <c r="E54" i="29"/>
  <c r="E63" i="29"/>
  <c r="D50" i="29"/>
  <c r="D59" i="29"/>
  <c r="C50" i="29"/>
  <c r="C59" i="29"/>
  <c r="B50" i="29"/>
  <c r="B59" i="29"/>
</calcChain>
</file>

<file path=xl/sharedStrings.xml><?xml version="1.0" encoding="utf-8"?>
<sst xmlns="http://schemas.openxmlformats.org/spreadsheetml/2006/main" count="3798" uniqueCount="999">
  <si>
    <t>Description / instructions</t>
  </si>
  <si>
    <t>Inputs</t>
  </si>
  <si>
    <t>Enter input data in blue shaded areas</t>
  </si>
  <si>
    <t>Allowed revenue -DPCR4</t>
  </si>
  <si>
    <t>Use copy-paste to replace the entire contents of this sheet with your input data</t>
  </si>
  <si>
    <t>FBPQ T4</t>
  </si>
  <si>
    <t>FBPQ LR1</t>
  </si>
  <si>
    <t>FBPQ LR1 - V5 opt3</t>
  </si>
  <si>
    <t>FBPQ LR4</t>
  </si>
  <si>
    <t>FBPQ LR6</t>
  </si>
  <si>
    <t>FBPQ NL1</t>
  </si>
  <si>
    <t>NL9 - Legal &amp; Safety</t>
  </si>
  <si>
    <t>FBPQ C2</t>
  </si>
  <si>
    <t>Reductions to net capex</t>
  </si>
  <si>
    <t>RRP 1.3</t>
  </si>
  <si>
    <t>RRP 2.3</t>
  </si>
  <si>
    <t>RRP 2.4</t>
  </si>
  <si>
    <t>RRP 2.6</t>
  </si>
  <si>
    <t>RRP 5.1</t>
  </si>
  <si>
    <t>Summary of revenue</t>
  </si>
  <si>
    <t>Data-MEAV</t>
  </si>
  <si>
    <t>Calc-MEAV</t>
  </si>
  <si>
    <t>Do not change anything in this calculation sheet</t>
  </si>
  <si>
    <t>Calc-Units</t>
  </si>
  <si>
    <t>Calc-Net capex</t>
  </si>
  <si>
    <t>Calc-Drivers</t>
  </si>
  <si>
    <t>Company, charging year, data version</t>
  </si>
  <si>
    <t>Company</t>
  </si>
  <si>
    <t>Charging year</t>
  </si>
  <si>
    <t>Data version</t>
  </si>
  <si>
    <t>Choice of data source for connections-related capital expenditure</t>
  </si>
  <si>
    <t>'LR1 opt 3' is an extended version of LR1, which contains all information from LR1, but breaks down certain lines into more detail.</t>
  </si>
  <si>
    <t>You can use the buttons below to select a LR1 data source.</t>
  </si>
  <si>
    <t>Alternatively, use the cell below to make your selection, using the following coding: 1 for LR1, or 2 for LR1 opt 3.</t>
  </si>
  <si>
    <t>Discount rate used to convert between price control presentations</t>
  </si>
  <si>
    <t>Discount rate</t>
  </si>
  <si>
    <t>132kV/EHV</t>
  </si>
  <si>
    <t>EHV/HV</t>
  </si>
  <si>
    <t>HV/LV</t>
  </si>
  <si>
    <t>2004/05</t>
  </si>
  <si>
    <t>2005/6</t>
  </si>
  <si>
    <t>2006/7</t>
  </si>
  <si>
    <t>2007/8</t>
  </si>
  <si>
    <t>2008/9</t>
  </si>
  <si>
    <t>2009/10</t>
  </si>
  <si>
    <t>(£M)</t>
  </si>
  <si>
    <t>Opening asset value</t>
  </si>
  <si>
    <t xml:space="preserve"> </t>
  </si>
  <si>
    <t>Total capex</t>
  </si>
  <si>
    <t>Depreciation</t>
  </si>
  <si>
    <t>Closing asset value</t>
  </si>
  <si>
    <t>Present value of opening / closing RAV</t>
  </si>
  <si>
    <t>5 Year movement in closing RAV</t>
  </si>
  <si>
    <t>ALLOWED ITEMS</t>
  </si>
  <si>
    <t>Operating costs (excluding pensions)</t>
  </si>
  <si>
    <t>Capital expenditure (excluding pensions)</t>
  </si>
  <si>
    <t>Pensions allowance</t>
  </si>
  <si>
    <t>Tax allowance</t>
  </si>
  <si>
    <t>Capex incentive scheme</t>
  </si>
  <si>
    <t>Sliding scale additional income</t>
  </si>
  <si>
    <t>Opex incentive / Other adjustments</t>
  </si>
  <si>
    <t>Quality award</t>
  </si>
  <si>
    <t>DPCR3 costs</t>
  </si>
  <si>
    <t>Total allowed items</t>
  </si>
  <si>
    <t>Present value of allowed items</t>
  </si>
  <si>
    <t>5 year movement in closing RAV</t>
  </si>
  <si>
    <t>TOTAL PRESENT VALUE OVER 5 YEARS</t>
  </si>
  <si>
    <t>REVENUE</t>
  </si>
  <si>
    <t>Revenue index</t>
  </si>
  <si>
    <t>Discounted revenue index</t>
  </si>
  <si>
    <t>Price control revenue</t>
  </si>
  <si>
    <t>Excluded service revenue</t>
  </si>
  <si>
    <t>Total revenue</t>
  </si>
  <si>
    <t>Present value of total revenue</t>
  </si>
  <si>
    <t>Main Forecast Business Plan DPCR5</t>
  </si>
  <si>
    <t>T4 - Volume Summary</t>
  </si>
  <si>
    <t>Total Asset Register Movement</t>
  </si>
  <si>
    <t>Asset categories</t>
  </si>
  <si>
    <t>Opening Balance DCPR4</t>
  </si>
  <si>
    <t>2005/06</t>
  </si>
  <si>
    <t>2006/07</t>
  </si>
  <si>
    <t>2007/08</t>
  </si>
  <si>
    <t>2008/09</t>
  </si>
  <si>
    <t xml:space="preserve">Assets removed </t>
  </si>
  <si>
    <t>Assets Installed</t>
  </si>
  <si>
    <t>Closing Balance</t>
  </si>
  <si>
    <t>Closing Balance DPCR4</t>
  </si>
  <si>
    <t>LRE</t>
  </si>
  <si>
    <t>NLRE</t>
  </si>
  <si>
    <t>LV Network</t>
  </si>
  <si>
    <t>Overhead lines - Conductor</t>
  </si>
  <si>
    <t>LV Main (OHL)</t>
  </si>
  <si>
    <t>LV Service (OHL)</t>
  </si>
  <si>
    <t>Overhead lines - Support</t>
  </si>
  <si>
    <t>LV Support</t>
  </si>
  <si>
    <t>Underground cables</t>
  </si>
  <si>
    <t>LV Main (UG Consac)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</si>
  <si>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</si>
  <si>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</si>
  <si>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</si>
  <si>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</si>
  <si>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</si>
  <si>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</si>
  <si>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LV Board (WM)</t>
  </si>
  <si>
    <t>LV UGB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</si>
  <si>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</si>
  <si>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</si>
  <si>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</si>
  <si>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</si>
  <si>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</si>
  <si>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</si>
  <si>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20 kV OHL (Covered)</t>
  </si>
  <si>
    <t>6.6/11 kV Support</t>
  </si>
  <si>
    <t>20 kV Support</t>
  </si>
  <si>
    <t>Underground cables (kms)</t>
  </si>
  <si>
    <t>6.6/11kV UG Cable</t>
  </si>
  <si>
    <t>20kV UG Cable</t>
  </si>
  <si>
    <t>Submarine cables (kms)</t>
  </si>
  <si>
    <t>HV Sub Cable</t>
  </si>
  <si>
    <t>6.6/11 kV CB (PM)</t>
  </si>
  <si>
    <t>6.6/11 kV CB (GM)</t>
  </si>
  <si>
    <t>6.6/11 kV Switch (PM)</t>
  </si>
  <si>
    <t>6.6/11 kV Switch (GM)</t>
  </si>
  <si>
    <t>6.6/11 kV RMU</t>
  </si>
  <si>
    <t>6.6/11 kV Switchgear - Other (PM)</t>
  </si>
  <si>
    <t>6.6/11 kV Switchgear - Other (GM)</t>
  </si>
  <si>
    <t>20 kV CB (PM)</t>
  </si>
  <si>
    <t>20 kV CB (GM)</t>
  </si>
  <si>
    <t>20 kV Switch (PM)</t>
  </si>
  <si>
    <t>20 kV Switch (GM)</t>
  </si>
  <si>
    <t>20 kV RMU</t>
  </si>
  <si>
    <t>20 kV Switchgear - Other (PM)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</si>
  <si>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</si>
  <si>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</si>
  <si>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</si>
  <si>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</si>
  <si>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</si>
  <si>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</si>
  <si>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</si>
  <si>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</si>
  <si>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</si>
  <si>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</si>
  <si>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</si>
  <si>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</si>
  <si>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</si>
  <si>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</si>
  <si>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</si>
  <si>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33kV UG Cable (Non Pressurised)</t>
  </si>
  <si>
    <t>33kV UG Cable (Oil)</t>
  </si>
  <si>
    <t>33kV UG Cable (Gas)</t>
  </si>
  <si>
    <t>66kV UG Cable (Non Pressurised)</t>
  </si>
  <si>
    <t>66kV UG Cable (Oil)</t>
  </si>
  <si>
    <t>66kV UG Cable (Gas)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</si>
  <si>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</si>
  <si>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</si>
  <si>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</si>
  <si>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</si>
  <si>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</si>
  <si>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</si>
  <si>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</si>
  <si>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</si>
  <si>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</si>
  <si>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</si>
  <si>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</si>
  <si>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</si>
  <si>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</si>
  <si>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</si>
  <si>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</si>
  <si>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</si>
  <si>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</si>
  <si>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</si>
  <si>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</si>
  <si>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132kV Fittings (Tower Line)</t>
  </si>
  <si>
    <t>132kV UG Cable (Non Pressurised)</t>
  </si>
  <si>
    <t>132kV UG Cable (Oil)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</si>
  <si>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</si>
  <si>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</si>
  <si>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</si>
  <si>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</si>
  <si>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</si>
  <si>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</si>
  <si>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Tele-control / SCADA</t>
  </si>
  <si>
    <t>Primary substation</t>
  </si>
  <si>
    <t>132 kV/EHV RTU (PM)</t>
  </si>
  <si>
    <t>132 kV/EHV RTU (GM)</t>
  </si>
  <si>
    <t>Secondary substation</t>
  </si>
  <si>
    <t>HV RTU (PM)</t>
  </si>
  <si>
    <t>HV RTU (GM)</t>
  </si>
  <si>
    <t>LR1 - Demand</t>
  </si>
  <si>
    <t>Demand Totals</t>
  </si>
  <si>
    <t>Units</t>
  </si>
  <si>
    <t>DPCR4</t>
  </si>
  <si>
    <t>DPCR5</t>
  </si>
  <si>
    <t>2010/11</t>
  </si>
  <si>
    <t>2011/12</t>
  </si>
  <si>
    <t>2012/13</t>
  </si>
  <si>
    <t>2013/14</t>
  </si>
  <si>
    <t>2014/15</t>
  </si>
  <si>
    <t>Actuals</t>
  </si>
  <si>
    <t>Forecast</t>
  </si>
  <si>
    <t>Total</t>
  </si>
  <si>
    <t>% change</t>
  </si>
  <si>
    <t>Gross direct costs</t>
  </si>
  <si>
    <t>£m</t>
  </si>
  <si>
    <t>Customer contributions directs</t>
  </si>
  <si>
    <t>Net (gross directs - customer contributions directs)</t>
  </si>
  <si>
    <t>Customer contributions indirects</t>
  </si>
  <si>
    <t>Net (gross directs - customer contributions directs and indirects)</t>
  </si>
  <si>
    <t>Demand trends</t>
  </si>
  <si>
    <t>Estimated system maximum demand</t>
  </si>
  <si>
    <t>MW</t>
  </si>
  <si>
    <t>Incremental increase in max demand due to new connections</t>
  </si>
  <si>
    <t>Incremental reduction in max demand due to disconnections</t>
  </si>
  <si>
    <t>Net change in max demand (not due to connections/disconnections)</t>
  </si>
  <si>
    <t>Estimated units distributed</t>
  </si>
  <si>
    <t>GWh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</si>
  <si>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</si>
  <si>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</si>
  <si>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</si>
  <si>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Units distributed offset by DSM</t>
  </si>
  <si>
    <t xml:space="preserve">Price impact on units distributed </t>
  </si>
  <si>
    <t xml:space="preserve">Economic downturn effect on units distributed </t>
  </si>
  <si>
    <t>LV</t>
  </si>
  <si>
    <t>HV</t>
  </si>
  <si>
    <t>EHV (inc. 132kV)</t>
  </si>
  <si>
    <t>Total units distributed</t>
  </si>
  <si>
    <t>Incremental increase in units distributed attributable to new connections</t>
  </si>
  <si>
    <t>MWh</t>
  </si>
  <si>
    <t>Total increase in units distributed due to new connections</t>
  </si>
  <si>
    <t>Connections/disconnections volume</t>
  </si>
  <si>
    <t>Connections/Disconnections</t>
  </si>
  <si>
    <t>Estimated number demand connections/disconnections at LV</t>
  </si>
  <si>
    <t>IDNO connections</t>
  </si>
  <si>
    <t>#</t>
  </si>
  <si>
    <t>Connections (excluding IDNOs)</t>
  </si>
  <si>
    <t>Disconnections</t>
  </si>
  <si>
    <t>Estimated number demand connections/disconnections at HV</t>
  </si>
  <si>
    <t>Estimated number demand connections/disconnections at EHV</t>
  </si>
  <si>
    <t>Estimated number demand connections/disconnections at 132kV</t>
  </si>
  <si>
    <t>Total number of demand connections</t>
  </si>
  <si>
    <t>Total number of demand disconnections</t>
  </si>
  <si>
    <t>Customer specific demand investment</t>
  </si>
  <si>
    <t>New connections &amp; customer specific reinforcement:</t>
  </si>
  <si>
    <t>Connections provided at LV</t>
  </si>
  <si>
    <t>Sole use</t>
  </si>
  <si>
    <t>Shared</t>
  </si>
  <si>
    <t>LV total</t>
  </si>
  <si>
    <t>Connections provided at HV</t>
  </si>
  <si>
    <t>HV total</t>
  </si>
  <si>
    <t>Connections provided at EHV</t>
  </si>
  <si>
    <t>EHV total</t>
  </si>
  <si>
    <t>Connections provided at 132kV</t>
  </si>
  <si>
    <t>132kV total</t>
  </si>
  <si>
    <t>Expenditure on DSM to avoid customer spec investment</t>
  </si>
  <si>
    <t>Total inc. expenditure on DSM to avoid customer spec investment</t>
  </si>
  <si>
    <t>Expenditure avoided due to DG</t>
  </si>
  <si>
    <t>Expenditure avoided due to DSM</t>
  </si>
  <si>
    <t>Customer contributions - customer specific demand investment</t>
  </si>
  <si>
    <t>Customer contributions (directs) for connections at LV</t>
  </si>
  <si>
    <t xml:space="preserve">Shared </t>
  </si>
  <si>
    <t>Customer contributions (directs) for connections at HV</t>
  </si>
  <si>
    <t>Customer contributions (directs) for connections at EHV</t>
  </si>
  <si>
    <t>Customer contributions (directs) for connections at 132kV</t>
  </si>
  <si>
    <t>Customer contributions (directs) total</t>
  </si>
  <si>
    <t>Customer contributions (indirects)</t>
  </si>
  <si>
    <t>Customer contributions total</t>
  </si>
  <si>
    <t>Total inc. exp on DSM to avoid customer spec investment (net of cust cont)</t>
  </si>
  <si>
    <t>Unapportioned part of shared LV</t>
  </si>
  <si>
    <t>Unapportioned part of shared HV</t>
  </si>
  <si>
    <t>Unapportioned part of shared EHV</t>
  </si>
  <si>
    <t>Unapportioned part of shared 132kV</t>
  </si>
  <si>
    <t>LR1a - Demand - metered connections</t>
  </si>
  <si>
    <t>Demand Totals - Table 1</t>
  </si>
  <si>
    <t>Gross all connections costs</t>
  </si>
  <si>
    <t>Gross direct connections costs subject to apportionment rule</t>
  </si>
  <si>
    <t>Customer contributions excluding margins</t>
  </si>
  <si>
    <t>Net (gross directs subject to apportionment rule - customer contributions directs)</t>
  </si>
  <si>
    <t>DUOS funded related party margin</t>
  </si>
  <si>
    <t>Net (gross directs subject to apportionment rule - customer contributions directs + DUOS funded related party margin)</t>
  </si>
  <si>
    <t>Check</t>
  </si>
  <si>
    <t>Pensions with total gross direct connections costs</t>
  </si>
  <si>
    <t>Pensions with direct connections costs subject to apportionment rule</t>
  </si>
  <si>
    <t>Connections expenditure recovered via DUoS - Table 2</t>
  </si>
  <si>
    <t>Small scale LV domestic and one-off commercial</t>
  </si>
  <si>
    <t>All other LV (with only LV work)</t>
  </si>
  <si>
    <t>LV end connections involving HV work</t>
  </si>
  <si>
    <t>HV end connections involving only HV work</t>
  </si>
  <si>
    <t>HV end connections involving EHV work</t>
  </si>
  <si>
    <t>EHV end connections involving only EHV work</t>
  </si>
  <si>
    <t xml:space="preserve"> HV or EHV connections involving 132kV work</t>
  </si>
  <si>
    <t>132kV end connections involving only 132kV work</t>
  </si>
  <si>
    <t>Metered connections volume - Table 3</t>
  </si>
  <si>
    <t>Metered connections</t>
  </si>
  <si>
    <t>Estimated number demand connections at LV</t>
  </si>
  <si>
    <t>Adopted connections</t>
  </si>
  <si>
    <t>Small scale LV domestic and one-off commercial connections</t>
  </si>
  <si>
    <t>All other LV connections (with only LV work)</t>
  </si>
  <si>
    <t>DNO total LV</t>
  </si>
  <si>
    <t>Estimated number demand connections at HV</t>
  </si>
  <si>
    <t>DNO total HV</t>
  </si>
  <si>
    <t>Estimated number demand connections at EHV</t>
  </si>
  <si>
    <t>DNO total EHV</t>
  </si>
  <si>
    <t>Estimated number demand connections at 132kV</t>
  </si>
  <si>
    <t>DNO total 132kV</t>
  </si>
  <si>
    <t>Metered connections volume - Sole use connections where there is no associated expenditure subject to the apportionment rule - Table 4</t>
  </si>
  <si>
    <t>Estimated number demand connections with HV work</t>
  </si>
  <si>
    <t>Estimated number demand connections with EHV work</t>
  </si>
  <si>
    <t>Estimated number demand connections with 132kV work</t>
  </si>
  <si>
    <t>Metered connections volume - Connections where there is associated expenditure subject to the apportionment rule - Table 5</t>
  </si>
  <si>
    <t>Customer specific demand investment - Sole use expenditure where there is no associated expenditure subject to the apportionment rule - Table 6</t>
  </si>
  <si>
    <t>Ratio - small scale LV domestic and one-off commercial - non-contestable</t>
  </si>
  <si>
    <t>%</t>
  </si>
  <si>
    <t>Ratio - small scale LV domestic and one-off commercial - contestable</t>
  </si>
  <si>
    <t>Ratio - all other LV (with only LV work) - non-contestable</t>
  </si>
  <si>
    <t>Ratio - all other LV (with only LV work) - contestable</t>
  </si>
  <si>
    <t>Connections with HV work</t>
  </si>
  <si>
    <t>Ratio - LV end connections involving HV work - non-contestable</t>
  </si>
  <si>
    <t>Ratio - LV end connections involving HV work - contestable</t>
  </si>
  <si>
    <t>Ratio - HV end connections involving only HV work - non-contestable</t>
  </si>
  <si>
    <t>Ratio - HV end connections involving only HV work - contestable</t>
  </si>
  <si>
    <t>Connections with EHV work</t>
  </si>
  <si>
    <t>Ratio - HV end connections involving EHV work - non-contestable</t>
  </si>
  <si>
    <t>Ratio - HV end connections involving EHV work - contestable</t>
  </si>
  <si>
    <t>Ratio - EHV end connections involving only EHV work - non-contestable</t>
  </si>
  <si>
    <t>Ratio - EHV end connections involving only EHV work - contestable</t>
  </si>
  <si>
    <t>Connections with 132kV work</t>
  </si>
  <si>
    <t>Ratio - HV or EHV connections involving 132kV work - non-contestable</t>
  </si>
  <si>
    <t>Ratio - HV or EHV connections involving 132kV work - contestable</t>
  </si>
  <si>
    <t>Ratio - 132kV end connections involving only 132kV work - non-contestable</t>
  </si>
  <si>
    <t>Ratio - 132kV end connections involving only 132kV work - contestable</t>
  </si>
  <si>
    <t>Total sole use expenditure where there is no expenditure subject to the apportionment rule</t>
  </si>
  <si>
    <t>Customer specific demand investment - sole use expenditure where there is also associated expenditure subject to the apportionment rule - Table 7</t>
  </si>
  <si>
    <t>Total sole use expenditure where there is also expenditure subject to the apportionment rule</t>
  </si>
  <si>
    <t>Customer specific demand investment - all expenditure subject to the apportionment rule - Table 8</t>
  </si>
  <si>
    <t>Total connections expenditure subject to the apportionment rule</t>
  </si>
  <si>
    <t>Customer contributions - customer specific demand investment - contributions associated with apportionment rule - Table 9</t>
  </si>
  <si>
    <t>Customer contributions (directs) for connections with HV work</t>
  </si>
  <si>
    <t>Customer contributions (directs) for connections with EHV work</t>
  </si>
  <si>
    <t>Customer contributions (directs) for connections with 132kV work</t>
  </si>
  <si>
    <t>Total customer contributions associated with apportionment rule</t>
  </si>
  <si>
    <t>June Forecast Business Plan DPCR5</t>
  </si>
  <si>
    <t>LR4 - General reinforcement</t>
  </si>
  <si>
    <t>General reinforcement expenditure</t>
  </si>
  <si>
    <t>(£m)</t>
  </si>
  <si>
    <t>General reinforcement:</t>
  </si>
  <si>
    <t>LV System</t>
  </si>
  <si>
    <t>HV System</t>
  </si>
  <si>
    <t>EHV System</t>
  </si>
  <si>
    <t>132kV System</t>
  </si>
  <si>
    <t>General reinforcement outputs</t>
  </si>
  <si>
    <t>Changes in general utilisation due to projected expenditure levels</t>
  </si>
  <si>
    <t>At 31st March 2010</t>
  </si>
  <si>
    <t>At 31st March 2015</t>
  </si>
  <si>
    <t>132kV-EHV</t>
  </si>
  <si>
    <t>132kV - HV</t>
  </si>
  <si>
    <t>EHV - EHV</t>
  </si>
  <si>
    <t>EHV - HV</t>
  </si>
  <si>
    <t>Total number substations (operated by DNO)</t>
  </si>
  <si>
    <t>Σ substation maximum demands</t>
  </si>
  <si>
    <t xml:space="preserve">Σ substation firm capacities </t>
  </si>
  <si>
    <t xml:space="preserve">Σ substation maximum demands / Σ substation firm capacities </t>
  </si>
  <si>
    <t>Changes in utilisation of highly loaded substations due to projected expenditure levels</t>
  </si>
  <si>
    <t>Number of substations loaded &gt;=80% of firm capacity</t>
  </si>
  <si>
    <t>Σ substation maximum demands for substations loaded &gt;=80% of firm capacity</t>
  </si>
  <si>
    <t>Σ substation firm capacities for substations loaded &gt;=80% of firm capacity</t>
  </si>
  <si>
    <t xml:space="preserve">% Loading of substations which are operating at &gt;=80% of firm capacity  = Σ demand /Σ firm capacity </t>
  </si>
  <si>
    <t>Number of substations loaded above 100% of firm capacity</t>
  </si>
  <si>
    <t>Number of DNO substations requiring reinforcement within 5 yrs</t>
  </si>
  <si>
    <t>General reinforcement projects</t>
  </si>
  <si>
    <t>Scheme details</t>
  </si>
  <si>
    <t>DPCR4 Expenditure</t>
  </si>
  <si>
    <t>DPCR5 Expenditure</t>
  </si>
  <si>
    <t>Utilisation</t>
  </si>
  <si>
    <t>(N-2) scheme?</t>
  </si>
  <si>
    <t>Scheme description</t>
  </si>
  <si>
    <t>Named scheme</t>
  </si>
  <si>
    <t>Primary Voltage</t>
  </si>
  <si>
    <t>Secondary Voltage</t>
  </si>
  <si>
    <t>Limiting 
Factor</t>
  </si>
  <si>
    <t>Forecast year in which substation demand will reach substation/group firm capacity</t>
  </si>
  <si>
    <t>MVA of additional firm capacity to be installed</t>
  </si>
  <si>
    <t>Total cost of project</t>
  </si>
  <si>
    <t>Total cost of project in DPCR5 period</t>
  </si>
  <si>
    <t>Historic and forecast max demand (MVA)</t>
  </si>
  <si>
    <t>Substation/Group Total
Capability</t>
  </si>
  <si>
    <t>Substation/group firm capacity under single circuit outage conditions</t>
  </si>
  <si>
    <t>Substation/Group Maximum Demand</t>
  </si>
  <si>
    <t>Season of critical loading condition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</si>
  <si>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</si>
  <si>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</si>
  <si>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</si>
  <si>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</si>
  <si>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</si>
  <si>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</si>
  <si>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Season</t>
  </si>
  <si>
    <t>(Y/N)</t>
  </si>
  <si>
    <t>(Description)</t>
  </si>
  <si>
    <t>LR6 - Fault levels</t>
  </si>
  <si>
    <t>Fault level system measures</t>
  </si>
  <si>
    <t>As at 31st March 2010</t>
  </si>
  <si>
    <t>As at 31st March 2015</t>
  </si>
  <si>
    <t>132kV</t>
  </si>
  <si>
    <t>EHV</t>
  </si>
  <si>
    <t>No. of switchboards</t>
  </si>
  <si>
    <t>No. of switchboards @ &gt;95% of F.L.</t>
  </si>
  <si>
    <t>No. of switchboards having fault level 'operational restrictions'</t>
  </si>
  <si>
    <t>Number of fault level schemes</t>
  </si>
  <si>
    <t>No. of schemes</t>
  </si>
  <si>
    <t>Switchboards</t>
  </si>
  <si>
    <t>Transformers</t>
  </si>
  <si>
    <t>Other</t>
  </si>
  <si>
    <t>Fault level reinforcement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</si>
  <si>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</si>
  <si>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</si>
  <si>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</si>
  <si>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</si>
  <si>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</si>
  <si>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NL1 - Condition based expenditure</t>
  </si>
  <si>
    <t>Total condition based replacement</t>
  </si>
  <si>
    <t>Asset Categories</t>
  </si>
  <si>
    <t>DPCR 4</t>
  </si>
  <si>
    <t>DPCR 5</t>
  </si>
  <si>
    <t>Metered LV Services</t>
  </si>
  <si>
    <t>Overhead</t>
  </si>
  <si>
    <t>Underground</t>
  </si>
  <si>
    <t>Un-metered LV Services</t>
  </si>
  <si>
    <t>Overhead mains</t>
  </si>
  <si>
    <t>Underground mains</t>
  </si>
  <si>
    <t>Switchgear (incl other plant &amp; equipment)</t>
  </si>
  <si>
    <t>Overhead lines</t>
  </si>
  <si>
    <t>Submarine</t>
  </si>
  <si>
    <t xml:space="preserve">Transformers </t>
  </si>
  <si>
    <t>Substation</t>
  </si>
  <si>
    <t>Submarine cables</t>
  </si>
  <si>
    <t>Total non-load replacement (£m)</t>
  </si>
  <si>
    <t>Proactive condition based replacement (non fault)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</si>
  <si>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</si>
  <si>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</si>
  <si>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</si>
  <si>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</si>
  <si>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</si>
  <si>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</si>
  <si>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</si>
  <si>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</si>
  <si>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</si>
  <si>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</si>
  <si>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</si>
  <si>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</si>
  <si>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</si>
  <si>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</si>
  <si>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</si>
  <si>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</si>
  <si>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</si>
  <si>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</si>
  <si>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</si>
  <si>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</si>
  <si>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132 kV Total</t>
  </si>
  <si>
    <t xml:space="preserve">LV Services - Split of activities </t>
  </si>
  <si>
    <t>LV Services - metered only</t>
  </si>
  <si>
    <t>OHL</t>
  </si>
  <si>
    <t>Service Replacement</t>
  </si>
  <si>
    <t>Cut out Replacement</t>
  </si>
  <si>
    <t>UG</t>
  </si>
  <si>
    <t>NL9 - Legal and safety</t>
  </si>
  <si>
    <t>Legal and Safety</t>
  </si>
  <si>
    <t>ESQCR</t>
  </si>
  <si>
    <t>ESQCR 43-8 Clearance</t>
  </si>
  <si>
    <t>ESQCR tree continuity</t>
  </si>
  <si>
    <t>ESQCR Other</t>
  </si>
  <si>
    <t>CNI</t>
  </si>
  <si>
    <t>Black Start</t>
  </si>
  <si>
    <t>Emergency Batteries</t>
  </si>
  <si>
    <t>Critical National Infrastructure</t>
  </si>
  <si>
    <t>Site Security</t>
  </si>
  <si>
    <t>Asbestos clearance</t>
  </si>
  <si>
    <t>Safety climbing devices</t>
  </si>
  <si>
    <t>Rising mains and laterals</t>
  </si>
  <si>
    <t>Retrofit ABSD &amp; Earthing theft &amp; Replace 0.025 OH conductor</t>
  </si>
  <si>
    <t>Fire Prevention</t>
  </si>
  <si>
    <t>ESQCR 43-8 Safety Clearance Expenditure</t>
  </si>
  <si>
    <t>Horizontal</t>
  </si>
  <si>
    <t>132 kV</t>
  </si>
  <si>
    <t>Vertical</t>
  </si>
  <si>
    <t>Horizontal - Detailed Information</t>
  </si>
  <si>
    <t>Sites affected as at April 2005</t>
  </si>
  <si>
    <t>No of sites resolved 05/06 - 07/08</t>
  </si>
  <si>
    <t>Sites affected as at April 2008</t>
  </si>
  <si>
    <t>No of sites to be resolved 08/09 - 09/10</t>
  </si>
  <si>
    <t>No of sites to be resolved in DPCR5</t>
  </si>
  <si>
    <t>Sites affected as at April 2015</t>
  </si>
  <si>
    <t>05/06 - 07/08</t>
  </si>
  <si>
    <t>08/09-09/10</t>
  </si>
  <si>
    <t>No of sites resolved</t>
  </si>
  <si>
    <t>Actual Solutions (#)</t>
  </si>
  <si>
    <t>Forecast Solutions (#)</t>
  </si>
  <si>
    <t>Shrouding</t>
  </si>
  <si>
    <t>Diversions</t>
  </si>
  <si>
    <t>Under-grounding</t>
  </si>
  <si>
    <t>Covered conductors</t>
  </si>
  <si>
    <t>As part of other planned work</t>
  </si>
  <si>
    <t>No of spans changed</t>
  </si>
  <si>
    <t>Total Cost £m</t>
  </si>
  <si>
    <t>Expenditure £m</t>
  </si>
  <si>
    <t>Forecast Solutions (£m)</t>
  </si>
  <si>
    <t>Total unit Cost £k/per span</t>
  </si>
  <si>
    <t>Unit cost £k/span</t>
  </si>
  <si>
    <t>Forecast Unit cost £k/span</t>
  </si>
  <si>
    <t>Vertical - Detailed Information</t>
  </si>
  <si>
    <t>Rebuild</t>
  </si>
  <si>
    <t>Derogation</t>
  </si>
  <si>
    <t>C2 - Unit costs</t>
  </si>
  <si>
    <t xml:space="preserve">New build </t>
  </si>
  <si>
    <t>Replacement</t>
  </si>
  <si>
    <t>Direct costs</t>
  </si>
  <si>
    <t>Cost including indirects (absorbed costs in T2A)</t>
  </si>
  <si>
    <t>(£k)</t>
  </si>
  <si>
    <t>km</t>
  </si>
  <si>
    <t>Each</t>
  </si>
  <si>
    <t>HV network switchgear</t>
  </si>
  <si>
    <t>Primary</t>
  </si>
  <si>
    <t>Distribution</t>
  </si>
  <si>
    <t>IP Appendix 6 Table 5 Reductions to EHV</t>
  </si>
  <si>
    <t>IP Appendix 7 Reductions to EHV</t>
  </si>
  <si>
    <t>Appendix 6 Table 5 EHV &amp; 132</t>
  </si>
  <si>
    <t>Appendix 7 Table 18</t>
  </si>
  <si>
    <t>LV/HV</t>
  </si>
  <si>
    <t>Regulatory Reporting Pack (RRP)</t>
  </si>
  <si>
    <t>Electricity Distribution Industry Activity Costs - individual DNO input</t>
  </si>
  <si>
    <t>Cash typical costs (excluding disallowed related party margins)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</si>
  <si>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</si>
  <si>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</si>
  <si>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</si>
  <si>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</si>
  <si>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</si>
  <si>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</si>
  <si>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</si>
  <si>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</si>
  <si>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</si>
  <si>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</si>
  <si>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</si>
  <si>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</si>
  <si>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Total Annual Operating &amp; Capital Expenditure per Regulatory Accounts</t>
  </si>
  <si>
    <t>Direct activities</t>
  </si>
  <si>
    <t>Indirect activities</t>
  </si>
  <si>
    <t>Year ended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</si>
  <si>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</si>
  <si>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</si>
  <si>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</si>
  <si>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</si>
  <si>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</si>
  <si>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</si>
  <si>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</si>
  <si>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</si>
  <si>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</si>
  <si>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</si>
  <si>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</si>
  <si>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</si>
  <si>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</si>
  <si>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</si>
  <si>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</si>
  <si>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</si>
  <si>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</si>
  <si>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</si>
  <si>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</si>
  <si>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</si>
  <si>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</si>
  <si>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£'m</t>
  </si>
  <si>
    <t>31 March 2008</t>
  </si>
  <si>
    <t>Adjustments on T4.3</t>
  </si>
  <si>
    <t>31 March 2007</t>
  </si>
  <si>
    <t>31 March 2006</t>
  </si>
  <si>
    <t>Notes</t>
  </si>
  <si>
    <t xml:space="preserve">The individual activities are defined in the Electricity Distribution Price Control Review Price control cost reporting rules: Instructions and Guidance April 2008 </t>
  </si>
  <si>
    <t>Pension deficit payments made by a related party and not charged in the regulatory accounts of the DNO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</si>
  <si>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</si>
  <si>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</si>
  <si>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</si>
  <si>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Inspections &amp; Maintenance, Tree Cutting and Fault Costs</t>
  </si>
  <si>
    <t>Inspections &amp; Maintenance</t>
  </si>
  <si>
    <t>Fault Costs</t>
  </si>
  <si>
    <t>Memorandum Information - Scottish DNOs 132kV</t>
  </si>
  <si>
    <t>Cash typicals</t>
  </si>
  <si>
    <t>Atypicals</t>
  </si>
  <si>
    <t>Inspection and Maintenance</t>
  </si>
  <si>
    <t xml:space="preserve">Inspections </t>
  </si>
  <si>
    <t xml:space="preserve">Maintenance </t>
  </si>
  <si>
    <t xml:space="preserve">Total </t>
  </si>
  <si>
    <t>LV Services</t>
  </si>
  <si>
    <t>Overhead Mains</t>
  </si>
  <si>
    <t>Underground Mains - Consac</t>
  </si>
  <si>
    <t>Underground Mains - Non Consac</t>
  </si>
  <si>
    <t xml:space="preserve">HV </t>
  </si>
  <si>
    <t>Underground Cables</t>
  </si>
  <si>
    <t>Switchgear, Transformers, Substation</t>
  </si>
  <si>
    <t>Underground - Pressure assisted</t>
  </si>
  <si>
    <t>Underground - Non Pressure assisted</t>
  </si>
  <si>
    <t>Submarine cables - all voltages</t>
  </si>
  <si>
    <t>Non-QoS Faults</t>
  </si>
  <si>
    <t>Substation electricity</t>
  </si>
  <si>
    <t>Diesel generation costs (permanent emergency back up on islands)</t>
  </si>
  <si>
    <t>Third party cable damage - recoveries</t>
  </si>
  <si>
    <t>Dismantlement</t>
  </si>
  <si>
    <t>Fault costs allocated to Opex and Capex</t>
  </si>
  <si>
    <t>Fault opex</t>
  </si>
  <si>
    <t>Fault capex</t>
  </si>
  <si>
    <t>Total Fault Costs</t>
  </si>
  <si>
    <t>Total Tree Cutting</t>
  </si>
  <si>
    <t>NEW AND REPLACEMENT ASSETS (EXCL. FAULTS)</t>
  </si>
  <si>
    <t>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</si>
  <si>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</si>
  <si>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</si>
  <si>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</si>
  <si>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</si>
  <si>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Customer Specific Reinforcement - Non Chargeable</t>
  </si>
  <si>
    <t>General Reinforcement</t>
  </si>
  <si>
    <t>Fault Level Reinforcement</t>
  </si>
  <si>
    <t>Non Relevant Distributed Generation</t>
  </si>
  <si>
    <t>New Connections &amp; Customer Specific Reinforcement:</t>
  </si>
  <si>
    <t>General Reinforcement: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</si>
  <si>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</si>
  <si>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</si>
  <si>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</si>
  <si>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</si>
  <si>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</si>
  <si>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Condition based</t>
  </si>
  <si>
    <t>Non-fault Related</t>
  </si>
  <si>
    <t>Fault Related</t>
  </si>
  <si>
    <t xml:space="preserve">Total
</t>
  </si>
  <si>
    <t>Underground Mains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</si>
  <si>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</si>
  <si>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</si>
  <si>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</si>
  <si>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</si>
  <si>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</si>
  <si>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</si>
  <si>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Environment</t>
  </si>
  <si>
    <t>Visual Amenity</t>
  </si>
  <si>
    <t>Resilience</t>
  </si>
  <si>
    <t>Operational IT &amp; Telecoms - BT 21CN</t>
  </si>
  <si>
    <t>Operational IT &amp; Telecoms - other</t>
  </si>
  <si>
    <t>Non - rechargeable diversions</t>
  </si>
  <si>
    <t>Total Non-load related (other non-fault)</t>
  </si>
  <si>
    <t>Total Net Non-load related (other non-fault)</t>
  </si>
  <si>
    <t>Total Non-load related expenditure (direct costs)</t>
  </si>
  <si>
    <t>Total Net Non-load replacement (Direct Costs)</t>
  </si>
  <si>
    <t xml:space="preserve">          Non-operational </t>
  </si>
  <si>
    <t>Owned by DNO</t>
  </si>
  <si>
    <t>Owned by related party</t>
  </si>
  <si>
    <t>Vehicles</t>
  </si>
  <si>
    <t>Plant &amp; Machinery</t>
  </si>
  <si>
    <t>Small Tools &amp; Equipment</t>
  </si>
  <si>
    <t>Office Equipment</t>
  </si>
  <si>
    <t>Non-operational property</t>
  </si>
  <si>
    <t>IT Non-operational Capital Expenditure</t>
  </si>
  <si>
    <t>Telecoms Non-operational Capital Expenditures</t>
  </si>
  <si>
    <t>Total Non-operational New Assets &amp; Replacement</t>
  </si>
  <si>
    <t>Regulatory Reporting Pack</t>
  </si>
  <si>
    <t>MISCELLANEOUS</t>
  </si>
  <si>
    <t>Non-activity based costs (excluded from Table 2.2)(enter as positive)</t>
  </si>
  <si>
    <t>Pass through Costs</t>
  </si>
  <si>
    <t>Transmission exit charges</t>
  </si>
  <si>
    <t>Wheeled units imported</t>
  </si>
  <si>
    <t>Network rates</t>
  </si>
  <si>
    <t>Ofgem licence fee</t>
  </si>
  <si>
    <t>Shetland Balancing Costs (SHEPD only)</t>
  </si>
  <si>
    <t>Scottish Electricity Settlements run-off (Scottish DNOs only)</t>
  </si>
  <si>
    <t>Costs inside scope of DPCR4 allowances</t>
  </si>
  <si>
    <t>Guaranteed standard of performance compensation payments</t>
  </si>
  <si>
    <t>Ex-gratia compensation payments</t>
  </si>
  <si>
    <t>Bad debt expense (net of recoveries)</t>
  </si>
  <si>
    <t>Costs outside scope of DPCR4 allowances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</si>
  <si>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</si>
  <si>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</si>
  <si>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</si>
  <si>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</si>
  <si>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</si>
  <si>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</si>
  <si>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</si>
  <si>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</si>
  <si>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</si>
  <si>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Non-operational assets (-ve)</t>
  </si>
  <si>
    <t>ANALYSIS OF ASSET DISPOSALS</t>
  </si>
  <si>
    <t>Cost</t>
  </si>
  <si>
    <t>Depn.</t>
  </si>
  <si>
    <t>Net Book Value</t>
  </si>
  <si>
    <t>Net Sales Proceeds</t>
  </si>
  <si>
    <t>(Profit) / Loss on Disposal</t>
  </si>
  <si>
    <t>Asset Owner</t>
  </si>
  <si>
    <t>Asset Type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</si>
  <si>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</si>
  <si>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</si>
  <si>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</si>
  <si>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</si>
  <si>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</si>
  <si>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</si>
  <si>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</si>
  <si>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</si>
  <si>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</si>
  <si>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</si>
  <si>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</si>
  <si>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</si>
  <si>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Additional employer pension contributions (+ve)</t>
  </si>
  <si>
    <t>Lane rentals analysis: including logged up costs (see below):</t>
  </si>
  <si>
    <t>Non-load non-fault new &amp; replacement assets</t>
  </si>
  <si>
    <t>Inspectns &amp; Maint. (exc. Tree Cutting)</t>
  </si>
  <si>
    <t>Fines and penalties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</si>
  <si>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</si>
  <si>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</si>
  <si>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</si>
  <si>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</si>
  <si>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</si>
  <si>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Road Occupation &amp; Permit Scheme Costs included within Lane Rentals, previously agreed in writing with Ofgem to be treated as logged up costs:</t>
  </si>
  <si>
    <t>Costs previously agreed with Ofgem in writing for additional security</t>
  </si>
  <si>
    <t>Miscellaneous costs (included in table 2.2 costs)</t>
  </si>
  <si>
    <t>Pension administration costs (reported in HR &amp; Non-op training)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</si>
  <si>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</si>
  <si>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</si>
  <si>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</si>
  <si>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</si>
  <si>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Total Undergrounding in National Parks / AONB</t>
  </si>
  <si>
    <t>Network Data</t>
  </si>
  <si>
    <t>QUALITY OF SERVICE</t>
  </si>
  <si>
    <t>Historical data</t>
  </si>
  <si>
    <t>For Future years</t>
  </si>
  <si>
    <t xml:space="preserve">Customer Numbers </t>
  </si>
  <si>
    <t>Millions</t>
  </si>
  <si>
    <t>Total CIs (Excluding EE)</t>
  </si>
  <si>
    <t>CIs</t>
  </si>
  <si>
    <t>Total CMLs (Excluding EE)</t>
  </si>
  <si>
    <t>CMLs</t>
  </si>
  <si>
    <t>NETWORK ACTIVITY INDICATORS</t>
  </si>
  <si>
    <t>CONNECTIONS</t>
  </si>
  <si>
    <t>Number of new connections</t>
  </si>
  <si>
    <t>EHV (Includes 132kV)</t>
  </si>
  <si>
    <t>No. Connections</t>
  </si>
  <si>
    <t>DG</t>
  </si>
  <si>
    <t xml:space="preserve">Total Connected Distributed Generation </t>
  </si>
  <si>
    <t>DEMANDS</t>
  </si>
  <si>
    <t xml:space="preserve">System Maximum Demand </t>
  </si>
  <si>
    <t>System Maximum Demand (Weather corrected)</t>
  </si>
  <si>
    <t>Units Distributed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</si>
  <si>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</si>
  <si>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</si>
  <si>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</si>
  <si>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</si>
  <si>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</si>
  <si>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</si>
  <si>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</si>
  <si>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</si>
  <si>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</si>
  <si>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</si>
  <si>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</si>
  <si>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</si>
  <si>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EHV ground mounted</t>
  </si>
  <si>
    <t>EHV pole mounted</t>
  </si>
  <si>
    <t>HV ground mounted</t>
  </si>
  <si>
    <t>HV pole mounted</t>
  </si>
  <si>
    <t>Summary of Revenue</t>
  </si>
  <si>
    <t>Allowed Demand Revenue (ADt)</t>
  </si>
  <si>
    <t>Base Demand Revenue  (BRt)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</si>
  <si>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</si>
  <si>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</si>
  <si>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</si>
  <si>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</si>
  <si>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</si>
  <si>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</si>
  <si>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</si>
  <si>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</si>
  <si>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</si>
  <si>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</si>
  <si>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</si>
  <si>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Network Generation Revenue (RGt)</t>
  </si>
  <si>
    <t>Metering Revenue</t>
  </si>
  <si>
    <t>Legacy Basic Meter Asset Provision Revenue</t>
  </si>
  <si>
    <t>Basic Meter Operation Revenue</t>
  </si>
  <si>
    <t>Excluded Services and Revenue Outside of Price Control</t>
  </si>
  <si>
    <t>Excluded Services</t>
  </si>
  <si>
    <t>Revenue Outside of Price Control</t>
  </si>
  <si>
    <t>De Minimis Revenue</t>
  </si>
  <si>
    <t>DNO reported Unit Cost (£)</t>
  </si>
  <si>
    <t>Unit cost used in MEAV calculation (£)</t>
  </si>
  <si>
    <t>Closing DCPR asset Balance (units)</t>
  </si>
  <si>
    <t>MEAV (£)</t>
  </si>
  <si>
    <t>Sum of direct and indriect replacement unit cost from FBPQ C2</t>
  </si>
  <si>
    <t>PB power numbers, if available</t>
  </si>
  <si>
    <t>Is DNO Unit cost if avaliable, otherwise PB power unit cost</t>
  </si>
  <si>
    <t>Closing asset balance from FBPQ V4</t>
  </si>
  <si>
    <t>Unit cost used in MEAV calculation*Closing DCPR asset Balance (units)</t>
  </si>
  <si>
    <t>DATA</t>
  </si>
  <si>
    <t>MEAV  - LV, LV/HV, HV, EHV, 132kV split</t>
  </si>
  <si>
    <t>Sum of MEAV of asset classified in voltage tier</t>
  </si>
  <si>
    <t>% of Total</t>
  </si>
  <si>
    <t>103. Units distributed (GWh) from RRP table 5.1</t>
  </si>
  <si>
    <t>Units distributed (GWh) from RRP table 5.1</t>
  </si>
  <si>
    <t>Units distributed at LV</t>
  </si>
  <si>
    <t>Units distributed at HV</t>
  </si>
  <si>
    <t>Units distributed at EHV+</t>
  </si>
  <si>
    <t>Losses</t>
  </si>
  <si>
    <t>104. Estimated line loss adjustment factors relative to LV</t>
  </si>
  <si>
    <t>LV services</t>
  </si>
  <si>
    <t>Units (GWh) flowing through each level, loss-adjusted to LV</t>
  </si>
  <si>
    <t>Units (kWh) flowing through each level, loss-adjusted to LV</t>
  </si>
  <si>
    <t>Choice of LR1 data source</t>
  </si>
  <si>
    <t>Total Net Capex 2005/06 -2014/15 LV, LV/HV, HV, EHV, 132kV split</t>
  </si>
  <si>
    <t>LR1</t>
  </si>
  <si>
    <t>LR1 opt 3</t>
  </si>
  <si>
    <t>Connection/Reinforcement/Replacement Capex LV, HV, EHV, 132kV split</t>
  </si>
  <si>
    <t>Connections Capex 2005/06 -2014/15 (£m)</t>
  </si>
  <si>
    <t>General reinforcement Capex 2005/06 -2014/15 (£m)</t>
  </si>
  <si>
    <t>Fault reinforcement Capex 2005/06 -2014/15 (£m)</t>
  </si>
  <si>
    <t>Connections spend minus customer contributions (from FBPQ LR1)</t>
  </si>
  <si>
    <t>(from FBPQ LR4)</t>
  </si>
  <si>
    <t>(from FBPQ LR6)</t>
  </si>
  <si>
    <t>Replacement Capex 2005/06 -2014/15 (£m)</t>
  </si>
  <si>
    <t>ESQCR 2005/06 -2014/15 (£m)</t>
  </si>
  <si>
    <t xml:space="preserve"> (from FBPQ NL1)</t>
  </si>
  <si>
    <t>(from FBPQ NL9)</t>
  </si>
  <si>
    <t>Connection/Reinforcement/Replacement Capex LV, LV/HV, HV, EHV, 132kV split</t>
  </si>
  <si>
    <t>allocated in proportion to repex</t>
  </si>
  <si>
    <t>NL1 + NL9</t>
  </si>
  <si>
    <t>HV/LV sub/trans costs</t>
  </si>
  <si>
    <t>LV/HV/(LV/HV+HV) %</t>
  </si>
  <si>
    <t>LR1 (opt3) variant</t>
  </si>
  <si>
    <t>Cell Ref: B16</t>
  </si>
  <si>
    <t>Connections spend minus customer contributions (from FBPQ LR1 v5 opt3)</t>
  </si>
  <si>
    <t>Cell Ref B36</t>
  </si>
  <si>
    <t>LR1 variant</t>
  </si>
  <si>
    <t>Step 1 - extract total activity costs from cost report</t>
  </si>
  <si>
    <t>Step 2. Identify costs included in price control revenues to be allocated by MEAV</t>
  </si>
  <si>
    <t>Step 3.  Allocate costs not directly atttibutable to network tiers to network tiers using MEAV</t>
  </si>
  <si>
    <t>Step 4.  Sum directly attributed and allocated costs</t>
  </si>
  <si>
    <t>Step 5. Divide cost by units flowing - effectively adjust the cost because of electricity lost as it flows through the network meaning that there is more cost in the lower tiers</t>
  </si>
  <si>
    <t>Step 6.   Adjust costs so that they are aligned with the definition of opex in the allowed price control revenues</t>
  </si>
  <si>
    <t>Costs extracted from RRP Tables</t>
  </si>
  <si>
    <t>Cost drivers - lookup from "Calc-Drivers"</t>
  </si>
  <si>
    <t>Allocation of "Unallocated" costs by cost driver to network tiers</t>
  </si>
  <si>
    <t>Sum of allocated and "unallocated" costs</t>
  </si>
  <si>
    <t>Sum of allocated and "unallocated" costs expressed per unit throughput (p/kWh)</t>
  </si>
  <si>
    <t>Proportion of costs allocated to Opex and Capex</t>
  </si>
  <si>
    <t>Operating costs = sum of allocated and unallocated multiplied by 1 minus capitalised proprtion</t>
  </si>
  <si>
    <t>Opex only on p/kWh throughput</t>
  </si>
  <si>
    <t>Total activity cost - from RRP 1.3</t>
  </si>
  <si>
    <t>Costs allocated to network tiers in RRP - from 2.3 and 2.4</t>
  </si>
  <si>
    <t>Unallocated costs = Total - costs allocated to network tiers</t>
  </si>
  <si>
    <t>Insert name of cost driver</t>
  </si>
  <si>
    <t>Proportion of cost allocated to each network tier</t>
  </si>
  <si>
    <t>% Cost capitalised (from DCPR settlement - same for all DNOs)</t>
  </si>
  <si>
    <t>Capex</t>
  </si>
  <si>
    <t>Opex</t>
  </si>
  <si>
    <t>LV Service</t>
  </si>
  <si>
    <t>Direct activities - From RRP 2.2 Detailed Cost Matrix</t>
  </si>
  <si>
    <t>MEAV</t>
  </si>
  <si>
    <t>Indirect activities - From RRP 2.2 Detailed Cost Matrix</t>
  </si>
  <si>
    <t>Do not allocate</t>
  </si>
  <si>
    <t>Other Costs from full activitty cost allocation</t>
  </si>
  <si>
    <t>Total all network tiers</t>
  </si>
  <si>
    <t>Total by network tiers</t>
  </si>
  <si>
    <t xml:space="preserve">% </t>
  </si>
  <si>
    <t>Vlookup Values:</t>
  </si>
  <si>
    <t>THESE % ARE USED TO ALLOCATE PRICE CONTROL OPEX</t>
  </si>
  <si>
    <t>Step 4.a. calculate proportion of cost classified as direct costs</t>
  </si>
  <si>
    <t>Total direct+other</t>
  </si>
  <si>
    <t>Total indirect</t>
  </si>
  <si>
    <t>% direct+other</t>
  </si>
  <si>
    <t>% indirect</t>
  </si>
  <si>
    <t>Drivers - LV, LV/HV, HV, EHV split</t>
  </si>
  <si>
    <t>Category</t>
  </si>
  <si>
    <t>Source</t>
  </si>
  <si>
    <t>Net Capex</t>
  </si>
  <si>
    <t>FBPQ capex - see "Calc Net capex"</t>
  </si>
  <si>
    <t>No. of Customers</t>
  </si>
  <si>
    <t>Assumption</t>
  </si>
  <si>
    <t>Network Length</t>
  </si>
  <si>
    <t>RRP table 5.1</t>
  </si>
  <si>
    <t>No. of Substations</t>
  </si>
  <si>
    <t>FBPQ capex - see "Calc MEAV"</t>
  </si>
  <si>
    <t>EHV only</t>
  </si>
  <si>
    <t>LV only</t>
  </si>
  <si>
    <t>HV only</t>
  </si>
  <si>
    <t>Step 1. Format price control allowed revenue data</t>
  </si>
  <si>
    <t>I) DPCR3 type presentation</t>
  </si>
  <si>
    <t>ii) DPCR4 type presentation</t>
  </si>
  <si>
    <t>Allowed revenue</t>
  </si>
  <si>
    <t>Opex (incl pensions after  57.7% capitalised)</t>
  </si>
  <si>
    <t>Quality Reward</t>
  </si>
  <si>
    <t>Present value of opening/closing RAV</t>
  </si>
  <si>
    <t>Total Opex</t>
  </si>
  <si>
    <t>Operating costs (excl pensions)</t>
  </si>
  <si>
    <t>Capital elements</t>
  </si>
  <si>
    <t>Capex (excl pensions)</t>
  </si>
  <si>
    <t>Pensions</t>
  </si>
  <si>
    <t>Capital incentive</t>
  </si>
  <si>
    <t>Capex incentive</t>
  </si>
  <si>
    <t>Sliding scale</t>
  </si>
  <si>
    <t>Sliding scale addn income</t>
  </si>
  <si>
    <t>Return</t>
  </si>
  <si>
    <t>Quality reward/Opex incentive &amp; Other Adjustments</t>
  </si>
  <si>
    <t>Total capital</t>
  </si>
  <si>
    <t>Total capital ex depreciation</t>
  </si>
  <si>
    <t>PV of allowed items</t>
  </si>
  <si>
    <t>Allocation of allowed revenue to:-</t>
  </si>
  <si>
    <t>TOTAL PV OVER 5 YEARS</t>
  </si>
  <si>
    <t>Excluded services revenue</t>
  </si>
  <si>
    <t>PV of total revenue</t>
  </si>
  <si>
    <t>PV of excluded service revenue</t>
  </si>
  <si>
    <t xml:space="preserve">Step 2. Allocate price control revenues to network tiers </t>
  </si>
  <si>
    <t>Hence DPCR4 revenue made up of</t>
  </si>
  <si>
    <t>Total DPCR4</t>
  </si>
  <si>
    <t>Basis of allocation</t>
  </si>
  <si>
    <t>% used</t>
  </si>
  <si>
    <t>Operating costs</t>
  </si>
  <si>
    <t>Overall Opex split</t>
  </si>
  <si>
    <t>NET CAPEX SPLIT FROM "CALC -NET CAPEX" SHEET</t>
  </si>
  <si>
    <t>OVERALL OPEX SPLIT FROM "CALC DNO OPEX ALLOCATION" SHEET</t>
  </si>
  <si>
    <t>Step 3. Remove incentive revenue and pension deficit payment from allocations</t>
  </si>
  <si>
    <t>2007/08 allowed revenue source from page "summary allowed revenue"</t>
  </si>
  <si>
    <t>Base revenue</t>
  </si>
  <si>
    <t>Allowed pass through items</t>
  </si>
  <si>
    <t>Incentive revenue</t>
  </si>
  <si>
    <t>Total allowed income</t>
  </si>
  <si>
    <t>Under/over recovery</t>
  </si>
  <si>
    <t>Excluded</t>
  </si>
  <si>
    <t>Less incentive revenue</t>
  </si>
  <si>
    <t>Total revenue not to share</t>
  </si>
  <si>
    <t>Total revenue to share</t>
  </si>
  <si>
    <t>Step 2.b. Divide cost by units flowing - effectively adjust the cost because of electricity lost as it flows thorugh the network meaning that there is more cost in the lower tiers</t>
  </si>
  <si>
    <t>Split of Tariffs</t>
  </si>
  <si>
    <t>p/kWh</t>
  </si>
  <si>
    <t>Not to be split</t>
  </si>
  <si>
    <t>Income</t>
  </si>
  <si>
    <t>All LV Tariffs</t>
  </si>
  <si>
    <t>HV Tariffs</t>
  </si>
  <si>
    <t>EHV Tariffs</t>
  </si>
  <si>
    <t xml:space="preserve">% by network tier </t>
  </si>
  <si>
    <t>Unallocated</t>
  </si>
  <si>
    <t>Opex and transmission exit charges</t>
  </si>
  <si>
    <t>N/A</t>
  </si>
  <si>
    <t>Weighted Average</t>
  </si>
  <si>
    <t>Weighted Average (after incentive and pension deficit costs removed and weighted by units flowing)</t>
  </si>
  <si>
    <t>Direct cost %</t>
  </si>
  <si>
    <t>Take these data from the February 2005 Ofgem document, not the November 2004 final proposals.</t>
  </si>
  <si>
    <t>The relevant Ofgem document was at http://www.ofgem.gov.uk/Markets/RetMkts/Metrng/Metering/Documents1/9745-5405.pdf</t>
  </si>
  <si>
    <t>Boundary HVplus</t>
  </si>
  <si>
    <t>Boundary EHV</t>
  </si>
  <si>
    <t>Boundary 132kV/EHV</t>
  </si>
  <si>
    <t>Boundary 132kV</t>
  </si>
  <si>
    <t>Boundary 0000</t>
  </si>
  <si>
    <t>HV generation end user</t>
  </si>
  <si>
    <t>HV demand or LV Sub generation end user</t>
  </si>
  <si>
    <t>LV Sub demand or LV generation end user</t>
  </si>
  <si>
    <t>LV demand end user</t>
  </si>
  <si>
    <t>Network levels provided or bypassed by the DNO</t>
  </si>
  <si>
    <t>Weighted by units flowing</t>
  </si>
  <si>
    <t>All EHV</t>
  </si>
  <si>
    <t>Currently 1 for EHV</t>
  </si>
  <si>
    <t>Currently 1 for 132 kV</t>
  </si>
  <si>
    <t>EHV and 132 kV splits</t>
  </si>
  <si>
    <t>Use of different network levels</t>
  </si>
  <si>
    <t>Mains usage percentage</t>
  </si>
  <si>
    <t>EDCM method M MEAV</t>
  </si>
  <si>
    <t>Percentage of all EHV</t>
  </si>
  <si>
    <t>MEAV calculations</t>
  </si>
  <si>
    <t>EHV MEAV proportions</t>
  </si>
  <si>
    <t>Summary of allocation showing separate EHV levels</t>
  </si>
  <si>
    <t>Enter input data in blue shaded areas; do not change anything in yellow shaded areas</t>
  </si>
  <si>
    <t>Calc-Opex</t>
  </si>
  <si>
    <t>Calc-Allocation</t>
  </si>
  <si>
    <t>Calc-Summary</t>
  </si>
  <si>
    <t>EDCM discounts</t>
  </si>
  <si>
    <t>Intermediate step (uncapped discounts)</t>
  </si>
  <si>
    <t>Network levels bypassed by the DNO (all zero)</t>
  </si>
  <si>
    <t>Input data sheets</t>
  </si>
  <si>
    <t>Intermediate calculation sheets</t>
  </si>
  <si>
    <t>Final processing and results sheets</t>
  </si>
  <si>
    <t>Less transmission exit charges</t>
  </si>
  <si>
    <t>Use copy-paste to replace the entire contents of this sheet with your input data if applicable</t>
  </si>
  <si>
    <t>LR1 and LR1 (opt3) formula references</t>
  </si>
  <si>
    <t>Use copy-paste to replace the entire contents of this sheet with your input data if applicable (data were previously in Calc-Net capex)</t>
  </si>
  <si>
    <t>This workbook has been adapted by Reckon LLP on the instructions of the DCUSA Panel or one of its working groups.  Only the DCUSA Panel</t>
  </si>
  <si>
    <t>and its working groups have authority to approve this material as meeting their requirements.  Reckon LLP makes no representation about</t>
  </si>
  <si>
    <t>the suitability of this material for the purposes of complying with any licence conditions or furthering any relevant objective.</t>
  </si>
  <si>
    <t>DCP 117 additional annual income</t>
  </si>
  <si>
    <t>South West</t>
  </si>
  <si>
    <t>Final</t>
  </si>
  <si>
    <t>Index</t>
  </si>
  <si>
    <t>Increase/Reduction in max demand</t>
  </si>
  <si>
    <t>Increase/Reduction in units distributed</t>
  </si>
  <si>
    <t>0</t>
  </si>
  <si>
    <t>EDFE SPN</t>
  </si>
  <si>
    <t>Expenditure on DSM to avoid general reinforcement</t>
  </si>
  <si>
    <t>Planned reinforce-ment Year</t>
  </si>
  <si>
    <t>CAUTION - THIS PACK DOES NOT BALANCE</t>
  </si>
  <si>
    <t xml:space="preserve">          Load Related New Connections &amp; Reinforcement</t>
  </si>
  <si>
    <t xml:space="preserve">          Non-load related replacement (Condition based)</t>
  </si>
  <si>
    <t>Operational Land</t>
  </si>
  <si>
    <t xml:space="preserve">Operational Plant &amp; Machinery </t>
  </si>
  <si>
    <t>Scrap Metal</t>
  </si>
  <si>
    <t>LV Control centre costs (where it remotely controls LV network)</t>
  </si>
  <si>
    <t>April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</si>
</sst>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,&quot; m&quot;"/>
    <numFmt numFmtId="166" formatCode="_(??0.0%_);[Red]\(??0.0%\);"/>
    <numFmt numFmtId="167" formatCode="_-* #,##0_-;\-* #,##0_-;_-* &quot;-&quot;??_-;_-@_-"/>
    <numFmt numFmtId="168" formatCode="_(??0.000%_);[Red]\(??0.000%\);_(???_%_)"/>
    <numFmt numFmtId="169" formatCode="\ _(??0.0%_);[Red]\ \(??0.0%\);;@"/>
    <numFmt numFmtId="170" formatCode="0.000"/>
    <numFmt numFmtId="171" formatCode="0.0"/>
    <numFmt numFmtId="172" formatCode="#,##0_);[Red]\(#,##0\);\-"/>
    <numFmt numFmtId="173" formatCode="0;\(0\)"/>
    <numFmt numFmtId="174" formatCode="0;[Red]\(0\);\-"/>
    <numFmt numFmtId="175" formatCode="#,##0.0_);[Red]\(#,##0.0\);\-"/>
    <numFmt numFmtId="176" formatCode="_(* #,##0.0_);_(* \(#,##0.0\);_(* &quot;-&quot;?_);_(@_)"/>
  </numFmts>
  <fonts count="63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Genev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b/>
      <sz val="15"/>
      <name val="Calibri"/>
      <family val="2"/>
    </font>
    <font>
      <u/>
      <sz val="10"/>
      <color theme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CG Omega"/>
      <family val="2"/>
    </font>
    <font>
      <b/>
      <sz val="10"/>
      <name val="CG Omega"/>
      <family val="2"/>
    </font>
    <font>
      <sz val="10"/>
      <name val="CG Omega"/>
      <family val="2"/>
    </font>
    <font>
      <sz val="10"/>
      <color indexed="12"/>
      <name val="CG Omega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6"/>
      <name val="Arial"/>
      <family val="2"/>
    </font>
    <font>
      <b/>
      <sz val="20"/>
      <name val="CG Omega"/>
      <family val="2"/>
    </font>
    <font>
      <b/>
      <sz val="14"/>
      <name val="Arial"/>
      <family val="2"/>
    </font>
    <font>
      <b/>
      <sz val="16"/>
      <name val="CG Omega"/>
      <family val="2"/>
    </font>
    <font>
      <b/>
      <sz val="14"/>
      <name val="CG Omega"/>
      <family val="2"/>
    </font>
    <font>
      <sz val="10"/>
      <name val="Verdana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b/>
      <sz val="11"/>
      <name val="CG Omega"/>
      <family val="2"/>
    </font>
    <font>
      <sz val="11"/>
      <color indexed="12"/>
      <name val="CG Omega"/>
      <family val="2"/>
    </font>
    <font>
      <sz val="10"/>
      <color indexed="56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10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0"/>
      <color indexed="30"/>
      <name val="CG Omega"/>
      <family val="2"/>
    </font>
    <font>
      <sz val="10"/>
      <color indexed="8"/>
      <name val="CG Omega"/>
      <family val="2"/>
    </font>
    <font>
      <b/>
      <sz val="10"/>
      <name val="Verdana"/>
      <family val="2"/>
    </font>
    <font>
      <sz val="8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88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  <xf numFmtId="0" fontId="2" fillId="0" borderId="0"/>
    <xf numFmtId="0" fontId="28" fillId="0" borderId="0">
      <alignment vertical="top"/>
    </xf>
    <xf numFmtId="0" fontId="35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35" fillId="0" borderId="0" applyFont="0" applyFill="0" applyBorder="0" applyAlignment="0" applyProtection="0"/>
    <xf numFmtId="0" fontId="35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" fillId="0" borderId="0"/>
  </cellStyleXfs>
  <cellXfs count="1772">
    <xf numFmtId="0" fontId="0" fillId="0" borderId="0" xfId="0"/>
    <xf numFmtId="0" fontId="20" fillId="0" borderId="0" xfId="0" applyFont="1" applyAlignment="1"/>
    <xf numFmtId="0" fontId="22" fillId="0" borderId="0" xfId="0" applyFont="1" applyAlignment="1"/>
    <xf numFmtId="0" fontId="22" fillId="0" borderId="0" xfId="0" quotePrefix="1" applyFont="1" applyAlignment="1"/>
    <xf numFmtId="2" fontId="2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9" borderId="0" xfId="0" applyFont="1" applyFill="1" applyAlignment="1">
      <alignment horizontal="center" vertical="center" wrapText="1"/>
    </xf>
    <xf numFmtId="10" fontId="22" fillId="12" borderId="0" xfId="1" applyNumberFormat="1" applyFont="1" applyFill="1" applyAlignment="1" applyProtection="1">
      <alignment horizontal="center"/>
      <protection locked="0"/>
    </xf>
    <xf numFmtId="166" fontId="22" fillId="12" borderId="0" xfId="0" quotePrefix="1" applyNumberFormat="1" applyFont="1" applyFill="1" applyAlignment="1" applyProtection="1">
      <alignment horizontal="center"/>
      <protection locked="0"/>
    </xf>
    <xf numFmtId="166" fontId="22" fillId="12" borderId="0" xfId="0" applyNumberFormat="1" applyFont="1" applyFill="1" applyAlignment="1" applyProtection="1">
      <alignment horizontal="center"/>
      <protection locked="0"/>
    </xf>
    <xf numFmtId="0" fontId="22" fillId="11" borderId="0" xfId="2" applyNumberFormat="1" applyFont="1" applyFill="1" applyAlignment="1" applyProtection="1">
      <alignment horizontal="center" vertical="center"/>
      <protection locked="0"/>
    </xf>
    <xf numFmtId="167" fontId="22" fillId="11" borderId="0" xfId="2" applyNumberFormat="1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168" fontId="22" fillId="11" borderId="0" xfId="0" applyNumberFormat="1" applyFont="1" applyFill="1" applyAlignment="1" applyProtection="1">
      <alignment horizontal="center" vertical="center"/>
      <protection locked="0"/>
    </xf>
    <xf numFmtId="0" fontId="20" fillId="9" borderId="0" xfId="0" applyFont="1" applyFill="1" applyAlignment="1">
      <alignment horizontal="left" vertical="center"/>
    </xf>
    <xf numFmtId="164" fontId="22" fillId="0" borderId="0" xfId="1" applyNumberFormat="1" applyFont="1" applyAlignment="1"/>
    <xf numFmtId="165" fontId="22" fillId="0" borderId="0" xfId="1" applyNumberFormat="1" applyFont="1" applyAlignment="1"/>
    <xf numFmtId="17" fontId="22" fillId="0" borderId="0" xfId="0" quotePrefix="1" applyNumberFormat="1" applyFont="1" applyAlignment="1"/>
    <xf numFmtId="0" fontId="20" fillId="9" borderId="0" xfId="0" applyFont="1" applyFill="1" applyAlignment="1">
      <alignment horizontal="center" vertical="center"/>
    </xf>
    <xf numFmtId="0" fontId="22" fillId="0" borderId="10" xfId="0" applyFont="1" applyBorder="1" applyAlignment="1"/>
    <xf numFmtId="0" fontId="22" fillId="0" borderId="12" xfId="0" applyFont="1" applyBorder="1" applyAlignment="1"/>
    <xf numFmtId="0" fontId="22" fillId="0" borderId="0" xfId="0" applyFont="1" applyBorder="1" applyAlignment="1"/>
    <xf numFmtId="0" fontId="22" fillId="0" borderId="17" xfId="0" applyFont="1" applyBorder="1" applyAlignment="1"/>
    <xf numFmtId="0" fontId="22" fillId="0" borderId="16" xfId="0" applyFont="1" applyBorder="1" applyAlignment="1"/>
    <xf numFmtId="0" fontId="22" fillId="0" borderId="18" xfId="0" applyFont="1" applyBorder="1" applyAlignment="1"/>
    <xf numFmtId="0" fontId="22" fillId="0" borderId="19" xfId="0" applyFont="1" applyBorder="1" applyAlignment="1"/>
    <xf numFmtId="0" fontId="22" fillId="0" borderId="20" xfId="0" applyFont="1" applyBorder="1" applyAlignment="1"/>
    <xf numFmtId="0" fontId="0" fillId="13" borderId="0" xfId="0" applyFill="1" applyBorder="1"/>
    <xf numFmtId="0" fontId="0" fillId="13" borderId="19" xfId="0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13" xfId="0" applyFont="1" applyBorder="1" applyAlignment="1"/>
    <xf numFmtId="0" fontId="22" fillId="0" borderId="14" xfId="0" applyFont="1" applyBorder="1" applyAlignment="1"/>
    <xf numFmtId="0" fontId="22" fillId="0" borderId="15" xfId="0" applyFont="1" applyBorder="1" applyAlignment="1"/>
    <xf numFmtId="0" fontId="22" fillId="0" borderId="15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49" fontId="22" fillId="10" borderId="0" xfId="0" applyNumberFormat="1" applyFont="1" applyFill="1" applyAlignment="1" applyProtection="1">
      <alignment horizontal="left" vertical="center"/>
      <protection locked="0"/>
    </xf>
    <xf numFmtId="169" fontId="22" fillId="14" borderId="0" xfId="0" applyNumberFormat="1" applyFont="1" applyFill="1" applyAlignment="1">
      <alignment horizontal="center" vertical="center"/>
    </xf>
    <xf numFmtId="0" fontId="21" fillId="0" borderId="0" xfId="0" applyFont="1" applyAlignment="1"/>
    <xf numFmtId="165" fontId="22" fillId="14" borderId="0" xfId="1" applyNumberFormat="1" applyFont="1" applyFill="1" applyAlignment="1"/>
    <xf numFmtId="164" fontId="22" fillId="14" borderId="0" xfId="1" applyNumberFormat="1" applyFont="1" applyFill="1" applyAlignment="1"/>
    <xf numFmtId="0" fontId="22" fillId="0" borderId="0" xfId="0" applyFont="1"/>
    <xf numFmtId="0" fontId="20" fillId="15" borderId="0" xfId="0" applyFont="1" applyFill="1" applyAlignment="1">
      <alignment horizontal="left" vertical="center"/>
    </xf>
    <xf numFmtId="169" fontId="22" fillId="16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169" fontId="22" fillId="17" borderId="0" xfId="1" applyNumberFormat="1" applyFont="1" applyFill="1" applyAlignment="1" applyProtection="1">
      <alignment horizontal="center" vertical="center"/>
    </xf>
    <xf numFmtId="170" fontId="25" fillId="18" borderId="0" xfId="2" applyNumberFormat="1" applyFont="1" applyFill="1"/>
    <xf numFmtId="170" fontId="25" fillId="0" borderId="19" xfId="2" applyNumberFormat="1" applyFont="1" applyBorder="1"/>
    <xf numFmtId="170" fontId="25" fillId="11" borderId="0" xfId="2" applyNumberFormat="1" applyFont="1" applyFill="1" applyBorder="1"/>
    <xf numFmtId="170" fontId="25" fillId="0" borderId="0" xfId="2" applyNumberFormat="1" applyFont="1"/>
    <xf numFmtId="170" fontId="25" fillId="11" borderId="11" xfId="2" applyNumberFormat="1" applyFont="1" applyFill="1" applyBorder="1"/>
    <xf numFmtId="170" fontId="25" fillId="0" borderId="0" xfId="0" applyNumberFormat="1" applyFont="1"/>
    <xf numFmtId="170" fontId="25" fillId="19" borderId="0" xfId="2" applyNumberFormat="1" applyFont="1" applyFill="1"/>
    <xf numFmtId="170" fontId="25" fillId="11" borderId="11" xfId="0" applyNumberFormat="1" applyFont="1" applyFill="1" applyBorder="1"/>
    <xf numFmtId="170" fontId="25" fillId="18" borderId="0" xfId="0" applyNumberFormat="1" applyFont="1" applyFill="1"/>
    <xf numFmtId="4" fontId="0" fillId="0" borderId="0" xfId="0" applyNumberFormat="1"/>
    <xf numFmtId="4" fontId="26" fillId="0" borderId="0" xfId="0" applyNumberFormat="1" applyFont="1"/>
    <xf numFmtId="4" fontId="26" fillId="0" borderId="0" xfId="0" applyNumberFormat="1" applyFont="1" applyFill="1"/>
    <xf numFmtId="0" fontId="26" fillId="0" borderId="0" xfId="0" applyFont="1" applyFill="1"/>
    <xf numFmtId="0" fontId="26" fillId="0" borderId="0" xfId="0" applyFont="1"/>
    <xf numFmtId="0" fontId="19" fillId="0" borderId="0" xfId="67" applyAlignment="1" applyProtection="1"/>
    <xf numFmtId="0" fontId="0" fillId="0" borderId="0" xfId="0" applyAlignment="1">
      <alignment vertical="center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0" fontId="26" fillId="0" borderId="34" xfId="69" applyFont="1" applyBorder="1" applyAlignment="1" applyProtection="1">
      <alignment horizontal="center" vertical="center" wrapText="1"/>
    </xf>
    <xf numFmtId="0" fontId="26" fillId="0" borderId="35" xfId="69" applyFont="1" applyBorder="1" applyAlignment="1" applyProtection="1">
      <alignment horizontal="center" vertical="center" wrapText="1"/>
    </xf>
    <xf numFmtId="0" fontId="26" fillId="0" borderId="36" xfId="69" applyFont="1" applyBorder="1" applyAlignment="1" applyProtection="1">
      <alignment horizontal="center" vertical="center" wrapText="1"/>
    </xf>
    <xf numFmtId="0" fontId="26" fillId="0" borderId="37" xfId="69" applyFont="1" applyBorder="1" applyAlignment="1" applyProtection="1">
      <alignment horizontal="center" vertical="center" wrapText="1"/>
    </xf>
    <xf numFmtId="0" fontId="26" fillId="0" borderId="38" xfId="69" applyFont="1" applyBorder="1" applyAlignment="1" applyProtection="1">
      <alignment horizontal="center" vertical="center" wrapText="1"/>
    </xf>
    <xf numFmtId="0" fontId="26" fillId="0" borderId="39" xfId="69" applyFont="1" applyBorder="1" applyAlignment="1" applyProtection="1">
      <alignment horizontal="center" vertical="center" wrapText="1"/>
    </xf>
    <xf numFmtId="0" fontId="26" fillId="0" borderId="40" xfId="69" applyFont="1" applyBorder="1" applyAlignment="1" applyProtection="1">
      <alignment horizontal="center" vertical="center" wrapText="1"/>
    </xf>
    <xf numFmtId="1" fontId="30" fillId="0" borderId="27" xfId="68" applyNumberFormat="1" applyFont="1" applyFill="1" applyBorder="1" applyAlignment="1" applyProtection="1">
      <alignment vertical="center"/>
    </xf>
    <xf numFmtId="0" fontId="29" fillId="0" borderId="0" xfId="68" applyFont="1" applyBorder="1" applyAlignment="1" applyProtection="1">
      <alignment vertical="center"/>
    </xf>
    <xf numFmtId="0" fontId="30" fillId="0" borderId="0" xfId="68" applyFont="1" applyBorder="1" applyAlignment="1" applyProtection="1">
      <alignment vertical="center"/>
    </xf>
    <xf numFmtId="1" fontId="30" fillId="0" borderId="24" xfId="68" applyNumberFormat="1" applyFont="1" applyFill="1" applyBorder="1" applyAlignment="1" applyProtection="1">
      <alignment horizontal="center" vertical="center"/>
    </xf>
    <xf numFmtId="1" fontId="30" fillId="0" borderId="41" xfId="68" applyNumberFormat="1" applyFont="1" applyFill="1" applyBorder="1" applyAlignment="1" applyProtection="1">
      <alignment horizontal="center"/>
    </xf>
    <xf numFmtId="1" fontId="30" fillId="0" borderId="42" xfId="68" applyNumberFormat="1" applyFont="1" applyFill="1" applyBorder="1" applyAlignment="1" applyProtection="1">
      <alignment horizontal="center"/>
    </xf>
    <xf numFmtId="1" fontId="30" fillId="0" borderId="43" xfId="68" applyNumberFormat="1" applyFont="1" applyFill="1" applyBorder="1" applyAlignment="1" applyProtection="1">
      <alignment horizontal="center"/>
    </xf>
    <xf numFmtId="1" fontId="30" fillId="0" borderId="24" xfId="68" applyNumberFormat="1" applyFont="1" applyFill="1" applyBorder="1" applyAlignment="1" applyProtection="1">
      <alignment horizontal="center"/>
    </xf>
    <xf numFmtId="1" fontId="30" fillId="0" borderId="29" xfId="68" applyNumberFormat="1" applyFont="1" applyFill="1" applyBorder="1" applyAlignment="1" applyProtection="1">
      <alignment horizontal="center" vertical="center"/>
    </xf>
    <xf numFmtId="1" fontId="30" fillId="0" borderId="44" xfId="68" applyNumberFormat="1" applyFont="1" applyFill="1" applyBorder="1" applyAlignment="1" applyProtection="1">
      <alignment horizontal="center"/>
    </xf>
    <xf numFmtId="1" fontId="30" fillId="0" borderId="45" xfId="68" applyNumberFormat="1" applyFont="1" applyFill="1" applyBorder="1" applyAlignment="1" applyProtection="1">
      <alignment horizontal="center"/>
    </xf>
    <xf numFmtId="1" fontId="30" fillId="0" borderId="16" xfId="68" applyNumberFormat="1" applyFont="1" applyFill="1" applyBorder="1" applyAlignment="1" applyProtection="1">
      <alignment horizontal="center"/>
    </xf>
    <xf numFmtId="1" fontId="30" fillId="0" borderId="29" xfId="68" applyNumberFormat="1" applyFont="1" applyFill="1" applyBorder="1" applyAlignment="1" applyProtection="1">
      <alignment horizontal="center"/>
    </xf>
    <xf numFmtId="171" fontId="30" fillId="0" borderId="29" xfId="68" applyNumberFormat="1" applyFont="1" applyFill="1" applyBorder="1" applyAlignment="1" applyProtection="1">
      <alignment horizontal="center"/>
    </xf>
    <xf numFmtId="0" fontId="30" fillId="0" borderId="27" xfId="68" applyFont="1" applyBorder="1" applyAlignment="1" applyProtection="1">
      <alignment vertical="center"/>
    </xf>
    <xf numFmtId="172" fontId="29" fillId="20" borderId="38" xfId="68" applyNumberFormat="1" applyFont="1" applyFill="1" applyBorder="1" applyAlignment="1" applyProtection="1">
      <alignment horizontal="center" vertical="center"/>
    </xf>
    <xf numFmtId="172" fontId="30" fillId="0" borderId="46" xfId="68" applyNumberFormat="1" applyFont="1" applyFill="1" applyBorder="1" applyAlignment="1" applyProtection="1">
      <alignment horizontal="center"/>
    </xf>
    <xf numFmtId="172" fontId="30" fillId="0" borderId="47" xfId="68" applyNumberFormat="1" applyFont="1" applyFill="1" applyBorder="1" applyAlignment="1" applyProtection="1">
      <alignment horizontal="center"/>
    </xf>
    <xf numFmtId="172" fontId="29" fillId="20" borderId="38" xfId="68" applyNumberFormat="1" applyFont="1" applyFill="1" applyBorder="1" applyAlignment="1" applyProtection="1">
      <alignment horizontal="center"/>
    </xf>
    <xf numFmtId="171" fontId="31" fillId="21" borderId="38" xfId="68" applyNumberFormat="1" applyFont="1" applyFill="1" applyBorder="1" applyAlignment="1" applyProtection="1">
      <alignment horizontal="center"/>
      <protection locked="0"/>
    </xf>
    <xf numFmtId="172" fontId="30" fillId="0" borderId="10" xfId="68" applyNumberFormat="1" applyFont="1" applyFill="1" applyBorder="1" applyAlignment="1" applyProtection="1">
      <alignment horizontal="center"/>
    </xf>
    <xf numFmtId="172" fontId="29" fillId="0" borderId="29" xfId="68" applyNumberFormat="1" applyFont="1" applyFill="1" applyBorder="1" applyAlignment="1" applyProtection="1">
      <alignment horizontal="center" vertical="center"/>
    </xf>
    <xf numFmtId="172" fontId="30" fillId="0" borderId="44" xfId="68" applyNumberFormat="1" applyFont="1" applyFill="1" applyBorder="1" applyAlignment="1" applyProtection="1">
      <alignment horizontal="center"/>
    </xf>
    <xf numFmtId="172" fontId="30" fillId="0" borderId="45" xfId="68" applyNumberFormat="1" applyFont="1" applyFill="1" applyBorder="1" applyAlignment="1" applyProtection="1">
      <alignment horizontal="center"/>
    </xf>
    <xf numFmtId="172" fontId="30" fillId="0" borderId="16" xfId="68" applyNumberFormat="1" applyFont="1" applyFill="1" applyBorder="1" applyAlignment="1" applyProtection="1">
      <alignment horizontal="center"/>
    </xf>
    <xf numFmtId="172" fontId="29" fillId="0" borderId="29" xfId="68" applyNumberFormat="1" applyFont="1" applyFill="1" applyBorder="1" applyAlignment="1" applyProtection="1">
      <alignment horizontal="center"/>
    </xf>
    <xf numFmtId="171" fontId="30" fillId="0" borderId="29" xfId="68" applyNumberFormat="1" applyFont="1" applyFill="1" applyBorder="1" applyAlignment="1" applyProtection="1">
      <alignment horizontal="center"/>
      <protection locked="0"/>
    </xf>
    <xf numFmtId="1" fontId="29" fillId="0" borderId="30" xfId="68" applyNumberFormat="1" applyFont="1" applyBorder="1" applyAlignment="1" applyProtection="1">
      <alignment vertical="center"/>
    </xf>
    <xf numFmtId="1" fontId="29" fillId="0" borderId="31" xfId="68" applyNumberFormat="1" applyFont="1" applyBorder="1" applyAlignment="1" applyProtection="1">
      <alignment vertical="center"/>
    </xf>
    <xf numFmtId="172" fontId="31" fillId="0" borderId="33" xfId="68" applyNumberFormat="1" applyFont="1" applyFill="1" applyBorder="1" applyAlignment="1" applyProtection="1">
      <alignment horizontal="center" vertical="center"/>
    </xf>
    <xf numFmtId="172" fontId="30" fillId="0" borderId="48" xfId="68" applyNumberFormat="1" applyFont="1" applyFill="1" applyBorder="1" applyAlignment="1" applyProtection="1">
      <alignment horizontal="center"/>
    </xf>
    <xf numFmtId="172" fontId="30" fillId="0" borderId="49" xfId="68" applyNumberFormat="1" applyFont="1" applyFill="1" applyBorder="1" applyAlignment="1" applyProtection="1">
      <alignment horizontal="center"/>
    </xf>
    <xf numFmtId="172" fontId="30" fillId="0" borderId="50" xfId="68" applyNumberFormat="1" applyFont="1" applyFill="1" applyBorder="1" applyAlignment="1" applyProtection="1">
      <alignment horizontal="center"/>
    </xf>
    <xf numFmtId="172" fontId="30" fillId="0" borderId="33" xfId="68" applyNumberFormat="1" applyFont="1" applyFill="1" applyBorder="1" applyAlignment="1" applyProtection="1">
      <alignment horizontal="center"/>
    </xf>
    <xf numFmtId="171" fontId="31" fillId="0" borderId="33" xfId="68" applyNumberFormat="1" applyFont="1" applyFill="1" applyBorder="1" applyAlignment="1" applyProtection="1">
      <alignment horizontal="center"/>
      <protection locked="0"/>
    </xf>
    <xf numFmtId="0" fontId="30" fillId="0" borderId="21" xfId="68" applyFont="1" applyBorder="1" applyAlignment="1" applyProtection="1">
      <alignment vertical="center"/>
    </xf>
    <xf numFmtId="0" fontId="29" fillId="0" borderId="22" xfId="68" applyFont="1" applyBorder="1" applyAlignment="1" applyProtection="1">
      <alignment vertical="center"/>
    </xf>
    <xf numFmtId="0" fontId="30" fillId="0" borderId="0" xfId="70" applyFont="1" applyAlignment="1" applyProtection="1">
      <alignment vertical="center"/>
    </xf>
    <xf numFmtId="172" fontId="29" fillId="0" borderId="24" xfId="68" applyNumberFormat="1" applyFont="1" applyFill="1" applyBorder="1" applyAlignment="1" applyProtection="1">
      <alignment horizontal="center" vertical="center"/>
    </xf>
    <xf numFmtId="172" fontId="30" fillId="0" borderId="41" xfId="68" applyNumberFormat="1" applyFont="1" applyFill="1" applyBorder="1" applyAlignment="1" applyProtection="1">
      <alignment horizontal="center"/>
    </xf>
    <xf numFmtId="172" fontId="30" fillId="0" borderId="42" xfId="68" applyNumberFormat="1" applyFont="1" applyFill="1" applyBorder="1" applyAlignment="1" applyProtection="1">
      <alignment horizontal="center"/>
    </xf>
    <xf numFmtId="172" fontId="30" fillId="0" borderId="43" xfId="68" applyNumberFormat="1" applyFont="1" applyFill="1" applyBorder="1" applyAlignment="1" applyProtection="1">
      <alignment horizontal="center"/>
    </xf>
    <xf numFmtId="172" fontId="29" fillId="0" borderId="24" xfId="68" applyNumberFormat="1" applyFont="1" applyFill="1" applyBorder="1" applyAlignment="1" applyProtection="1">
      <alignment horizontal="center"/>
    </xf>
    <xf numFmtId="171" fontId="30" fillId="0" borderId="24" xfId="68" applyNumberFormat="1" applyFont="1" applyFill="1" applyBorder="1" applyAlignment="1" applyProtection="1">
      <alignment horizontal="center"/>
      <protection locked="0"/>
    </xf>
    <xf numFmtId="171" fontId="31" fillId="0" borderId="33" xfId="68" applyNumberFormat="1" applyFont="1" applyFill="1" applyBorder="1" applyAlignment="1" applyProtection="1">
      <alignment horizontal="center"/>
    </xf>
    <xf numFmtId="0" fontId="32" fillId="0" borderId="0" xfId="0" applyFont="1" applyAlignment="1">
      <alignment vertical="center"/>
    </xf>
    <xf numFmtId="0" fontId="19" fillId="0" borderId="0" xfId="67" applyAlignment="1" applyProtection="1">
      <alignment vertical="center"/>
    </xf>
    <xf numFmtId="0" fontId="25" fillId="0" borderId="0" xfId="0" applyFont="1" applyAlignment="1">
      <alignment vertical="center"/>
    </xf>
    <xf numFmtId="0" fontId="25" fillId="0" borderId="0" xfId="69" applyFont="1" applyAlignment="1" applyProtection="1">
      <alignment vertical="center"/>
    </xf>
    <xf numFmtId="0" fontId="32" fillId="0" borderId="0" xfId="69" applyFont="1" applyAlignment="1" applyProtection="1">
      <alignment vertical="center"/>
    </xf>
    <xf numFmtId="0" fontId="25" fillId="0" borderId="0" xfId="69" applyFont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32" fillId="0" borderId="52" xfId="69" applyFont="1" applyBorder="1" applyAlignment="1" applyProtection="1">
      <alignment horizontal="centerContinuous" vertical="center"/>
    </xf>
    <xf numFmtId="0" fontId="32" fillId="0" borderId="53" xfId="69" applyFont="1" applyBorder="1" applyAlignment="1" applyProtection="1">
      <alignment horizontal="centerContinuous" vertical="center"/>
    </xf>
    <xf numFmtId="0" fontId="25" fillId="0" borderId="54" xfId="69" applyFont="1" applyBorder="1" applyAlignment="1" applyProtection="1">
      <alignment horizontal="centerContinuous" vertical="center"/>
    </xf>
    <xf numFmtId="0" fontId="25" fillId="0" borderId="53" xfId="69" applyFont="1" applyBorder="1" applyAlignment="1" applyProtection="1">
      <alignment horizontal="centerContinuous" vertical="center"/>
    </xf>
    <xf numFmtId="0" fontId="32" fillId="0" borderId="55" xfId="69" applyFont="1" applyBorder="1" applyAlignment="1" applyProtection="1">
      <alignment horizontal="centerContinuous" vertical="center"/>
    </xf>
    <xf numFmtId="0" fontId="32" fillId="0" borderId="56" xfId="69" applyFont="1" applyBorder="1" applyAlignment="1" applyProtection="1">
      <alignment horizontal="centerContinuous" vertical="center"/>
    </xf>
    <xf numFmtId="0" fontId="32" fillId="0" borderId="57" xfId="69" applyFont="1" applyBorder="1" applyAlignment="1" applyProtection="1">
      <alignment horizontal="centerContinuous" vertical="center"/>
    </xf>
    <xf numFmtId="0" fontId="32" fillId="0" borderId="58" xfId="69" applyFont="1" applyBorder="1" applyAlignment="1" applyProtection="1">
      <alignment horizontal="center" vertical="center" wrapText="1"/>
    </xf>
    <xf numFmtId="0" fontId="32" fillId="0" borderId="60" xfId="69" applyFont="1" applyBorder="1" applyAlignment="1" applyProtection="1">
      <alignment horizontal="center" vertical="center" wrapText="1"/>
    </xf>
    <xf numFmtId="0" fontId="32" fillId="0" borderId="59" xfId="69" applyFont="1" applyBorder="1" applyAlignment="1" applyProtection="1">
      <alignment horizontal="center" vertical="center" wrapText="1"/>
    </xf>
    <xf numFmtId="0" fontId="32" fillId="0" borderId="20" xfId="69" applyFont="1" applyBorder="1" applyAlignment="1" applyProtection="1">
      <alignment horizontal="center" vertical="center" wrapText="1"/>
    </xf>
    <xf numFmtId="0" fontId="32" fillId="0" borderId="46" xfId="69" applyFont="1" applyBorder="1" applyAlignment="1" applyProtection="1">
      <alignment horizontal="center" vertical="center" wrapText="1"/>
    </xf>
    <xf numFmtId="0" fontId="32" fillId="0" borderId="47" xfId="69" applyFont="1" applyBorder="1" applyAlignment="1" applyProtection="1">
      <alignment horizontal="center" vertical="center" wrapText="1"/>
    </xf>
    <xf numFmtId="0" fontId="32" fillId="0" borderId="61" xfId="69" applyFont="1" applyBorder="1" applyAlignment="1" applyProtection="1">
      <alignment horizontal="center" vertical="center" wrapText="1"/>
    </xf>
    <xf numFmtId="0" fontId="25" fillId="0" borderId="27" xfId="69" applyFont="1" applyBorder="1" applyAlignment="1" applyProtection="1">
      <alignment vertical="center"/>
    </xf>
    <xf numFmtId="0" fontId="25" fillId="0" borderId="62" xfId="69" applyNumberFormat="1" applyFont="1" applyBorder="1" applyAlignment="1" applyProtection="1">
      <alignment horizontal="center" vertical="center" wrapText="1"/>
    </xf>
    <xf numFmtId="171" fontId="2" fillId="0" borderId="58" xfId="69" applyNumberFormat="1" applyFont="1" applyFill="1" applyBorder="1" applyAlignment="1" applyProtection="1">
      <alignment horizontal="center" vertical="center"/>
    </xf>
    <xf numFmtId="171" fontId="2" fillId="0" borderId="20" xfId="69" applyNumberFormat="1" applyFont="1" applyFill="1" applyBorder="1" applyAlignment="1" applyProtection="1">
      <alignment horizontal="center" vertical="center"/>
    </xf>
    <xf numFmtId="171" fontId="2" fillId="0" borderId="59" xfId="69" applyNumberFormat="1" applyFont="1" applyFill="1" applyBorder="1" applyAlignment="1" applyProtection="1">
      <alignment horizontal="center" vertical="center"/>
    </xf>
    <xf numFmtId="171" fontId="2" fillId="0" borderId="60" xfId="69" applyNumberFormat="1" applyFont="1" applyFill="1" applyBorder="1" applyAlignment="1" applyProtection="1">
      <alignment horizontal="center" vertical="center"/>
    </xf>
    <xf numFmtId="0" fontId="2" fillId="0" borderId="0" xfId="69" applyProtection="1"/>
    <xf numFmtId="171" fontId="2" fillId="20" borderId="46" xfId="69" applyNumberFormat="1" applyFill="1" applyBorder="1" applyAlignment="1" applyProtection="1">
      <alignment horizontal="center" vertical="center"/>
    </xf>
    <xf numFmtId="171" fontId="2" fillId="20" borderId="47" xfId="69" applyNumberFormat="1" applyFill="1" applyBorder="1" applyAlignment="1" applyProtection="1">
      <alignment horizontal="center" vertical="center"/>
    </xf>
    <xf numFmtId="171" fontId="2" fillId="20" borderId="61" xfId="69" applyNumberFormat="1" applyFill="1" applyBorder="1" applyAlignment="1" applyProtection="1">
      <alignment horizontal="center" vertical="center"/>
    </xf>
    <xf numFmtId="0" fontId="2" fillId="0" borderId="0" xfId="0" applyFont="1" applyProtection="1"/>
    <xf numFmtId="164" fontId="2" fillId="20" borderId="61" xfId="1" applyNumberFormat="1" applyFont="1" applyFill="1" applyBorder="1" applyAlignment="1" applyProtection="1">
      <alignment horizontal="center" vertical="center"/>
    </xf>
    <xf numFmtId="171" fontId="2" fillId="0" borderId="46" xfId="69" applyNumberFormat="1" applyFont="1" applyFill="1" applyBorder="1" applyAlignment="1" applyProtection="1">
      <alignment horizontal="center" vertical="center"/>
    </xf>
    <xf numFmtId="171" fontId="2" fillId="0" borderId="12" xfId="69" applyNumberFormat="1" applyFont="1" applyFill="1" applyBorder="1" applyAlignment="1" applyProtection="1">
      <alignment horizontal="center" vertical="center"/>
    </xf>
    <xf numFmtId="171" fontId="2" fillId="0" borderId="61" xfId="69" applyNumberFormat="1" applyFont="1" applyFill="1" applyBorder="1" applyAlignment="1" applyProtection="1">
      <alignment horizontal="center" vertical="center"/>
    </xf>
    <xf numFmtId="171" fontId="2" fillId="0" borderId="47" xfId="69" applyNumberFormat="1" applyFont="1" applyFill="1" applyBorder="1" applyAlignment="1" applyProtection="1">
      <alignment horizontal="center" vertical="center"/>
    </xf>
    <xf numFmtId="0" fontId="25" fillId="0" borderId="27" xfId="69" applyFont="1" applyBorder="1" applyAlignment="1" applyProtection="1">
      <alignment vertical="center" wrapText="1"/>
    </xf>
    <xf numFmtId="171" fontId="26" fillId="20" borderId="46" xfId="69" applyNumberFormat="1" applyFont="1" applyFill="1" applyBorder="1" applyAlignment="1" applyProtection="1">
      <alignment horizontal="center" vertical="center"/>
    </xf>
    <xf numFmtId="171" fontId="26" fillId="20" borderId="47" xfId="69" applyNumberFormat="1" applyFont="1" applyFill="1" applyBorder="1" applyAlignment="1" applyProtection="1">
      <alignment horizontal="center" vertical="center"/>
    </xf>
    <xf numFmtId="171" fontId="26" fillId="20" borderId="61" xfId="69" applyNumberFormat="1" applyFont="1" applyFill="1" applyBorder="1" applyAlignment="1" applyProtection="1">
      <alignment horizontal="center" vertical="center"/>
    </xf>
    <xf numFmtId="171" fontId="26" fillId="20" borderId="12" xfId="69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vertical="center" wrapText="1"/>
    </xf>
    <xf numFmtId="0" fontId="25" fillId="0" borderId="63" xfId="69" applyNumberFormat="1" applyFont="1" applyBorder="1" applyAlignment="1" applyProtection="1">
      <alignment horizontal="center" vertical="center" wrapText="1"/>
    </xf>
    <xf numFmtId="171" fontId="26" fillId="20" borderId="36" xfId="69" applyNumberFormat="1" applyFont="1" applyFill="1" applyBorder="1" applyAlignment="1" applyProtection="1">
      <alignment horizontal="center" vertical="center"/>
    </xf>
    <xf numFmtId="171" fontId="26" fillId="20" borderId="35" xfId="69" applyNumberFormat="1" applyFont="1" applyFill="1" applyBorder="1" applyAlignment="1" applyProtection="1">
      <alignment horizontal="center" vertical="center"/>
    </xf>
    <xf numFmtId="171" fontId="26" fillId="20" borderId="39" xfId="69" applyNumberFormat="1" applyFont="1" applyFill="1" applyBorder="1" applyAlignment="1" applyProtection="1">
      <alignment horizontal="center" vertical="center"/>
    </xf>
    <xf numFmtId="171" fontId="26" fillId="20" borderId="34" xfId="69" applyNumberFormat="1" applyFont="1" applyFill="1" applyBorder="1" applyAlignment="1" applyProtection="1">
      <alignment horizontal="center" vertical="center"/>
    </xf>
    <xf numFmtId="171" fontId="2" fillId="20" borderId="36" xfId="69" applyNumberFormat="1" applyFill="1" applyBorder="1" applyAlignment="1" applyProtection="1">
      <alignment horizontal="center" vertical="center"/>
    </xf>
    <xf numFmtId="171" fontId="2" fillId="20" borderId="35" xfId="69" applyNumberFormat="1" applyFill="1" applyBorder="1" applyAlignment="1" applyProtection="1">
      <alignment horizontal="center" vertical="center"/>
    </xf>
    <xf numFmtId="171" fontId="2" fillId="20" borderId="39" xfId="69" applyNumberFormat="1" applyFill="1" applyBorder="1" applyAlignment="1" applyProtection="1">
      <alignment horizontal="center" vertical="center"/>
    </xf>
    <xf numFmtId="164" fontId="2" fillId="20" borderId="39" xfId="1" applyNumberFormat="1" applyFont="1" applyFill="1" applyBorder="1" applyAlignment="1" applyProtection="1">
      <alignment horizontal="center" vertical="center"/>
    </xf>
    <xf numFmtId="0" fontId="2" fillId="0" borderId="0" xfId="69" applyAlignment="1" applyProtection="1">
      <alignment horizontal="center" vertical="center"/>
    </xf>
    <xf numFmtId="0" fontId="26" fillId="0" borderId="52" xfId="69" applyFont="1" applyBorder="1" applyAlignment="1" applyProtection="1">
      <alignment horizontal="centerContinuous" vertical="center"/>
    </xf>
    <xf numFmtId="0" fontId="26" fillId="0" borderId="53" xfId="69" applyFont="1" applyBorder="1" applyAlignment="1" applyProtection="1">
      <alignment horizontal="centerContinuous" vertical="center"/>
    </xf>
    <xf numFmtId="0" fontId="2" fillId="0" borderId="54" xfId="69" applyBorder="1" applyAlignment="1" applyProtection="1">
      <alignment horizontal="centerContinuous" vertical="center"/>
    </xf>
    <xf numFmtId="0" fontId="2" fillId="0" borderId="53" xfId="69" applyBorder="1" applyAlignment="1" applyProtection="1">
      <alignment horizontal="centerContinuous" vertical="center"/>
    </xf>
    <xf numFmtId="0" fontId="26" fillId="0" borderId="58" xfId="69" applyFont="1" applyBorder="1" applyAlignment="1" applyProtection="1">
      <alignment horizontal="center" vertical="center" wrapText="1"/>
    </xf>
    <xf numFmtId="0" fontId="26" fillId="0" borderId="60" xfId="69" applyFont="1" applyBorder="1" applyAlignment="1" applyProtection="1">
      <alignment horizontal="center" vertical="center" wrapText="1"/>
    </xf>
    <xf numFmtId="0" fontId="26" fillId="0" borderId="59" xfId="69" applyFont="1" applyBorder="1" applyAlignment="1" applyProtection="1">
      <alignment horizontal="center" vertical="center" wrapText="1"/>
    </xf>
    <xf numFmtId="0" fontId="26" fillId="0" borderId="20" xfId="69" applyFont="1" applyBorder="1" applyAlignment="1" applyProtection="1">
      <alignment horizontal="center" vertical="center" wrapText="1"/>
    </xf>
    <xf numFmtId="0" fontId="32" fillId="0" borderId="44" xfId="69" applyFont="1" applyBorder="1" applyAlignment="1" applyProtection="1">
      <alignment horizontal="left" vertical="center"/>
    </xf>
    <xf numFmtId="0" fontId="25" fillId="0" borderId="62" xfId="69" applyFont="1" applyFill="1" applyBorder="1" applyAlignment="1" applyProtection="1">
      <alignment horizontal="center" vertical="center"/>
    </xf>
    <xf numFmtId="0" fontId="2" fillId="0" borderId="64" xfId="69" applyFill="1" applyBorder="1" applyAlignment="1" applyProtection="1">
      <alignment horizontal="center" vertical="center"/>
    </xf>
    <xf numFmtId="0" fontId="2" fillId="0" borderId="19" xfId="69" applyFill="1" applyBorder="1" applyAlignment="1" applyProtection="1">
      <alignment horizontal="center" vertical="center"/>
    </xf>
    <xf numFmtId="0" fontId="2" fillId="0" borderId="65" xfId="69" applyFill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 wrapText="1"/>
    </xf>
    <xf numFmtId="171" fontId="2" fillId="21" borderId="46" xfId="69" applyNumberFormat="1" applyFont="1" applyFill="1" applyBorder="1" applyAlignment="1" applyProtection="1">
      <alignment horizontal="center" vertical="center"/>
      <protection locked="0"/>
    </xf>
    <xf numFmtId="0" fontId="25" fillId="0" borderId="44" xfId="69" applyFont="1" applyBorder="1" applyAlignment="1" applyProtection="1">
      <alignment horizontal="left" vertical="center" wrapText="1"/>
    </xf>
    <xf numFmtId="171" fontId="33" fillId="21" borderId="46" xfId="69" applyNumberFormat="1" applyFont="1" applyFill="1" applyBorder="1" applyAlignment="1" applyProtection="1">
      <alignment horizontal="center" vertical="center"/>
      <protection locked="0"/>
    </xf>
    <xf numFmtId="171" fontId="33" fillId="21" borderId="12" xfId="69" applyNumberFormat="1" applyFont="1" applyFill="1" applyBorder="1" applyAlignment="1" applyProtection="1">
      <alignment horizontal="center" vertical="center"/>
      <protection locked="0"/>
    </xf>
    <xf numFmtId="171" fontId="33" fillId="21" borderId="61" xfId="69" applyNumberFormat="1" applyFont="1" applyFill="1" applyBorder="1" applyAlignment="1" applyProtection="1">
      <alignment horizontal="center" vertical="center"/>
      <protection locked="0"/>
    </xf>
    <xf numFmtId="171" fontId="33" fillId="21" borderId="47" xfId="69" applyNumberFormat="1" applyFont="1" applyFill="1" applyBorder="1" applyAlignment="1" applyProtection="1">
      <alignment horizontal="center" vertical="center"/>
      <protection locked="0"/>
    </xf>
    <xf numFmtId="0" fontId="25" fillId="0" borderId="62" xfId="69" applyNumberFormat="1" applyFont="1" applyBorder="1" applyAlignment="1" applyProtection="1">
      <alignment horizontal="center" vertical="center"/>
    </xf>
    <xf numFmtId="0" fontId="2" fillId="0" borderId="66" xfId="69" applyBorder="1" applyAlignment="1" applyProtection="1">
      <alignment horizontal="center" vertical="center"/>
    </xf>
    <xf numFmtId="0" fontId="2" fillId="0" borderId="14" xfId="69" applyBorder="1" applyAlignment="1" applyProtection="1">
      <alignment horizontal="center" vertical="center"/>
    </xf>
    <xf numFmtId="0" fontId="2" fillId="0" borderId="67" xfId="69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 wrapText="1"/>
    </xf>
    <xf numFmtId="0" fontId="25" fillId="0" borderId="27" xfId="69" applyFont="1" applyBorder="1" applyAlignment="1" applyProtection="1">
      <alignment horizontal="left" vertical="center" wrapText="1"/>
    </xf>
    <xf numFmtId="0" fontId="2" fillId="0" borderId="27" xfId="69" applyBorder="1" applyAlignment="1" applyProtection="1">
      <alignment horizontal="center" vertical="center"/>
    </xf>
    <xf numFmtId="0" fontId="2" fillId="0" borderId="0" xfId="69" applyBorder="1" applyAlignment="1" applyProtection="1">
      <alignment horizontal="center" vertical="center"/>
    </xf>
    <xf numFmtId="0" fontId="2" fillId="0" borderId="28" xfId="69" applyBorder="1" applyAlignment="1" applyProtection="1">
      <alignment horizontal="center" vertical="center"/>
    </xf>
    <xf numFmtId="0" fontId="2" fillId="0" borderId="64" xfId="69" applyBorder="1" applyProtection="1"/>
    <xf numFmtId="0" fontId="2" fillId="0" borderId="19" xfId="69" applyBorder="1" applyProtection="1"/>
    <xf numFmtId="0" fontId="2" fillId="0" borderId="65" xfId="69" applyBorder="1" applyProtection="1"/>
    <xf numFmtId="0" fontId="32" fillId="0" borderId="30" xfId="69" applyFont="1" applyBorder="1" applyAlignment="1" applyProtection="1">
      <alignment horizontal="left" vertical="center" wrapText="1"/>
    </xf>
    <xf numFmtId="0" fontId="34" fillId="0" borderId="0" xfId="0" applyFont="1" applyProtection="1"/>
    <xf numFmtId="0" fontId="32" fillId="0" borderId="44" xfId="69" applyFont="1" applyBorder="1" applyAlignment="1" applyProtection="1">
      <alignment vertical="center"/>
    </xf>
    <xf numFmtId="0" fontId="32" fillId="0" borderId="16" xfId="69" applyFont="1" applyBorder="1" applyAlignment="1" applyProtection="1">
      <alignment horizontal="center" vertical="center"/>
    </xf>
    <xf numFmtId="0" fontId="26" fillId="0" borderId="66" xfId="69" applyFont="1" applyBorder="1" applyAlignment="1" applyProtection="1">
      <alignment horizontal="center" vertical="center"/>
    </xf>
    <xf numFmtId="0" fontId="26" fillId="0" borderId="14" xfId="69" applyFont="1" applyBorder="1" applyAlignment="1" applyProtection="1">
      <alignment horizontal="center" vertical="center"/>
    </xf>
    <xf numFmtId="0" fontId="26" fillId="0" borderId="67" xfId="69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25" fillId="0" borderId="16" xfId="69" applyNumberFormat="1" applyFont="1" applyBorder="1" applyAlignment="1" applyProtection="1">
      <alignment horizontal="center" vertical="center" wrapText="1"/>
    </xf>
    <xf numFmtId="0" fontId="26" fillId="0" borderId="27" xfId="69" applyFont="1" applyBorder="1" applyAlignment="1" applyProtection="1">
      <alignment horizontal="center" vertical="center"/>
    </xf>
    <xf numFmtId="0" fontId="26" fillId="0" borderId="0" xfId="69" applyFont="1" applyBorder="1" applyAlignment="1" applyProtection="1">
      <alignment horizontal="center" vertical="center"/>
    </xf>
    <xf numFmtId="0" fontId="26" fillId="0" borderId="28" xfId="69" applyFont="1" applyBorder="1" applyAlignment="1" applyProtection="1">
      <alignment horizontal="center" vertical="center"/>
    </xf>
    <xf numFmtId="1" fontId="33" fillId="21" borderId="46" xfId="69" applyNumberFormat="1" applyFont="1" applyFill="1" applyBorder="1" applyAlignment="1" applyProtection="1">
      <alignment horizontal="center" vertical="center"/>
      <protection locked="0"/>
    </xf>
    <xf numFmtId="1" fontId="33" fillId="21" borderId="12" xfId="69" applyNumberFormat="1" applyFont="1" applyFill="1" applyBorder="1" applyAlignment="1" applyProtection="1">
      <alignment horizontal="center" vertical="center"/>
      <protection locked="0"/>
    </xf>
    <xf numFmtId="1" fontId="33" fillId="21" borderId="61" xfId="69" applyNumberFormat="1" applyFont="1" applyFill="1" applyBorder="1" applyAlignment="1" applyProtection="1">
      <alignment horizontal="center" vertical="center"/>
      <protection locked="0"/>
    </xf>
    <xf numFmtId="1" fontId="33" fillId="21" borderId="47" xfId="69" applyNumberFormat="1" applyFont="1" applyFill="1" applyBorder="1" applyAlignment="1" applyProtection="1">
      <alignment horizontal="center" vertical="center"/>
      <protection locked="0"/>
    </xf>
    <xf numFmtId="1" fontId="26" fillId="0" borderId="27" xfId="69" applyNumberFormat="1" applyFont="1" applyBorder="1" applyAlignment="1" applyProtection="1">
      <alignment horizontal="center" vertical="center"/>
    </xf>
    <xf numFmtId="1" fontId="26" fillId="0" borderId="0" xfId="69" applyNumberFormat="1" applyFont="1" applyBorder="1" applyAlignment="1" applyProtection="1">
      <alignment horizontal="center" vertical="center"/>
    </xf>
    <xf numFmtId="1" fontId="26" fillId="0" borderId="28" xfId="69" applyNumberFormat="1" applyFont="1" applyBorder="1" applyAlignment="1" applyProtection="1">
      <alignment horizontal="center" vertical="center"/>
    </xf>
    <xf numFmtId="1" fontId="2" fillId="0" borderId="0" xfId="69" applyNumberFormat="1" applyBorder="1" applyAlignment="1" applyProtection="1">
      <alignment horizontal="center" vertical="center"/>
    </xf>
    <xf numFmtId="1" fontId="2" fillId="0" borderId="28" xfId="69" applyNumberFormat="1" applyBorder="1" applyAlignment="1" applyProtection="1">
      <alignment horizontal="center" vertical="center"/>
    </xf>
    <xf numFmtId="0" fontId="25" fillId="0" borderId="44" xfId="69" applyFont="1" applyBorder="1" applyAlignment="1" applyProtection="1">
      <alignment horizontal="left" vertical="center"/>
    </xf>
    <xf numFmtId="1" fontId="33" fillId="21" borderId="68" xfId="69" applyNumberFormat="1" applyFont="1" applyFill="1" applyBorder="1" applyAlignment="1" applyProtection="1">
      <alignment horizontal="center" vertical="center"/>
      <protection locked="0"/>
    </xf>
    <xf numFmtId="1" fontId="33" fillId="21" borderId="15" xfId="69" applyNumberFormat="1" applyFont="1" applyFill="1" applyBorder="1" applyAlignment="1" applyProtection="1">
      <alignment horizontal="center" vertical="center"/>
      <protection locked="0"/>
    </xf>
    <xf numFmtId="1" fontId="33" fillId="21" borderId="69" xfId="69" applyNumberFormat="1" applyFont="1" applyFill="1" applyBorder="1" applyAlignment="1" applyProtection="1">
      <alignment horizontal="center" vertical="center"/>
      <protection locked="0"/>
    </xf>
    <xf numFmtId="1" fontId="33" fillId="21" borderId="70" xfId="69" applyNumberFormat="1" applyFont="1" applyFill="1" applyBorder="1" applyAlignment="1" applyProtection="1">
      <alignment horizontal="center" vertical="center"/>
      <protection locked="0"/>
    </xf>
    <xf numFmtId="1" fontId="26" fillId="20" borderId="46" xfId="69" applyNumberFormat="1" applyFont="1" applyFill="1" applyBorder="1" applyAlignment="1" applyProtection="1">
      <alignment horizontal="center" vertical="center"/>
    </xf>
    <xf numFmtId="1" fontId="26" fillId="20" borderId="47" xfId="69" applyNumberFormat="1" applyFont="1" applyFill="1" applyBorder="1" applyAlignment="1" applyProtection="1">
      <alignment horizontal="center" vertical="center"/>
    </xf>
    <xf numFmtId="1" fontId="26" fillId="20" borderId="61" xfId="69" applyNumberFormat="1" applyFont="1" applyFill="1" applyBorder="1" applyAlignment="1" applyProtection="1">
      <alignment horizontal="center" vertical="center"/>
    </xf>
    <xf numFmtId="1" fontId="26" fillId="20" borderId="12" xfId="69" applyNumberFormat="1" applyFont="1" applyFill="1" applyBorder="1" applyAlignment="1" applyProtection="1">
      <alignment horizontal="center" vertical="center"/>
    </xf>
    <xf numFmtId="0" fontId="34" fillId="0" borderId="0" xfId="0" applyFont="1" applyBorder="1" applyProtection="1"/>
    <xf numFmtId="0" fontId="32" fillId="0" borderId="48" xfId="69" applyFont="1" applyBorder="1" applyAlignment="1" applyProtection="1">
      <alignment horizontal="left" vertical="center" wrapText="1"/>
    </xf>
    <xf numFmtId="0" fontId="25" fillId="0" borderId="50" xfId="69" applyNumberFormat="1" applyFont="1" applyBorder="1" applyAlignment="1" applyProtection="1">
      <alignment horizontal="center" vertical="center" wrapText="1"/>
    </xf>
    <xf numFmtId="1" fontId="26" fillId="20" borderId="36" xfId="69" applyNumberFormat="1" applyFont="1" applyFill="1" applyBorder="1" applyAlignment="1" applyProtection="1">
      <alignment horizontal="center" vertical="center"/>
    </xf>
    <xf numFmtId="1" fontId="26" fillId="20" borderId="35" xfId="69" applyNumberFormat="1" applyFont="1" applyFill="1" applyBorder="1" applyAlignment="1" applyProtection="1">
      <alignment horizontal="center" vertical="center"/>
    </xf>
    <xf numFmtId="1" fontId="26" fillId="20" borderId="39" xfId="69" applyNumberFormat="1" applyFont="1" applyFill="1" applyBorder="1" applyAlignment="1" applyProtection="1">
      <alignment horizontal="center" vertical="center"/>
    </xf>
    <xf numFmtId="1" fontId="26" fillId="20" borderId="34" xfId="69" applyNumberFormat="1" applyFont="1" applyFill="1" applyBorder="1" applyAlignment="1" applyProtection="1">
      <alignment horizontal="center" vertical="center"/>
    </xf>
    <xf numFmtId="0" fontId="32" fillId="0" borderId="0" xfId="69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center" vertical="center"/>
    </xf>
    <xf numFmtId="0" fontId="32" fillId="0" borderId="0" xfId="69" applyFont="1" applyAlignment="1" applyProtection="1">
      <alignment horizontal="left" vertical="center" wrapText="1"/>
    </xf>
    <xf numFmtId="0" fontId="25" fillId="0" borderId="0" xfId="69" applyNumberFormat="1" applyFont="1" applyAlignment="1" applyProtection="1">
      <alignment horizontal="center" vertical="center" wrapText="1"/>
    </xf>
    <xf numFmtId="0" fontId="2" fillId="0" borderId="0" xfId="69" applyFill="1" applyAlignment="1" applyProtection="1">
      <alignment horizontal="center" vertical="center"/>
    </xf>
    <xf numFmtId="0" fontId="26" fillId="0" borderId="55" xfId="69" applyFont="1" applyBorder="1" applyAlignment="1" applyProtection="1">
      <alignment horizontal="centerContinuous" vertical="center"/>
    </xf>
    <xf numFmtId="0" fontId="26" fillId="0" borderId="56" xfId="69" applyFont="1" applyBorder="1" applyAlignment="1" applyProtection="1">
      <alignment horizontal="centerContinuous" vertical="center"/>
    </xf>
    <xf numFmtId="0" fontId="26" fillId="0" borderId="57" xfId="69" applyFont="1" applyBorder="1" applyAlignment="1" applyProtection="1">
      <alignment horizontal="centerContinuous" vertical="center"/>
    </xf>
    <xf numFmtId="0" fontId="26" fillId="0" borderId="46" xfId="69" applyFont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 wrapText="1"/>
    </xf>
    <xf numFmtId="0" fontId="26" fillId="0" borderId="61" xfId="69" applyFont="1" applyBorder="1" applyAlignment="1" applyProtection="1">
      <alignment horizontal="center" vertical="center" wrapText="1"/>
    </xf>
    <xf numFmtId="0" fontId="32" fillId="0" borderId="27" xfId="69" applyFont="1" applyBorder="1" applyAlignment="1" applyProtection="1">
      <alignment vertical="center" wrapText="1"/>
    </xf>
    <xf numFmtId="0" fontId="32" fillId="0" borderId="13" xfId="69" applyFont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/>
    </xf>
    <xf numFmtId="0" fontId="25" fillId="0" borderId="16" xfId="69" applyFont="1" applyFill="1" applyBorder="1" applyAlignment="1" applyProtection="1">
      <alignment horizontal="center" vertical="center"/>
    </xf>
    <xf numFmtId="0" fontId="2" fillId="0" borderId="64" xfId="69" applyBorder="1" applyAlignment="1" applyProtection="1">
      <alignment horizontal="center" vertical="center"/>
    </xf>
    <xf numFmtId="0" fontId="2" fillId="0" borderId="19" xfId="69" applyBorder="1" applyAlignment="1" applyProtection="1">
      <alignment horizontal="center" vertical="center"/>
    </xf>
    <xf numFmtId="0" fontId="2" fillId="0" borderId="65" xfId="69" applyBorder="1" applyAlignment="1" applyProtection="1">
      <alignment horizontal="center" vertical="center"/>
    </xf>
    <xf numFmtId="171" fontId="2" fillId="20" borderId="12" xfId="69" applyNumberFormat="1" applyFill="1" applyBorder="1" applyAlignment="1" applyProtection="1">
      <alignment horizontal="center" vertical="center"/>
    </xf>
    <xf numFmtId="0" fontId="25" fillId="0" borderId="16" xfId="69" applyNumberFormat="1" applyFont="1" applyBorder="1" applyAlignment="1" applyProtection="1">
      <alignment horizontal="center" vertical="center"/>
    </xf>
    <xf numFmtId="0" fontId="2" fillId="0" borderId="71" xfId="69" applyBorder="1" applyAlignment="1" applyProtection="1">
      <alignment horizontal="center" vertical="center"/>
    </xf>
    <xf numFmtId="0" fontId="2" fillId="0" borderId="11" xfId="69" applyBorder="1" applyAlignment="1" applyProtection="1">
      <alignment horizontal="center" vertical="center"/>
    </xf>
    <xf numFmtId="0" fontId="2" fillId="0" borderId="40" xfId="69" applyBorder="1" applyAlignment="1" applyProtection="1">
      <alignment horizontal="center" vertical="center"/>
    </xf>
    <xf numFmtId="0" fontId="2" fillId="0" borderId="71" xfId="69" applyFill="1" applyBorder="1" applyAlignment="1" applyProtection="1">
      <alignment horizontal="center" vertical="center"/>
    </xf>
    <xf numFmtId="171" fontId="33" fillId="22" borderId="46" xfId="69" applyNumberFormat="1" applyFont="1" applyFill="1" applyBorder="1" applyAlignment="1" applyProtection="1">
      <alignment horizontal="center" vertical="center"/>
    </xf>
    <xf numFmtId="171" fontId="33" fillId="22" borderId="12" xfId="69" applyNumberFormat="1" applyFont="1" applyFill="1" applyBorder="1" applyAlignment="1" applyProtection="1">
      <alignment horizontal="center" vertical="center"/>
    </xf>
    <xf numFmtId="164" fontId="26" fillId="20" borderId="61" xfId="1" applyNumberFormat="1" applyFont="1" applyFill="1" applyBorder="1" applyAlignment="1" applyProtection="1">
      <alignment horizontal="center" vertical="center"/>
    </xf>
    <xf numFmtId="171" fontId="33" fillId="22" borderId="36" xfId="69" applyNumberFormat="1" applyFont="1" applyFill="1" applyBorder="1" applyAlignment="1" applyProtection="1">
      <alignment horizontal="center" vertical="center"/>
    </xf>
    <xf numFmtId="171" fontId="33" fillId="22" borderId="34" xfId="69" applyNumberFormat="1" applyFont="1" applyFill="1" applyBorder="1" applyAlignment="1" applyProtection="1">
      <alignment horizontal="center" vertical="center"/>
    </xf>
    <xf numFmtId="171" fontId="33" fillId="21" borderId="34" xfId="69" applyNumberFormat="1" applyFont="1" applyFill="1" applyBorder="1" applyAlignment="1" applyProtection="1">
      <alignment horizontal="center" vertical="center"/>
      <protection locked="0"/>
    </xf>
    <xf numFmtId="171" fontId="33" fillId="21" borderId="39" xfId="69" applyNumberFormat="1" applyFont="1" applyFill="1" applyBorder="1" applyAlignment="1" applyProtection="1">
      <alignment horizontal="center" vertical="center"/>
      <protection locked="0"/>
    </xf>
    <xf numFmtId="171" fontId="33" fillId="21" borderId="35" xfId="69" applyNumberFormat="1" applyFont="1" applyFill="1" applyBorder="1" applyAlignment="1" applyProtection="1">
      <alignment horizontal="center" vertical="center"/>
      <protection locked="0"/>
    </xf>
    <xf numFmtId="164" fontId="26" fillId="20" borderId="39" xfId="1" applyNumberFormat="1" applyFont="1" applyFill="1" applyBorder="1" applyAlignment="1" applyProtection="1">
      <alignment horizontal="center" vertical="center"/>
    </xf>
    <xf numFmtId="0" fontId="25" fillId="0" borderId="62" xfId="69" applyFont="1" applyBorder="1" applyAlignment="1" applyProtection="1">
      <alignment horizontal="center" vertical="center"/>
    </xf>
    <xf numFmtId="171" fontId="2" fillId="20" borderId="58" xfId="69" applyNumberFormat="1" applyFill="1" applyBorder="1" applyAlignment="1" applyProtection="1">
      <alignment horizontal="center" vertical="center"/>
    </xf>
    <xf numFmtId="171" fontId="2" fillId="20" borderId="60" xfId="69" applyNumberFormat="1" applyFill="1" applyBorder="1" applyAlignment="1" applyProtection="1">
      <alignment horizontal="center" vertical="center"/>
    </xf>
    <xf numFmtId="171" fontId="2" fillId="20" borderId="59" xfId="69" applyNumberFormat="1" applyFill="1" applyBorder="1" applyAlignment="1" applyProtection="1">
      <alignment horizontal="center" vertical="center"/>
    </xf>
    <xf numFmtId="164" fontId="2" fillId="20" borderId="59" xfId="1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horizontal="left" vertical="center" wrapText="1"/>
    </xf>
    <xf numFmtId="0" fontId="25" fillId="0" borderId="63" xfId="69" applyFont="1" applyBorder="1" applyAlignment="1" applyProtection="1">
      <alignment horizontal="center" vertical="center"/>
    </xf>
    <xf numFmtId="171" fontId="2" fillId="0" borderId="36" xfId="69" applyNumberFormat="1" applyFont="1" applyFill="1" applyBorder="1" applyAlignment="1" applyProtection="1">
      <alignment horizontal="center" vertical="center"/>
    </xf>
    <xf numFmtId="171" fontId="2" fillId="0" borderId="34" xfId="69" applyNumberFormat="1" applyFont="1" applyFill="1" applyBorder="1" applyAlignment="1" applyProtection="1">
      <alignment horizontal="center" vertical="center"/>
    </xf>
    <xf numFmtId="171" fontId="2" fillId="0" borderId="39" xfId="69" applyNumberFormat="1" applyFont="1" applyFill="1" applyBorder="1" applyAlignment="1" applyProtection="1">
      <alignment horizontal="center" vertical="center"/>
    </xf>
    <xf numFmtId="171" fontId="2" fillId="0" borderId="35" xfId="69" applyNumberFormat="1" applyFont="1" applyFill="1" applyBorder="1" applyAlignment="1" applyProtection="1">
      <alignment horizontal="center" vertical="center"/>
    </xf>
    <xf numFmtId="0" fontId="25" fillId="0" borderId="0" xfId="69" applyFont="1" applyBorder="1" applyAlignment="1" applyProtection="1">
      <alignment vertical="center"/>
    </xf>
    <xf numFmtId="0" fontId="25" fillId="0" borderId="0" xfId="69" applyFont="1" applyBorder="1" applyAlignment="1" applyProtection="1">
      <alignment horizontal="center" vertical="center"/>
    </xf>
    <xf numFmtId="0" fontId="36" fillId="23" borderId="0" xfId="71" applyFont="1" applyFill="1" applyBorder="1" applyAlignment="1" applyProtection="1"/>
    <xf numFmtId="0" fontId="28" fillId="23" borderId="0" xfId="72" applyFont="1" applyFill="1" applyBorder="1" applyAlignment="1" applyProtection="1"/>
    <xf numFmtId="0" fontId="28" fillId="23" borderId="0" xfId="72" applyFont="1" applyFill="1" applyBorder="1" applyAlignment="1" applyProtection="1">
      <alignment horizontal="center"/>
    </xf>
    <xf numFmtId="0" fontId="28" fillId="23" borderId="0" xfId="72" applyFont="1" applyFill="1" applyBorder="1" applyAlignment="1" applyProtection="1">
      <alignment horizontal="center" vertical="center"/>
    </xf>
    <xf numFmtId="0" fontId="2" fillId="23" borderId="0" xfId="72" applyFill="1" applyBorder="1" applyAlignment="1" applyProtection="1">
      <alignment horizontal="center" vertical="center"/>
    </xf>
    <xf numFmtId="0" fontId="37" fillId="23" borderId="0" xfId="72" applyFont="1" applyFill="1" applyBorder="1" applyAlignment="1" applyProtection="1">
      <alignment horizontal="center" vertical="center"/>
    </xf>
    <xf numFmtId="0" fontId="2" fillId="23" borderId="0" xfId="72" applyFill="1" applyBorder="1" applyAlignment="1" applyProtection="1"/>
    <xf numFmtId="0" fontId="35" fillId="23" borderId="0" xfId="71" applyFill="1" applyBorder="1" applyProtection="1"/>
    <xf numFmtId="0" fontId="38" fillId="23" borderId="0" xfId="72" applyFont="1" applyFill="1" applyBorder="1" applyAlignment="1" applyProtection="1">
      <alignment horizontal="left"/>
    </xf>
    <xf numFmtId="0" fontId="2" fillId="23" borderId="0" xfId="72" applyFill="1" applyBorder="1" applyAlignment="1" applyProtection="1">
      <alignment horizontal="center"/>
    </xf>
    <xf numFmtId="0" fontId="38" fillId="23" borderId="31" xfId="72" applyFont="1" applyFill="1" applyBorder="1" applyAlignment="1" applyProtection="1">
      <alignment horizontal="left"/>
    </xf>
    <xf numFmtId="0" fontId="2" fillId="23" borderId="31" xfId="72" applyFill="1" applyBorder="1" applyAlignment="1" applyProtection="1"/>
    <xf numFmtId="0" fontId="2" fillId="23" borderId="31" xfId="72" applyFill="1" applyBorder="1" applyAlignment="1" applyProtection="1">
      <alignment horizontal="center"/>
    </xf>
    <xf numFmtId="0" fontId="2" fillId="23" borderId="31" xfId="72" applyFill="1" applyBorder="1" applyAlignment="1" applyProtection="1">
      <alignment horizontal="center" vertical="center"/>
    </xf>
    <xf numFmtId="0" fontId="35" fillId="23" borderId="31" xfId="71" applyFill="1" applyBorder="1" applyProtection="1"/>
    <xf numFmtId="0" fontId="2" fillId="0" borderId="0" xfId="72" applyProtection="1"/>
    <xf numFmtId="0" fontId="2" fillId="0" borderId="0" xfId="72" applyAlignment="1" applyProtection="1">
      <alignment horizontal="center"/>
    </xf>
    <xf numFmtId="0" fontId="2" fillId="0" borderId="0" xfId="72" applyAlignment="1" applyProtection="1">
      <alignment horizontal="center" vertical="center"/>
    </xf>
    <xf numFmtId="0" fontId="35" fillId="0" borderId="0" xfId="71" applyProtection="1"/>
    <xf numFmtId="0" fontId="26" fillId="0" borderId="0" xfId="72" applyFont="1" applyProtection="1"/>
    <xf numFmtId="0" fontId="26" fillId="0" borderId="52" xfId="72" applyFont="1" applyBorder="1" applyAlignment="1" applyProtection="1">
      <alignment horizontal="centerContinuous" vertical="center"/>
    </xf>
    <xf numFmtId="0" fontId="26" fillId="0" borderId="53" xfId="72" applyFont="1" applyBorder="1" applyAlignment="1" applyProtection="1">
      <alignment horizontal="centerContinuous" vertical="center"/>
    </xf>
    <xf numFmtId="0" fontId="2" fillId="0" borderId="54" xfId="72" applyBorder="1" applyAlignment="1" applyProtection="1">
      <alignment horizontal="centerContinuous" vertical="center"/>
    </xf>
    <xf numFmtId="0" fontId="2" fillId="0" borderId="53" xfId="72" applyBorder="1" applyAlignment="1" applyProtection="1">
      <alignment horizontal="centerContinuous" vertical="center"/>
    </xf>
    <xf numFmtId="0" fontId="26" fillId="0" borderId="55" xfId="72" applyFont="1" applyBorder="1" applyAlignment="1" applyProtection="1">
      <alignment horizontal="centerContinuous" vertical="center"/>
    </xf>
    <xf numFmtId="0" fontId="26" fillId="0" borderId="56" xfId="72" applyFont="1" applyBorder="1" applyAlignment="1" applyProtection="1">
      <alignment horizontal="centerContinuous" vertical="center"/>
    </xf>
    <xf numFmtId="0" fontId="26" fillId="0" borderId="57" xfId="72" applyFont="1" applyBorder="1" applyAlignment="1" applyProtection="1">
      <alignment horizontal="centerContinuous" vertical="center"/>
    </xf>
    <xf numFmtId="0" fontId="26" fillId="0" borderId="58" xfId="72" applyFont="1" applyBorder="1" applyAlignment="1" applyProtection="1">
      <alignment horizontal="center" vertical="center" wrapText="1"/>
    </xf>
    <xf numFmtId="0" fontId="26" fillId="0" borderId="60" xfId="72" applyFont="1" applyBorder="1" applyAlignment="1" applyProtection="1">
      <alignment horizontal="center" vertical="center" wrapText="1"/>
    </xf>
    <xf numFmtId="0" fontId="26" fillId="0" borderId="59" xfId="72" applyFont="1" applyBorder="1" applyAlignment="1" applyProtection="1">
      <alignment horizontal="center" vertical="center" wrapText="1"/>
    </xf>
    <xf numFmtId="0" fontId="26" fillId="0" borderId="20" xfId="72" applyFont="1" applyBorder="1" applyAlignment="1" applyProtection="1">
      <alignment horizontal="center" vertical="center" wrapText="1"/>
    </xf>
    <xf numFmtId="0" fontId="26" fillId="0" borderId="46" xfId="72" applyFont="1" applyBorder="1" applyAlignment="1" applyProtection="1">
      <alignment horizontal="center" vertical="center" wrapText="1"/>
    </xf>
    <xf numFmtId="0" fontId="26" fillId="0" borderId="47" xfId="72" applyFont="1" applyBorder="1" applyAlignment="1" applyProtection="1">
      <alignment horizontal="center" vertical="center" wrapText="1"/>
    </xf>
    <xf numFmtId="0" fontId="26" fillId="0" borderId="61" xfId="72" applyFont="1" applyBorder="1" applyAlignment="1" applyProtection="1">
      <alignment horizontal="center" vertical="center" wrapText="1"/>
    </xf>
    <xf numFmtId="0" fontId="2" fillId="0" borderId="27" xfId="72" applyBorder="1" applyProtection="1"/>
    <xf numFmtId="0" fontId="2" fillId="0" borderId="62" xfId="72" applyNumberFormat="1" applyFont="1" applyBorder="1" applyAlignment="1" applyProtection="1">
      <alignment horizontal="center" wrapText="1"/>
    </xf>
    <xf numFmtId="171" fontId="2" fillId="24" borderId="20" xfId="72" applyNumberFormat="1" applyFont="1" applyFill="1" applyBorder="1" applyAlignment="1" applyProtection="1">
      <alignment horizontal="center" vertical="center"/>
    </xf>
    <xf numFmtId="171" fontId="2" fillId="24" borderId="59" xfId="72" applyNumberFormat="1" applyFont="1" applyFill="1" applyBorder="1" applyAlignment="1" applyProtection="1">
      <alignment horizontal="center" vertical="center"/>
    </xf>
    <xf numFmtId="171" fontId="2" fillId="24" borderId="60" xfId="72" applyNumberFormat="1" applyFont="1" applyFill="1" applyBorder="1" applyAlignment="1" applyProtection="1">
      <alignment horizontal="center" vertical="center"/>
    </xf>
    <xf numFmtId="171" fontId="2" fillId="20" borderId="46" xfId="72" applyNumberFormat="1" applyFill="1" applyBorder="1" applyAlignment="1" applyProtection="1">
      <alignment horizontal="center" vertical="center"/>
    </xf>
    <xf numFmtId="171" fontId="2" fillId="20" borderId="47" xfId="72" applyNumberFormat="1" applyFill="1" applyBorder="1" applyAlignment="1" applyProtection="1">
      <alignment horizontal="center" vertical="center"/>
    </xf>
    <xf numFmtId="171" fontId="2" fillId="20" borderId="61" xfId="72" applyNumberFormat="1" applyFill="1" applyBorder="1" applyAlignment="1" applyProtection="1">
      <alignment horizontal="center" vertical="center"/>
    </xf>
    <xf numFmtId="171" fontId="2" fillId="24" borderId="58" xfId="72" applyNumberFormat="1" applyFont="1" applyFill="1" applyBorder="1" applyAlignment="1" applyProtection="1">
      <alignment horizontal="center" vertical="center"/>
    </xf>
    <xf numFmtId="0" fontId="2" fillId="0" borderId="27" xfId="72" applyFill="1" applyBorder="1" applyProtection="1"/>
    <xf numFmtId="171" fontId="26" fillId="20" borderId="46" xfId="72" applyNumberFormat="1" applyFont="1" applyFill="1" applyBorder="1" applyAlignment="1" applyProtection="1">
      <alignment horizontal="center" vertical="center"/>
    </xf>
    <xf numFmtId="171" fontId="26" fillId="20" borderId="47" xfId="72" applyNumberFormat="1" applyFont="1" applyFill="1" applyBorder="1" applyAlignment="1" applyProtection="1">
      <alignment horizontal="center" vertical="center"/>
    </xf>
    <xf numFmtId="171" fontId="26" fillId="20" borderId="61" xfId="72" applyNumberFormat="1" applyFont="1" applyFill="1" applyBorder="1" applyAlignment="1" applyProtection="1">
      <alignment horizontal="center" vertical="center"/>
    </xf>
    <xf numFmtId="171" fontId="26" fillId="20" borderId="12" xfId="72" applyNumberFormat="1" applyFont="1" applyFill="1" applyBorder="1" applyAlignment="1" applyProtection="1">
      <alignment horizontal="center" vertical="center"/>
    </xf>
    <xf numFmtId="171" fontId="33" fillId="21" borderId="46" xfId="72" applyNumberFormat="1" applyFont="1" applyFill="1" applyBorder="1" applyAlignment="1" applyProtection="1">
      <alignment horizontal="center" vertical="center"/>
      <protection locked="0"/>
    </xf>
    <xf numFmtId="171" fontId="26" fillId="20" borderId="68" xfId="72" applyNumberFormat="1" applyFont="1" applyFill="1" applyBorder="1" applyAlignment="1" applyProtection="1">
      <alignment horizontal="center" vertical="center"/>
    </xf>
    <xf numFmtId="171" fontId="26" fillId="20" borderId="15" xfId="72" applyNumberFormat="1" applyFont="1" applyFill="1" applyBorder="1" applyAlignment="1" applyProtection="1">
      <alignment horizontal="center" vertical="center"/>
    </xf>
    <xf numFmtId="171" fontId="26" fillId="20" borderId="69" xfId="72" applyNumberFormat="1" applyFont="1" applyFill="1" applyBorder="1" applyAlignment="1" applyProtection="1">
      <alignment horizontal="center" vertical="center"/>
    </xf>
    <xf numFmtId="171" fontId="26" fillId="20" borderId="70" xfId="72" applyNumberFormat="1" applyFont="1" applyFill="1" applyBorder="1" applyAlignment="1" applyProtection="1">
      <alignment horizontal="center" vertical="center"/>
    </xf>
    <xf numFmtId="0" fontId="2" fillId="0" borderId="30" xfId="72" applyBorder="1" applyProtection="1"/>
    <xf numFmtId="0" fontId="2" fillId="0" borderId="63" xfId="72" applyNumberFormat="1" applyFont="1" applyBorder="1" applyAlignment="1" applyProtection="1">
      <alignment horizontal="center" wrapText="1"/>
    </xf>
    <xf numFmtId="171" fontId="2" fillId="0" borderId="36" xfId="72" applyNumberFormat="1" applyFont="1" applyFill="1" applyBorder="1" applyAlignment="1" applyProtection="1">
      <alignment horizontal="center" vertical="center"/>
    </xf>
    <xf numFmtId="171" fontId="2" fillId="0" borderId="34" xfId="72" applyNumberFormat="1" applyFont="1" applyFill="1" applyBorder="1" applyAlignment="1" applyProtection="1">
      <alignment horizontal="center" vertical="center"/>
    </xf>
    <xf numFmtId="171" fontId="2" fillId="0" borderId="39" xfId="72" applyNumberFormat="1" applyFont="1" applyFill="1" applyBorder="1" applyAlignment="1" applyProtection="1">
      <alignment horizontal="center" vertical="center"/>
    </xf>
    <xf numFmtId="171" fontId="2" fillId="0" borderId="35" xfId="72" applyNumberFormat="1" applyFont="1" applyFill="1" applyBorder="1" applyAlignment="1" applyProtection="1">
      <alignment horizontal="center" vertical="center"/>
    </xf>
    <xf numFmtId="171" fontId="2" fillId="22" borderId="46" xfId="72" applyNumberFormat="1" applyFill="1" applyBorder="1" applyAlignment="1" applyProtection="1">
      <alignment horizontal="center" vertical="center"/>
    </xf>
    <xf numFmtId="171" fontId="2" fillId="22" borderId="47" xfId="72" applyNumberFormat="1" applyFill="1" applyBorder="1" applyAlignment="1" applyProtection="1">
      <alignment horizontal="center" vertical="center"/>
    </xf>
    <xf numFmtId="171" fontId="2" fillId="22" borderId="61" xfId="72" applyNumberFormat="1" applyFill="1" applyBorder="1" applyAlignment="1" applyProtection="1">
      <alignment horizontal="center" vertical="center"/>
    </xf>
    <xf numFmtId="164" fontId="2" fillId="22" borderId="61" xfId="1" applyNumberFormat="1" applyFont="1" applyFill="1" applyBorder="1" applyAlignment="1" applyProtection="1">
      <alignment horizontal="center" vertical="center"/>
    </xf>
    <xf numFmtId="0" fontId="26" fillId="0" borderId="41" xfId="72" applyFont="1" applyBorder="1" applyProtection="1"/>
    <xf numFmtId="0" fontId="2" fillId="0" borderId="51" xfId="72" applyBorder="1" applyAlignment="1" applyProtection="1">
      <alignment horizontal="center"/>
    </xf>
    <xf numFmtId="0" fontId="2" fillId="0" borderId="58" xfId="72" applyBorder="1" applyProtection="1"/>
    <xf numFmtId="0" fontId="26" fillId="0" borderId="59" xfId="72" applyFont="1" applyBorder="1" applyAlignment="1" applyProtection="1">
      <alignment horizontal="center" vertical="center"/>
    </xf>
    <xf numFmtId="171" fontId="33" fillId="21" borderId="12" xfId="72" applyNumberFormat="1" applyFont="1" applyFill="1" applyBorder="1" applyAlignment="1" applyProtection="1">
      <alignment horizontal="center" vertical="center"/>
      <protection locked="0"/>
    </xf>
    <xf numFmtId="171" fontId="33" fillId="21" borderId="61" xfId="72" applyNumberFormat="1" applyFont="1" applyFill="1" applyBorder="1" applyAlignment="1" applyProtection="1">
      <alignment horizontal="center" vertical="center"/>
      <protection locked="0"/>
    </xf>
    <xf numFmtId="171" fontId="33" fillId="21" borderId="47" xfId="72" applyNumberFormat="1" applyFont="1" applyFill="1" applyBorder="1" applyAlignment="1" applyProtection="1">
      <alignment horizontal="center" vertical="center"/>
      <protection locked="0"/>
    </xf>
    <xf numFmtId="171" fontId="26" fillId="20" borderId="36" xfId="72" applyNumberFormat="1" applyFont="1" applyFill="1" applyBorder="1" applyAlignment="1" applyProtection="1">
      <alignment horizontal="center" vertical="center"/>
    </xf>
    <xf numFmtId="171" fontId="26" fillId="20" borderId="34" xfId="72" applyNumberFormat="1" applyFont="1" applyFill="1" applyBorder="1" applyAlignment="1" applyProtection="1">
      <alignment horizontal="center" vertical="center"/>
    </xf>
    <xf numFmtId="171" fontId="26" fillId="20" borderId="39" xfId="72" applyNumberFormat="1" applyFont="1" applyFill="1" applyBorder="1" applyAlignment="1" applyProtection="1">
      <alignment horizontal="center" vertical="center"/>
    </xf>
    <xf numFmtId="171" fontId="26" fillId="20" borderId="35" xfId="72" applyNumberFormat="1" applyFont="1" applyFill="1" applyBorder="1" applyAlignment="1" applyProtection="1">
      <alignment horizontal="center" vertical="center"/>
    </xf>
    <xf numFmtId="171" fontId="2" fillId="20" borderId="36" xfId="72" applyNumberFormat="1" applyFill="1" applyBorder="1" applyAlignment="1" applyProtection="1">
      <alignment horizontal="center" vertical="center"/>
    </xf>
    <xf numFmtId="171" fontId="2" fillId="20" borderId="35" xfId="72" applyNumberFormat="1" applyFill="1" applyBorder="1" applyAlignment="1" applyProtection="1">
      <alignment horizontal="center" vertical="center"/>
    </xf>
    <xf numFmtId="171" fontId="2" fillId="20" borderId="39" xfId="72" applyNumberFormat="1" applyFill="1" applyBorder="1" applyAlignment="1" applyProtection="1">
      <alignment horizontal="center" vertical="center"/>
    </xf>
    <xf numFmtId="0" fontId="26" fillId="0" borderId="0" xfId="72" applyFont="1" applyFill="1" applyProtection="1"/>
    <xf numFmtId="0" fontId="2" fillId="0" borderId="0" xfId="72" applyNumberFormat="1" applyFont="1" applyAlignment="1" applyProtection="1">
      <alignment horizontal="center" wrapText="1"/>
    </xf>
    <xf numFmtId="0" fontId="2" fillId="0" borderId="0" xfId="72" applyFill="1" applyAlignment="1" applyProtection="1">
      <alignment horizontal="center" vertical="center"/>
    </xf>
    <xf numFmtId="0" fontId="26" fillId="0" borderId="27" xfId="72" applyFont="1" applyFill="1" applyBorder="1" applyAlignment="1" applyProtection="1">
      <alignment horizontal="left" indent="1"/>
    </xf>
    <xf numFmtId="0" fontId="2" fillId="0" borderId="16" xfId="72" applyFill="1" applyBorder="1" applyAlignment="1" applyProtection="1">
      <alignment horizontal="center"/>
    </xf>
    <xf numFmtId="0" fontId="2" fillId="0" borderId="64" xfId="72" applyFill="1" applyBorder="1" applyAlignment="1" applyProtection="1">
      <alignment horizontal="center" vertical="center"/>
    </xf>
    <xf numFmtId="0" fontId="2" fillId="0" borderId="19" xfId="72" applyFill="1" applyBorder="1" applyAlignment="1" applyProtection="1">
      <alignment horizontal="center" vertical="center"/>
    </xf>
    <xf numFmtId="0" fontId="2" fillId="0" borderId="65" xfId="72" applyFill="1" applyBorder="1" applyAlignment="1" applyProtection="1">
      <alignment horizontal="center" vertical="center"/>
    </xf>
    <xf numFmtId="0" fontId="2" fillId="0" borderId="64" xfId="72" applyBorder="1" applyAlignment="1" applyProtection="1">
      <alignment horizontal="center" vertical="center"/>
    </xf>
    <xf numFmtId="0" fontId="2" fillId="0" borderId="19" xfId="72" applyBorder="1" applyAlignment="1" applyProtection="1">
      <alignment horizontal="center" vertical="center"/>
    </xf>
    <xf numFmtId="0" fontId="2" fillId="0" borderId="65" xfId="72" applyBorder="1" applyAlignment="1" applyProtection="1">
      <alignment horizontal="center" vertical="center"/>
    </xf>
    <xf numFmtId="0" fontId="2" fillId="0" borderId="27" xfId="72" applyFill="1" applyBorder="1" applyAlignment="1" applyProtection="1">
      <alignment horizontal="left" wrapText="1" indent="2"/>
    </xf>
    <xf numFmtId="0" fontId="2" fillId="0" borderId="16" xfId="72" applyNumberFormat="1" applyFont="1" applyBorder="1" applyAlignment="1" applyProtection="1">
      <alignment horizontal="center" wrapText="1"/>
    </xf>
    <xf numFmtId="171" fontId="2" fillId="22" borderId="46" xfId="72" applyNumberFormat="1" applyFont="1" applyFill="1" applyBorder="1" applyAlignment="1" applyProtection="1">
      <alignment horizontal="center" vertical="center"/>
      <protection locked="0"/>
    </xf>
    <xf numFmtId="171" fontId="2" fillId="22" borderId="12" xfId="72" applyNumberFormat="1" applyFont="1" applyFill="1" applyBorder="1" applyAlignment="1" applyProtection="1">
      <alignment horizontal="center" vertical="center"/>
      <protection locked="0"/>
    </xf>
    <xf numFmtId="171" fontId="2" fillId="22" borderId="61" xfId="72" applyNumberFormat="1" applyFont="1" applyFill="1" applyBorder="1" applyAlignment="1" applyProtection="1">
      <alignment horizontal="center" vertical="center"/>
      <protection locked="0"/>
    </xf>
    <xf numFmtId="171" fontId="2" fillId="24" borderId="12" xfId="72" applyNumberFormat="1" applyFont="1" applyFill="1" applyBorder="1" applyAlignment="1" applyProtection="1">
      <alignment horizontal="center" vertical="center"/>
      <protection locked="0"/>
    </xf>
    <xf numFmtId="171" fontId="2" fillId="24" borderId="47" xfId="72" applyNumberFormat="1" applyFont="1" applyFill="1" applyBorder="1" applyAlignment="1" applyProtection="1">
      <alignment horizontal="center" vertical="center"/>
      <protection locked="0"/>
    </xf>
    <xf numFmtId="171" fontId="2" fillId="24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Alignment="1" applyProtection="1">
      <alignment horizontal="left" wrapText="1" indent="2"/>
    </xf>
    <xf numFmtId="171" fontId="2" fillId="20" borderId="12" xfId="72" applyNumberFormat="1" applyFill="1" applyBorder="1" applyAlignment="1" applyProtection="1">
      <alignment horizontal="center" vertical="center"/>
    </xf>
    <xf numFmtId="0" fontId="2" fillId="0" borderId="16" xfId="72" applyNumberFormat="1" applyBorder="1" applyAlignment="1" applyProtection="1">
      <alignment horizontal="center"/>
    </xf>
    <xf numFmtId="0" fontId="2" fillId="0" borderId="71" xfId="72" applyBorder="1" applyAlignment="1" applyProtection="1">
      <alignment horizontal="center" vertical="center"/>
    </xf>
    <xf numFmtId="0" fontId="2" fillId="0" borderId="11" xfId="72" applyBorder="1" applyAlignment="1" applyProtection="1">
      <alignment horizontal="center" vertical="center"/>
    </xf>
    <xf numFmtId="0" fontId="2" fillId="0" borderId="40" xfId="72" applyBorder="1" applyAlignment="1" applyProtection="1">
      <alignment horizontal="center" vertical="center"/>
    </xf>
    <xf numFmtId="0" fontId="2" fillId="0" borderId="71" xfId="72" applyFill="1" applyBorder="1" applyAlignment="1" applyProtection="1">
      <alignment horizontal="center" vertical="center"/>
    </xf>
    <xf numFmtId="0" fontId="26" fillId="0" borderId="30" xfId="72" applyFont="1" applyBorder="1" applyAlignment="1" applyProtection="1">
      <alignment horizontal="left" wrapText="1" indent="2"/>
    </xf>
    <xf numFmtId="0" fontId="2" fillId="0" borderId="50" xfId="72" applyNumberFormat="1" applyFont="1" applyBorder="1" applyAlignment="1" applyProtection="1">
      <alignment horizontal="center" wrapText="1"/>
    </xf>
    <xf numFmtId="171" fontId="2" fillId="20" borderId="34" xfId="72" applyNumberFormat="1" applyFill="1" applyBorder="1" applyAlignment="1" applyProtection="1">
      <alignment horizontal="center" vertical="center"/>
    </xf>
    <xf numFmtId="0" fontId="26" fillId="0" borderId="44" xfId="72" applyFont="1" applyBorder="1" applyProtection="1"/>
    <xf numFmtId="0" fontId="26" fillId="0" borderId="16" xfId="72" applyFont="1" applyBorder="1" applyAlignment="1" applyProtection="1">
      <alignment horizontal="center"/>
    </xf>
    <xf numFmtId="0" fontId="26" fillId="0" borderId="66" xfId="72" applyFont="1" applyBorder="1" applyAlignment="1" applyProtection="1">
      <alignment horizontal="center" vertical="center"/>
    </xf>
    <xf numFmtId="0" fontId="26" fillId="0" borderId="14" xfId="72" applyFont="1" applyBorder="1" applyAlignment="1" applyProtection="1">
      <alignment horizontal="center" vertical="center"/>
    </xf>
    <xf numFmtId="0" fontId="26" fillId="0" borderId="67" xfId="72" applyFont="1" applyBorder="1" applyAlignment="1" applyProtection="1">
      <alignment horizontal="center" vertical="center"/>
    </xf>
    <xf numFmtId="0" fontId="2" fillId="0" borderId="66" xfId="72" applyBorder="1" applyAlignment="1" applyProtection="1">
      <alignment horizontal="center" vertical="center"/>
    </xf>
    <xf numFmtId="0" fontId="2" fillId="0" borderId="14" xfId="72" applyBorder="1" applyAlignment="1" applyProtection="1">
      <alignment horizontal="center" vertical="center"/>
    </xf>
    <xf numFmtId="0" fontId="2" fillId="0" borderId="67" xfId="72" applyBorder="1" applyAlignment="1" applyProtection="1">
      <alignment horizontal="center" vertical="center"/>
    </xf>
    <xf numFmtId="0" fontId="35" fillId="0" borderId="0" xfId="71" applyBorder="1" applyProtection="1"/>
    <xf numFmtId="0" fontId="26" fillId="0" borderId="44" xfId="72" applyFont="1" applyBorder="1" applyAlignment="1" applyProtection="1">
      <alignment horizontal="left" indent="1"/>
    </xf>
    <xf numFmtId="0" fontId="26" fillId="0" borderId="27" xfId="72" applyFont="1" applyBorder="1" applyAlignment="1" applyProtection="1">
      <alignment horizontal="center" vertical="center"/>
    </xf>
    <xf numFmtId="0" fontId="26" fillId="0" borderId="0" xfId="72" applyFont="1" applyBorder="1" applyAlignment="1" applyProtection="1">
      <alignment horizontal="center" vertical="center"/>
    </xf>
    <xf numFmtId="0" fontId="26" fillId="0" borderId="28" xfId="72" applyFont="1" applyBorder="1" applyAlignment="1" applyProtection="1">
      <alignment horizontal="center" vertical="center"/>
    </xf>
    <xf numFmtId="0" fontId="2" fillId="0" borderId="27" xfId="72" applyBorder="1" applyAlignment="1" applyProtection="1">
      <alignment horizontal="center" vertical="center"/>
    </xf>
    <xf numFmtId="0" fontId="2" fillId="0" borderId="0" xfId="72" applyBorder="1" applyAlignment="1" applyProtection="1">
      <alignment horizontal="center" vertical="center"/>
    </xf>
    <xf numFmtId="0" fontId="2" fillId="0" borderId="28" xfId="72" applyBorder="1" applyAlignment="1" applyProtection="1">
      <alignment horizontal="center" vertical="center"/>
    </xf>
    <xf numFmtId="0" fontId="2" fillId="0" borderId="44" xfId="72" applyFont="1" applyBorder="1" applyAlignment="1" applyProtection="1">
      <alignment horizontal="left" indent="2"/>
    </xf>
    <xf numFmtId="1" fontId="2" fillId="20" borderId="46" xfId="72" applyNumberFormat="1" applyFont="1" applyFill="1" applyBorder="1" applyAlignment="1" applyProtection="1">
      <alignment horizontal="center" vertical="center"/>
      <protection locked="0"/>
    </xf>
    <xf numFmtId="1" fontId="2" fillId="20" borderId="12" xfId="72" applyNumberFormat="1" applyFont="1" applyFill="1" applyBorder="1" applyAlignment="1" applyProtection="1">
      <alignment horizontal="center" vertical="center"/>
      <protection locked="0"/>
    </xf>
    <xf numFmtId="1" fontId="2" fillId="20" borderId="61" xfId="72" applyNumberFormat="1" applyFont="1" applyFill="1" applyBorder="1" applyAlignment="1" applyProtection="1">
      <alignment horizontal="center" vertical="center"/>
      <protection locked="0"/>
    </xf>
    <xf numFmtId="1" fontId="2" fillId="20" borderId="47" xfId="72" applyNumberFormat="1" applyFont="1" applyFill="1" applyBorder="1" applyAlignment="1" applyProtection="1">
      <alignment horizontal="center" vertical="center"/>
      <protection locked="0"/>
    </xf>
    <xf numFmtId="0" fontId="2" fillId="0" borderId="27" xfId="72" applyFont="1" applyBorder="1" applyAlignment="1" applyProtection="1">
      <alignment horizontal="left" indent="2"/>
    </xf>
    <xf numFmtId="1" fontId="33" fillId="22" borderId="46" xfId="72" applyNumberFormat="1" applyFont="1" applyFill="1" applyBorder="1" applyAlignment="1" applyProtection="1">
      <alignment horizontal="center" vertical="center"/>
      <protection locked="0"/>
    </xf>
    <xf numFmtId="1" fontId="33" fillId="22" borderId="12" xfId="72" applyNumberFormat="1" applyFont="1" applyFill="1" applyBorder="1" applyAlignment="1" applyProtection="1">
      <alignment horizontal="center" vertical="center"/>
      <protection locked="0"/>
    </xf>
    <xf numFmtId="1" fontId="33" fillId="22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44" xfId="72" applyFont="1" applyFill="1" applyBorder="1" applyAlignment="1" applyProtection="1">
      <alignment horizontal="left" indent="1"/>
    </xf>
    <xf numFmtId="1" fontId="26" fillId="0" borderId="27" xfId="72" applyNumberFormat="1" applyFont="1" applyBorder="1" applyAlignment="1" applyProtection="1">
      <alignment horizontal="center" vertical="center"/>
    </xf>
    <xf numFmtId="1" fontId="26" fillId="0" borderId="0" xfId="72" applyNumberFormat="1" applyFont="1" applyBorder="1" applyAlignment="1" applyProtection="1">
      <alignment horizontal="center" vertical="center"/>
    </xf>
    <xf numFmtId="1" fontId="26" fillId="0" borderId="28" xfId="72" applyNumberFormat="1" applyFont="1" applyBorder="1" applyAlignment="1" applyProtection="1">
      <alignment horizontal="center" vertical="center"/>
    </xf>
    <xf numFmtId="1" fontId="2" fillId="0" borderId="27" xfId="72" applyNumberFormat="1" applyBorder="1" applyAlignment="1" applyProtection="1">
      <alignment horizontal="center" vertical="center"/>
    </xf>
    <xf numFmtId="1" fontId="2" fillId="0" borderId="0" xfId="72" applyNumberFormat="1" applyBorder="1" applyAlignment="1" applyProtection="1">
      <alignment horizontal="center" vertical="center"/>
    </xf>
    <xf numFmtId="1" fontId="2" fillId="0" borderId="28" xfId="72" applyNumberFormat="1" applyBorder="1" applyAlignment="1" applyProtection="1">
      <alignment horizontal="center" vertical="center"/>
    </xf>
    <xf numFmtId="0" fontId="2" fillId="0" borderId="44" xfId="72" applyFont="1" applyFill="1" applyBorder="1" applyAlignment="1" applyProtection="1">
      <alignment horizontal="left" indent="2"/>
    </xf>
    <xf numFmtId="0" fontId="2" fillId="0" borderId="27" xfId="72" applyFont="1" applyFill="1" applyBorder="1" applyAlignment="1" applyProtection="1">
      <alignment horizontal="left" indent="2"/>
    </xf>
    <xf numFmtId="1" fontId="2" fillId="22" borderId="46" xfId="72" applyNumberFormat="1" applyFont="1" applyFill="1" applyBorder="1" applyAlignment="1" applyProtection="1">
      <alignment horizontal="center" vertical="center"/>
      <protection locked="0"/>
    </xf>
    <xf numFmtId="1" fontId="2" fillId="22" borderId="12" xfId="72" applyNumberFormat="1" applyFont="1" applyFill="1" applyBorder="1" applyAlignment="1" applyProtection="1">
      <alignment horizontal="center" vertical="center"/>
      <protection locked="0"/>
    </xf>
    <xf numFmtId="1" fontId="2" fillId="22" borderId="61" xfId="72" applyNumberFormat="1" applyFont="1" applyFill="1" applyBorder="1" applyAlignment="1" applyProtection="1">
      <alignment horizontal="center" vertical="center"/>
      <protection locked="0"/>
    </xf>
    <xf numFmtId="1" fontId="2" fillId="0" borderId="27" xfId="72" applyNumberFormat="1" applyFont="1" applyBorder="1" applyAlignment="1" applyProtection="1">
      <alignment horizontal="center" vertical="center"/>
    </xf>
    <xf numFmtId="1" fontId="2" fillId="0" borderId="0" xfId="72" applyNumberFormat="1" applyFont="1" applyBorder="1" applyAlignment="1" applyProtection="1">
      <alignment horizontal="center" vertical="center"/>
    </xf>
    <xf numFmtId="1" fontId="2" fillId="0" borderId="28" xfId="72" applyNumberFormat="1" applyFont="1" applyBorder="1" applyAlignment="1" applyProtection="1">
      <alignment horizontal="center" vertical="center"/>
    </xf>
    <xf numFmtId="1" fontId="2" fillId="20" borderId="68" xfId="72" applyNumberFormat="1" applyFont="1" applyFill="1" applyBorder="1" applyAlignment="1" applyProtection="1">
      <alignment horizontal="center" vertical="center"/>
      <protection locked="0"/>
    </xf>
    <xf numFmtId="1" fontId="2" fillId="20" borderId="15" xfId="72" applyNumberFormat="1" applyFont="1" applyFill="1" applyBorder="1" applyAlignment="1" applyProtection="1">
      <alignment horizontal="center" vertical="center"/>
      <protection locked="0"/>
    </xf>
    <xf numFmtId="1" fontId="2" fillId="20" borderId="69" xfId="72" applyNumberFormat="1" applyFont="1" applyFill="1" applyBorder="1" applyAlignment="1" applyProtection="1">
      <alignment horizontal="center" vertical="center"/>
      <protection locked="0"/>
    </xf>
    <xf numFmtId="1" fontId="2" fillId="20" borderId="70" xfId="72" applyNumberFormat="1" applyFont="1" applyFill="1" applyBorder="1" applyAlignment="1" applyProtection="1">
      <alignment horizontal="center" vertical="center"/>
      <protection locked="0"/>
    </xf>
    <xf numFmtId="1" fontId="2" fillId="22" borderId="68" xfId="72" applyNumberFormat="1" applyFont="1" applyFill="1" applyBorder="1" applyAlignment="1" applyProtection="1">
      <alignment horizontal="center" vertical="center"/>
      <protection locked="0"/>
    </xf>
    <xf numFmtId="1" fontId="2" fillId="22" borderId="15" xfId="72" applyNumberFormat="1" applyFont="1" applyFill="1" applyBorder="1" applyAlignment="1" applyProtection="1">
      <alignment horizontal="center" vertical="center"/>
      <protection locked="0"/>
    </xf>
    <xf numFmtId="1" fontId="2" fillId="22" borderId="69" xfId="72" applyNumberFormat="1" applyFont="1" applyFill="1" applyBorder="1" applyAlignment="1" applyProtection="1">
      <alignment horizontal="center" vertical="center"/>
      <protection locked="0"/>
    </xf>
    <xf numFmtId="0" fontId="26" fillId="0" borderId="48" xfId="72" applyFont="1" applyBorder="1" applyAlignment="1" applyProtection="1">
      <alignment horizontal="left" wrapText="1" indent="1"/>
    </xf>
    <xf numFmtId="1" fontId="26" fillId="20" borderId="36" xfId="72" applyNumberFormat="1" applyFont="1" applyFill="1" applyBorder="1" applyAlignment="1" applyProtection="1">
      <alignment horizontal="center" vertical="center"/>
    </xf>
    <xf numFmtId="1" fontId="26" fillId="20" borderId="35" xfId="72" applyNumberFormat="1" applyFont="1" applyFill="1" applyBorder="1" applyAlignment="1" applyProtection="1">
      <alignment horizontal="center" vertical="center"/>
    </xf>
    <xf numFmtId="1" fontId="26" fillId="20" borderId="39" xfId="72" applyNumberFormat="1" applyFont="1" applyFill="1" applyBorder="1" applyAlignment="1" applyProtection="1">
      <alignment horizontal="center" vertical="center"/>
    </xf>
    <xf numFmtId="0" fontId="34" fillId="0" borderId="0" xfId="71" applyFont="1" applyBorder="1" applyProtection="1"/>
    <xf numFmtId="0" fontId="26" fillId="0" borderId="0" xfId="72" applyFont="1" applyBorder="1" applyAlignment="1" applyProtection="1">
      <alignment horizontal="left" wrapText="1" indent="1"/>
    </xf>
    <xf numFmtId="0" fontId="35" fillId="0" borderId="0" xfId="71" applyAlignment="1" applyProtection="1">
      <alignment horizontal="center"/>
    </xf>
    <xf numFmtId="0" fontId="2" fillId="0" borderId="0" xfId="72" applyFill="1" applyProtection="1"/>
    <xf numFmtId="0" fontId="26" fillId="0" borderId="65" xfId="72" applyFont="1" applyBorder="1" applyAlignment="1" applyProtection="1">
      <alignment horizontal="center" vertical="center" wrapText="1"/>
    </xf>
    <xf numFmtId="0" fontId="2" fillId="0" borderId="15" xfId="72" applyBorder="1" applyAlignment="1" applyProtection="1">
      <alignment horizontal="center" vertical="center"/>
    </xf>
    <xf numFmtId="0" fontId="26" fillId="0" borderId="44" xfId="72" applyFont="1" applyBorder="1" applyAlignment="1" applyProtection="1">
      <alignment horizontal="left" indent="2"/>
    </xf>
    <xf numFmtId="0" fontId="2" fillId="0" borderId="0" xfId="72" applyNumberFormat="1" applyFont="1" applyBorder="1" applyAlignment="1" applyProtection="1">
      <alignment horizontal="center" wrapText="1"/>
    </xf>
    <xf numFmtId="0" fontId="2" fillId="0" borderId="17" xfId="72" applyBorder="1" applyAlignment="1" applyProtection="1">
      <alignment horizontal="center" vertical="center"/>
    </xf>
    <xf numFmtId="1" fontId="33" fillId="21" borderId="46" xfId="72" applyNumberFormat="1" applyFont="1" applyFill="1" applyBorder="1" applyAlignment="1" applyProtection="1">
      <alignment horizontal="center" vertical="center"/>
      <protection locked="0"/>
    </xf>
    <xf numFmtId="1" fontId="33" fillId="21" borderId="12" xfId="72" applyNumberFormat="1" applyFont="1" applyFill="1" applyBorder="1" applyAlignment="1" applyProtection="1">
      <alignment horizontal="center" vertical="center"/>
      <protection locked="0"/>
    </xf>
    <xf numFmtId="1" fontId="33" fillId="21" borderId="61" xfId="72" applyNumberFormat="1" applyFont="1" applyFill="1" applyBorder="1" applyAlignment="1" applyProtection="1">
      <alignment horizontal="center" vertical="center"/>
      <protection locked="0"/>
    </xf>
    <xf numFmtId="1" fontId="33" fillId="21" borderId="47" xfId="72" applyNumberFormat="1" applyFont="1" applyFill="1" applyBorder="1" applyAlignment="1" applyProtection="1">
      <alignment horizontal="center" vertical="center"/>
      <protection locked="0"/>
    </xf>
    <xf numFmtId="1" fontId="33" fillId="21" borderId="40" xfId="72" applyNumberFormat="1" applyFont="1" applyFill="1" applyBorder="1" applyAlignment="1" applyProtection="1">
      <alignment horizontal="center" vertical="center"/>
      <protection locked="0"/>
    </xf>
    <xf numFmtId="1" fontId="2" fillId="24" borderId="46" xfId="72" applyNumberFormat="1" applyFont="1" applyFill="1" applyBorder="1" applyAlignment="1" applyProtection="1">
      <alignment horizontal="center" vertical="center"/>
      <protection locked="0"/>
    </xf>
    <xf numFmtId="1" fontId="2" fillId="24" borderId="47" xfId="72" applyNumberFormat="1" applyFont="1" applyFill="1" applyBorder="1" applyAlignment="1" applyProtection="1">
      <alignment horizontal="center" vertical="center"/>
      <protection locked="0"/>
    </xf>
    <xf numFmtId="1" fontId="2" fillId="24" borderId="40" xfId="72" applyNumberFormat="1" applyFont="1" applyFill="1" applyBorder="1" applyAlignment="1" applyProtection="1">
      <alignment horizontal="center" vertical="center"/>
      <protection locked="0"/>
    </xf>
    <xf numFmtId="1" fontId="2" fillId="0" borderId="17" xfId="72" applyNumberFormat="1" applyBorder="1" applyAlignment="1" applyProtection="1">
      <alignment horizontal="center" vertical="center"/>
    </xf>
    <xf numFmtId="1" fontId="33" fillId="21" borderId="68" xfId="72" applyNumberFormat="1" applyFont="1" applyFill="1" applyBorder="1" applyAlignment="1" applyProtection="1">
      <alignment horizontal="center" vertical="center"/>
      <protection locked="0"/>
    </xf>
    <xf numFmtId="1" fontId="33" fillId="21" borderId="15" xfId="72" applyNumberFormat="1" applyFont="1" applyFill="1" applyBorder="1" applyAlignment="1" applyProtection="1">
      <alignment horizontal="center" vertical="center"/>
      <protection locked="0"/>
    </xf>
    <xf numFmtId="1" fontId="33" fillId="21" borderId="69" xfId="72" applyNumberFormat="1" applyFont="1" applyFill="1" applyBorder="1" applyAlignment="1" applyProtection="1">
      <alignment horizontal="center" vertical="center"/>
      <protection locked="0"/>
    </xf>
    <xf numFmtId="1" fontId="33" fillId="21" borderId="70" xfId="72" applyNumberFormat="1" applyFont="1" applyFill="1" applyBorder="1" applyAlignment="1" applyProtection="1">
      <alignment horizontal="center" vertical="center"/>
      <protection locked="0"/>
    </xf>
    <xf numFmtId="1" fontId="33" fillId="21" borderId="67" xfId="72" applyNumberFormat="1" applyFont="1" applyFill="1" applyBorder="1" applyAlignment="1" applyProtection="1">
      <alignment horizontal="center" vertical="center"/>
      <protection locked="0"/>
    </xf>
    <xf numFmtId="1" fontId="33" fillId="22" borderId="68" xfId="72" applyNumberFormat="1" applyFont="1" applyFill="1" applyBorder="1" applyAlignment="1" applyProtection="1">
      <alignment horizontal="center" vertical="center"/>
      <protection locked="0"/>
    </xf>
    <xf numFmtId="1" fontId="33" fillId="22" borderId="15" xfId="72" applyNumberFormat="1" applyFont="1" applyFill="1" applyBorder="1" applyAlignment="1" applyProtection="1">
      <alignment horizontal="center" vertical="center"/>
      <protection locked="0"/>
    </xf>
    <xf numFmtId="1" fontId="33" fillId="22" borderId="69" xfId="72" applyNumberFormat="1" applyFont="1" applyFill="1" applyBorder="1" applyAlignment="1" applyProtection="1">
      <alignment horizontal="center" vertical="center"/>
      <protection locked="0"/>
    </xf>
    <xf numFmtId="1" fontId="2" fillId="24" borderId="68" xfId="72" applyNumberFormat="1" applyFont="1" applyFill="1" applyBorder="1" applyAlignment="1" applyProtection="1">
      <alignment horizontal="center" vertical="center"/>
      <protection locked="0"/>
    </xf>
    <xf numFmtId="1" fontId="26" fillId="20" borderId="72" xfId="72" applyNumberFormat="1" applyFont="1" applyFill="1" applyBorder="1" applyAlignment="1" applyProtection="1">
      <alignment horizontal="center" vertical="center"/>
    </xf>
    <xf numFmtId="0" fontId="26" fillId="0" borderId="0" xfId="72" applyFont="1" applyAlignment="1" applyProtection="1">
      <alignment horizontal="left" wrapText="1" indent="1"/>
    </xf>
    <xf numFmtId="1" fontId="2" fillId="24" borderId="38" xfId="72" applyNumberFormat="1" applyFont="1" applyFill="1" applyBorder="1" applyAlignment="1" applyProtection="1">
      <alignment horizontal="center" vertical="center"/>
      <protection locked="0"/>
    </xf>
    <xf numFmtId="1" fontId="2" fillId="24" borderId="73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Protection="1"/>
    <xf numFmtId="0" fontId="26" fillId="0" borderId="13" xfId="72" applyFont="1" applyBorder="1" applyAlignment="1" applyProtection="1">
      <alignment horizontal="center"/>
    </xf>
    <xf numFmtId="171" fontId="33" fillId="22" borderId="46" xfId="72" applyNumberFormat="1" applyFont="1" applyFill="1" applyBorder="1" applyAlignment="1" applyProtection="1">
      <alignment horizontal="center" vertical="center"/>
      <protection locked="0"/>
    </xf>
    <xf numFmtId="171" fontId="33" fillId="22" borderId="12" xfId="72" applyNumberFormat="1" applyFont="1" applyFill="1" applyBorder="1" applyAlignment="1" applyProtection="1">
      <alignment horizontal="center" vertical="center"/>
      <protection locked="0"/>
    </xf>
    <xf numFmtId="171" fontId="33" fillId="22" borderId="61" xfId="72" applyNumberFormat="1" applyFont="1" applyFill="1" applyBorder="1" applyAlignment="1" applyProtection="1">
      <alignment horizontal="center" vertical="center"/>
      <protection locked="0"/>
    </xf>
    <xf numFmtId="9" fontId="33" fillId="22" borderId="46" xfId="1" applyFont="1" applyFill="1" applyBorder="1" applyAlignment="1" applyProtection="1">
      <alignment horizontal="center" vertical="center"/>
      <protection locked="0"/>
    </xf>
    <xf numFmtId="9" fontId="33" fillId="22" borderId="12" xfId="1" applyFont="1" applyFill="1" applyBorder="1" applyAlignment="1" applyProtection="1">
      <alignment horizontal="center" vertical="center"/>
      <protection locked="0"/>
    </xf>
    <xf numFmtId="9" fontId="33" fillId="22" borderId="61" xfId="1" applyFont="1" applyFill="1" applyBorder="1" applyAlignment="1" applyProtection="1">
      <alignment horizontal="center" vertical="center"/>
      <protection locked="0"/>
    </xf>
    <xf numFmtId="9" fontId="33" fillId="21" borderId="12" xfId="1" applyFont="1" applyFill="1" applyBorder="1" applyAlignment="1" applyProtection="1">
      <alignment horizontal="center" vertical="center"/>
      <protection locked="0"/>
    </xf>
    <xf numFmtId="9" fontId="33" fillId="21" borderId="47" xfId="1" applyFont="1" applyFill="1" applyBorder="1" applyAlignment="1" applyProtection="1">
      <alignment horizontal="center" vertical="center"/>
      <protection locked="0"/>
    </xf>
    <xf numFmtId="9" fontId="33" fillId="21" borderId="61" xfId="1" applyFont="1" applyFill="1" applyBorder="1" applyAlignment="1" applyProtection="1">
      <alignment horizontal="center" vertical="center"/>
      <protection locked="0"/>
    </xf>
    <xf numFmtId="9" fontId="33" fillId="24" borderId="12" xfId="1" applyFont="1" applyFill="1" applyBorder="1" applyAlignment="1" applyProtection="1">
      <alignment horizontal="center" vertical="center"/>
      <protection locked="0"/>
    </xf>
    <xf numFmtId="9" fontId="33" fillId="24" borderId="47" xfId="1" applyFont="1" applyFill="1" applyBorder="1" applyAlignment="1" applyProtection="1">
      <alignment horizontal="center" vertical="center"/>
      <protection locked="0"/>
    </xf>
    <xf numFmtId="9" fontId="33" fillId="24" borderId="61" xfId="1" applyFont="1" applyFill="1" applyBorder="1" applyAlignment="1" applyProtection="1">
      <alignment horizontal="center" vertical="center"/>
      <protection locked="0"/>
    </xf>
    <xf numFmtId="171" fontId="33" fillId="22" borderId="46" xfId="1" applyNumberFormat="1" applyFont="1" applyFill="1" applyBorder="1" applyAlignment="1" applyProtection="1">
      <alignment horizontal="center" vertical="center"/>
      <protection locked="0"/>
    </xf>
    <xf numFmtId="171" fontId="33" fillId="22" borderId="12" xfId="1" applyNumberFormat="1" applyFont="1" applyFill="1" applyBorder="1" applyAlignment="1" applyProtection="1">
      <alignment horizontal="center" vertical="center"/>
      <protection locked="0"/>
    </xf>
    <xf numFmtId="171" fontId="33" fillId="22" borderId="61" xfId="1" applyNumberFormat="1" applyFont="1" applyFill="1" applyBorder="1" applyAlignment="1" applyProtection="1">
      <alignment horizontal="center" vertical="center"/>
      <protection locked="0"/>
    </xf>
    <xf numFmtId="171" fontId="33" fillId="21" borderId="12" xfId="1" applyNumberFormat="1" applyFont="1" applyFill="1" applyBorder="1" applyAlignment="1" applyProtection="1">
      <alignment horizontal="center" vertical="center"/>
      <protection locked="0"/>
    </xf>
    <xf numFmtId="171" fontId="33" fillId="21" borderId="47" xfId="1" applyNumberFormat="1" applyFont="1" applyFill="1" applyBorder="1" applyAlignment="1" applyProtection="1">
      <alignment horizontal="center" vertical="center"/>
      <protection locked="0"/>
    </xf>
    <xf numFmtId="171" fontId="33" fillId="21" borderId="61" xfId="1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Border="1" applyAlignment="1" applyProtection="1">
      <alignment horizontal="left" wrapText="1" indent="2"/>
    </xf>
    <xf numFmtId="171" fontId="33" fillId="21" borderId="68" xfId="72" applyNumberFormat="1" applyFont="1" applyFill="1" applyBorder="1" applyAlignment="1" applyProtection="1">
      <alignment horizontal="center" vertical="center"/>
      <protection locked="0"/>
    </xf>
    <xf numFmtId="171" fontId="33" fillId="21" borderId="15" xfId="72" applyNumberFormat="1" applyFont="1" applyFill="1" applyBorder="1" applyAlignment="1" applyProtection="1">
      <alignment horizontal="center" vertical="center"/>
      <protection locked="0"/>
    </xf>
    <xf numFmtId="171" fontId="33" fillId="21" borderId="69" xfId="72" applyNumberFormat="1" applyFont="1" applyFill="1" applyBorder="1" applyAlignment="1" applyProtection="1">
      <alignment horizontal="center" vertical="center"/>
      <protection locked="0"/>
    </xf>
    <xf numFmtId="171" fontId="2" fillId="20" borderId="15" xfId="72" applyNumberFormat="1" applyFill="1" applyBorder="1" applyAlignment="1" applyProtection="1">
      <alignment horizontal="center" vertical="center"/>
    </xf>
    <xf numFmtId="171" fontId="2" fillId="20" borderId="70" xfId="72" applyNumberFormat="1" applyFill="1" applyBorder="1" applyAlignment="1" applyProtection="1">
      <alignment horizontal="center" vertical="center"/>
    </xf>
    <xf numFmtId="171" fontId="2" fillId="20" borderId="69" xfId="72" applyNumberFormat="1" applyFill="1" applyBorder="1" applyAlignment="1" applyProtection="1">
      <alignment horizontal="center" vertical="center"/>
    </xf>
    <xf numFmtId="0" fontId="26" fillId="0" borderId="48" xfId="72" applyFont="1" applyFill="1" applyBorder="1" applyAlignment="1" applyProtection="1">
      <alignment horizontal="left" wrapText="1" indent="2"/>
    </xf>
    <xf numFmtId="0" fontId="2" fillId="0" borderId="49" xfId="72" applyNumberFormat="1" applyFont="1" applyBorder="1" applyAlignment="1" applyProtection="1">
      <alignment horizontal="center" wrapText="1"/>
    </xf>
    <xf numFmtId="171" fontId="2" fillId="24" borderId="35" xfId="72" applyNumberFormat="1" applyFont="1" applyFill="1" applyBorder="1" applyAlignment="1" applyProtection="1">
      <alignment horizontal="center" vertical="center"/>
      <protection locked="0"/>
    </xf>
    <xf numFmtId="171" fontId="2" fillId="24" borderId="35" xfId="72" applyNumberFormat="1" applyFont="1" applyFill="1" applyBorder="1" applyAlignment="1" applyProtection="1">
      <alignment horizontal="center" vertical="center"/>
    </xf>
    <xf numFmtId="171" fontId="2" fillId="24" borderId="39" xfId="72" applyNumberFormat="1" applyFont="1" applyFill="1" applyBorder="1" applyAlignment="1" applyProtection="1">
      <alignment horizontal="center" vertical="center"/>
    </xf>
    <xf numFmtId="0" fontId="2" fillId="0" borderId="21" xfId="72" applyFill="1" applyBorder="1" applyProtection="1"/>
    <xf numFmtId="0" fontId="2" fillId="0" borderId="43" xfId="72" applyBorder="1" applyAlignment="1" applyProtection="1">
      <alignment horizontal="center"/>
    </xf>
    <xf numFmtId="0" fontId="26" fillId="0" borderId="27" xfId="72" applyFont="1" applyFill="1" applyBorder="1" applyAlignment="1" applyProtection="1">
      <alignment horizontal="center" vertical="center"/>
    </xf>
    <xf numFmtId="0" fontId="26" fillId="0" borderId="18" xfId="72" applyFont="1" applyBorder="1" applyAlignment="1" applyProtection="1">
      <alignment horizontal="center" vertical="center"/>
    </xf>
    <xf numFmtId="0" fontId="26" fillId="0" borderId="41" xfId="72" applyFont="1" applyFill="1" applyBorder="1" applyProtection="1"/>
    <xf numFmtId="0" fontId="26" fillId="0" borderId="14" xfId="72" applyFont="1" applyBorder="1" applyAlignment="1" applyProtection="1">
      <alignment horizontal="center"/>
    </xf>
    <xf numFmtId="0" fontId="2" fillId="0" borderId="0" xfId="72" applyFill="1" applyBorder="1" applyAlignment="1" applyProtection="1">
      <alignment horizontal="center"/>
    </xf>
    <xf numFmtId="0" fontId="2" fillId="0" borderId="44" xfId="72" applyFill="1" applyBorder="1" applyAlignment="1" applyProtection="1">
      <alignment horizontal="left" wrapText="1" indent="2"/>
    </xf>
    <xf numFmtId="0" fontId="26" fillId="0" borderId="44" xfId="72" applyFont="1" applyFill="1" applyBorder="1" applyAlignment="1" applyProtection="1">
      <alignment horizontal="left" wrapText="1" indent="2"/>
    </xf>
    <xf numFmtId="0" fontId="2" fillId="0" borderId="0" xfId="72" applyNumberFormat="1" applyBorder="1" applyAlignment="1" applyProtection="1">
      <alignment horizontal="center"/>
    </xf>
    <xf numFmtId="0" fontId="26" fillId="0" borderId="44" xfId="72" applyFont="1" applyBorder="1" applyAlignment="1" applyProtection="1">
      <alignment horizontal="left" wrapText="1" indent="2"/>
    </xf>
    <xf numFmtId="0" fontId="2" fillId="0" borderId="74" xfId="72" applyNumberFormat="1" applyFont="1" applyBorder="1" applyAlignment="1" applyProtection="1">
      <alignment horizontal="center" wrapText="1"/>
    </xf>
    <xf numFmtId="171" fontId="2" fillId="20" borderId="35" xfId="72" applyNumberFormat="1" applyFont="1" applyFill="1" applyBorder="1" applyAlignment="1" applyProtection="1">
      <alignment horizontal="center" vertical="center"/>
    </xf>
    <xf numFmtId="171" fontId="2" fillId="20" borderId="39" xfId="72" applyNumberFormat="1" applyFont="1" applyFill="1" applyBorder="1" applyAlignment="1" applyProtection="1">
      <alignment horizontal="center" vertical="center"/>
    </xf>
    <xf numFmtId="171" fontId="2" fillId="20" borderId="30" xfId="72" applyNumberFormat="1" applyFill="1" applyBorder="1" applyAlignment="1" applyProtection="1">
      <alignment horizontal="center" vertical="center"/>
    </xf>
    <xf numFmtId="0" fontId="2" fillId="0" borderId="41" xfId="72" applyFill="1" applyBorder="1" applyProtection="1"/>
    <xf numFmtId="0" fontId="2" fillId="0" borderId="22" xfId="72" applyBorder="1" applyAlignment="1" applyProtection="1">
      <alignment horizontal="center"/>
    </xf>
    <xf numFmtId="0" fontId="26" fillId="0" borderId="58" xfId="72" applyFont="1" applyFill="1" applyBorder="1" applyAlignment="1" applyProtection="1">
      <alignment horizontal="center" vertical="center"/>
    </xf>
    <xf numFmtId="0" fontId="26" fillId="0" borderId="19" xfId="72" applyFont="1" applyBorder="1" applyAlignment="1" applyProtection="1">
      <alignment horizontal="center" vertical="center"/>
    </xf>
    <xf numFmtId="0" fontId="26" fillId="0" borderId="44" xfId="72" applyFont="1" applyFill="1" applyBorder="1" applyProtection="1"/>
    <xf numFmtId="0" fontId="26" fillId="0" borderId="41" xfId="72" applyFont="1" applyFill="1" applyBorder="1" applyAlignment="1" applyProtection="1">
      <alignment horizontal="left" indent="1"/>
    </xf>
    <xf numFmtId="0" fontId="2" fillId="0" borderId="46" xfId="72" applyBorder="1" applyAlignment="1" applyProtection="1">
      <alignment horizontal="center" vertical="center"/>
    </xf>
    <xf numFmtId="0" fontId="2" fillId="0" borderId="47" xfId="72" applyBorder="1" applyAlignment="1" applyProtection="1">
      <alignment horizontal="center" vertical="center"/>
    </xf>
    <xf numFmtId="0" fontId="2" fillId="0" borderId="61" xfId="72" applyBorder="1" applyAlignment="1" applyProtection="1">
      <alignment horizontal="center" vertical="center"/>
    </xf>
    <xf numFmtId="0" fontId="2" fillId="0" borderId="46" xfId="72" applyFill="1" applyBorder="1" applyAlignment="1" applyProtection="1">
      <alignment horizontal="center" vertical="center"/>
    </xf>
    <xf numFmtId="0" fontId="2" fillId="0" borderId="61" xfId="72" applyFill="1" applyBorder="1" applyAlignment="1" applyProtection="1">
      <alignment horizontal="center" vertical="center"/>
    </xf>
    <xf numFmtId="0" fontId="26" fillId="0" borderId="48" xfId="72" applyFont="1" applyBorder="1" applyAlignment="1" applyProtection="1">
      <alignment horizontal="left" wrapText="1" indent="2"/>
    </xf>
    <xf numFmtId="171" fontId="2" fillId="0" borderId="0" xfId="73" applyNumberFormat="1" applyAlignment="1" applyProtection="1">
      <alignment horizontal="center" vertical="center"/>
    </xf>
    <xf numFmtId="0" fontId="2" fillId="0" borderId="0" xfId="72" applyBorder="1" applyProtection="1"/>
    <xf numFmtId="0" fontId="2" fillId="0" borderId="0" xfId="72" applyFont="1" applyBorder="1" applyProtection="1"/>
    <xf numFmtId="0" fontId="2" fillId="0" borderId="0" xfId="72" applyBorder="1" applyAlignment="1" applyProtection="1">
      <alignment horizontal="center"/>
    </xf>
    <xf numFmtId="0" fontId="36" fillId="23" borderId="0" xfId="0" applyFont="1" applyFill="1" applyBorder="1" applyAlignment="1" applyProtection="1">
      <alignment vertical="center"/>
    </xf>
    <xf numFmtId="0" fontId="2" fillId="23" borderId="0" xfId="69" applyFill="1" applyBorder="1" applyAlignment="1" applyProtection="1">
      <alignment vertical="center"/>
    </xf>
    <xf numFmtId="0" fontId="39" fillId="23" borderId="0" xfId="0" applyFont="1" applyFill="1" applyBorder="1" applyAlignment="1" applyProtection="1">
      <alignment vertical="center"/>
    </xf>
    <xf numFmtId="0" fontId="28" fillId="23" borderId="0" xfId="69" applyFont="1" applyFill="1" applyBorder="1" applyAlignment="1" applyProtection="1">
      <alignment vertical="center"/>
    </xf>
    <xf numFmtId="0" fontId="37" fillId="23" borderId="0" xfId="69" applyFont="1" applyFill="1" applyBorder="1" applyAlignment="1" applyProtection="1">
      <alignment vertical="center"/>
    </xf>
    <xf numFmtId="0" fontId="38" fillId="23" borderId="0" xfId="69" applyFont="1" applyFill="1" applyBorder="1" applyAlignment="1" applyProtection="1">
      <alignment horizontal="left" vertical="center"/>
    </xf>
    <xf numFmtId="0" fontId="40" fillId="23" borderId="0" xfId="69" applyFont="1" applyFill="1" applyBorder="1" applyAlignment="1" applyProtection="1">
      <alignment horizontal="left" vertical="center"/>
    </xf>
    <xf numFmtId="0" fontId="38" fillId="23" borderId="31" xfId="69" applyFont="1" applyFill="1" applyBorder="1" applyAlignment="1" applyProtection="1">
      <alignment vertical="center"/>
    </xf>
    <xf numFmtId="0" fontId="2" fillId="23" borderId="31" xfId="69" applyFill="1" applyBorder="1" applyAlignment="1" applyProtection="1">
      <alignment vertical="center"/>
    </xf>
    <xf numFmtId="0" fontId="40" fillId="23" borderId="31" xfId="69" applyFont="1" applyFill="1" applyBorder="1" applyAlignment="1" applyProtection="1">
      <alignment horizontal="left" vertical="center"/>
    </xf>
    <xf numFmtId="0" fontId="2" fillId="0" borderId="0" xfId="69" applyAlignment="1" applyProtection="1">
      <alignment vertical="center"/>
    </xf>
    <xf numFmtId="0" fontId="26" fillId="0" borderId="0" xfId="69" applyFont="1" applyAlignment="1" applyProtection="1">
      <alignment vertical="center"/>
    </xf>
    <xf numFmtId="0" fontId="26" fillId="0" borderId="41" xfId="69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6" fillId="0" borderId="0" xfId="69" applyFont="1" applyBorder="1" applyAlignment="1" applyProtection="1">
      <alignment horizontal="centerContinuous" vertical="center"/>
    </xf>
    <xf numFmtId="0" fontId="2" fillId="0" borderId="44" xfId="69" applyBorder="1" applyAlignment="1" applyProtection="1">
      <alignment vertical="center"/>
    </xf>
    <xf numFmtId="0" fontId="26" fillId="0" borderId="12" xfId="69" applyFont="1" applyBorder="1" applyAlignment="1" applyProtection="1">
      <alignment horizontal="center" vertical="center" wrapText="1"/>
    </xf>
    <xf numFmtId="0" fontId="26" fillId="0" borderId="0" xfId="69" applyFont="1" applyBorder="1" applyAlignment="1" applyProtection="1">
      <alignment horizontal="center" vertical="center" wrapText="1"/>
    </xf>
    <xf numFmtId="0" fontId="2" fillId="0" borderId="58" xfId="69" applyBorder="1" applyAlignment="1" applyProtection="1">
      <alignment vertical="center"/>
    </xf>
    <xf numFmtId="0" fontId="26" fillId="0" borderId="58" xfId="69" applyFont="1" applyFill="1" applyBorder="1" applyAlignment="1" applyProtection="1">
      <alignment horizontal="center" vertical="center"/>
    </xf>
    <xf numFmtId="0" fontId="26" fillId="0" borderId="60" xfId="69" applyFont="1" applyFill="1" applyBorder="1" applyAlignment="1" applyProtection="1">
      <alignment horizontal="center" vertical="center"/>
    </xf>
    <xf numFmtId="0" fontId="26" fillId="0" borderId="59" xfId="69" applyFont="1" applyFill="1" applyBorder="1" applyAlignment="1" applyProtection="1">
      <alignment horizontal="center" vertical="center"/>
    </xf>
    <xf numFmtId="0" fontId="26" fillId="0" borderId="20" xfId="69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6" fillId="0" borderId="0" xfId="69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/>
    </xf>
    <xf numFmtId="0" fontId="2" fillId="0" borderId="27" xfId="69" applyFill="1" applyBorder="1" applyAlignment="1" applyProtection="1">
      <alignment horizontal="center" vertical="center"/>
    </xf>
    <xf numFmtId="0" fontId="2" fillId="0" borderId="0" xfId="69" applyFill="1" applyBorder="1" applyAlignment="1" applyProtection="1">
      <alignment horizontal="center" vertical="center"/>
    </xf>
    <xf numFmtId="0" fontId="2" fillId="0" borderId="28" xfId="69" applyFill="1" applyBorder="1" applyAlignment="1" applyProtection="1">
      <alignment horizontal="center" vertical="center"/>
    </xf>
    <xf numFmtId="9" fontId="2" fillId="0" borderId="28" xfId="1" applyFont="1" applyBorder="1" applyAlignment="1" applyProtection="1">
      <alignment horizontal="center" vertical="center"/>
    </xf>
    <xf numFmtId="9" fontId="2" fillId="0" borderId="0" xfId="1" applyFont="1" applyFill="1" applyBorder="1" applyAlignment="1" applyProtection="1">
      <alignment horizontal="center" vertical="center"/>
    </xf>
    <xf numFmtId="0" fontId="2" fillId="0" borderId="27" xfId="69" applyFont="1" applyBorder="1" applyAlignment="1" applyProtection="1">
      <alignment horizontal="left" vertical="center" wrapText="1" indent="1"/>
    </xf>
    <xf numFmtId="171" fontId="0" fillId="0" borderId="0" xfId="0" applyNumberFormat="1" applyBorder="1" applyProtection="1"/>
    <xf numFmtId="171" fontId="0" fillId="0" borderId="0" xfId="0" applyNumberFormat="1" applyProtection="1"/>
    <xf numFmtId="164" fontId="2" fillId="0" borderId="0" xfId="1" applyNumberFormat="1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 wrapText="1"/>
    </xf>
    <xf numFmtId="171" fontId="34" fillId="0" borderId="0" xfId="0" applyNumberFormat="1" applyFont="1" applyProtection="1"/>
    <xf numFmtId="164" fontId="26" fillId="20" borderId="61" xfId="69" applyNumberFormat="1" applyFont="1" applyFill="1" applyBorder="1" applyAlignment="1" applyProtection="1">
      <alignment horizontal="center" vertical="center"/>
    </xf>
    <xf numFmtId="164" fontId="26" fillId="0" borderId="0" xfId="69" applyNumberFormat="1" applyFont="1" applyFill="1" applyBorder="1" applyAlignment="1" applyProtection="1">
      <alignment horizontal="center" vertical="center"/>
    </xf>
    <xf numFmtId="171" fontId="2" fillId="0" borderId="27" xfId="69" applyNumberFormat="1" applyFill="1" applyBorder="1" applyAlignment="1" applyProtection="1">
      <alignment horizontal="center" vertical="center"/>
    </xf>
    <xf numFmtId="171" fontId="2" fillId="0" borderId="0" xfId="69" applyNumberFormat="1" applyFill="1" applyBorder="1" applyAlignment="1" applyProtection="1">
      <alignment horizontal="center" vertical="center"/>
    </xf>
    <xf numFmtId="171" fontId="2" fillId="0" borderId="28" xfId="69" applyNumberFormat="1" applyFill="1" applyBorder="1" applyAlignment="1" applyProtection="1">
      <alignment horizontal="center" vertical="center"/>
    </xf>
    <xf numFmtId="171" fontId="2" fillId="0" borderId="0" xfId="69" applyNumberFormat="1" applyBorder="1" applyAlignment="1" applyProtection="1">
      <alignment horizontal="center" vertical="center"/>
    </xf>
    <xf numFmtId="171" fontId="2" fillId="0" borderId="28" xfId="69" applyNumberFormat="1" applyBorder="1" applyAlignment="1" applyProtection="1">
      <alignment horizontal="center" vertical="center"/>
    </xf>
    <xf numFmtId="164" fontId="2" fillId="0" borderId="28" xfId="1" applyNumberFormat="1" applyFont="1" applyBorder="1" applyAlignment="1" applyProtection="1">
      <alignment horizontal="center" vertical="center"/>
    </xf>
    <xf numFmtId="0" fontId="26" fillId="0" borderId="30" xfId="69" applyFont="1" applyBorder="1" applyAlignment="1" applyProtection="1">
      <alignment horizontal="left" vertical="center" wrapText="1"/>
    </xf>
    <xf numFmtId="0" fontId="2" fillId="0" borderId="0" xfId="69" applyFill="1" applyAlignment="1" applyProtection="1">
      <alignment vertical="center"/>
    </xf>
    <xf numFmtId="0" fontId="2" fillId="0" borderId="0" xfId="69" applyFont="1" applyAlignment="1" applyProtection="1">
      <alignment vertical="center"/>
    </xf>
    <xf numFmtId="0" fontId="26" fillId="0" borderId="54" xfId="69" applyFont="1" applyBorder="1" applyAlignment="1" applyProtection="1">
      <alignment horizontal="centerContinuous" vertical="center"/>
    </xf>
    <xf numFmtId="0" fontId="26" fillId="0" borderId="55" xfId="69" applyFont="1" applyBorder="1" applyAlignment="1" applyProtection="1">
      <alignment horizontal="centerContinuous" vertical="center" wrapText="1"/>
    </xf>
    <xf numFmtId="0" fontId="26" fillId="0" borderId="57" xfId="69" applyFont="1" applyBorder="1" applyAlignment="1" applyProtection="1">
      <alignment horizontal="centerContinuous" vertical="center" wrapText="1"/>
    </xf>
    <xf numFmtId="0" fontId="26" fillId="0" borderId="46" xfId="74" applyFont="1" applyFill="1" applyBorder="1" applyAlignment="1" applyProtection="1">
      <alignment horizontal="center" vertical="center"/>
    </xf>
    <xf numFmtId="0" fontId="26" fillId="0" borderId="47" xfId="75" applyFont="1" applyFill="1" applyBorder="1" applyAlignment="1" applyProtection="1">
      <alignment horizontal="center" vertical="center"/>
    </xf>
    <xf numFmtId="0" fontId="26" fillId="0" borderId="61" xfId="75" applyFont="1" applyBorder="1" applyAlignment="1" applyProtection="1">
      <alignment horizontal="center" vertical="center"/>
    </xf>
    <xf numFmtId="0" fontId="26" fillId="0" borderId="46" xfId="75" applyFont="1" applyBorder="1" applyAlignment="1" applyProtection="1">
      <alignment horizontal="center" vertical="center"/>
    </xf>
    <xf numFmtId="0" fontId="2" fillId="25" borderId="75" xfId="75" applyFont="1" applyFill="1" applyBorder="1" applyAlignment="1" applyProtection="1">
      <alignment horizontal="left" vertical="center"/>
    </xf>
    <xf numFmtId="171" fontId="33" fillId="21" borderId="46" xfId="75" applyNumberFormat="1" applyFont="1" applyFill="1" applyBorder="1" applyAlignment="1" applyProtection="1">
      <alignment horizontal="center" vertical="center"/>
      <protection locked="0"/>
    </xf>
    <xf numFmtId="171" fontId="33" fillId="21" borderId="47" xfId="75" applyNumberFormat="1" applyFont="1" applyFill="1" applyBorder="1" applyAlignment="1" applyProtection="1">
      <alignment horizontal="center" vertical="center"/>
      <protection locked="0"/>
    </xf>
    <xf numFmtId="171" fontId="33" fillId="21" borderId="61" xfId="75" applyNumberFormat="1" applyFont="1" applyFill="1" applyBorder="1" applyAlignment="1" applyProtection="1">
      <alignment horizontal="center" vertical="center"/>
      <protection locked="0"/>
    </xf>
    <xf numFmtId="171" fontId="2" fillId="20" borderId="46" xfId="75" applyNumberFormat="1" applyFont="1" applyFill="1" applyBorder="1" applyAlignment="1" applyProtection="1">
      <alignment horizontal="center" vertical="center"/>
    </xf>
    <xf numFmtId="171" fontId="2" fillId="20" borderId="61" xfId="75" applyNumberFormat="1" applyFont="1" applyFill="1" applyBorder="1" applyAlignment="1" applyProtection="1">
      <alignment horizontal="center" vertical="center"/>
    </xf>
    <xf numFmtId="0" fontId="2" fillId="0" borderId="38" xfId="75" applyFont="1" applyFill="1" applyBorder="1" applyAlignment="1" applyProtection="1">
      <alignment horizontal="left" vertical="center"/>
    </xf>
    <xf numFmtId="0" fontId="2" fillId="0" borderId="76" xfId="75" applyFont="1" applyFill="1" applyBorder="1" applyAlignment="1" applyProtection="1">
      <alignment horizontal="left" vertical="center" wrapText="1"/>
    </xf>
    <xf numFmtId="10" fontId="2" fillId="0" borderId="36" xfId="75" applyNumberFormat="1" applyFont="1" applyFill="1" applyBorder="1" applyAlignment="1" applyProtection="1">
      <alignment horizontal="center" vertical="center"/>
    </xf>
    <xf numFmtId="10" fontId="2" fillId="0" borderId="35" xfId="75" applyNumberFormat="1" applyFont="1" applyFill="1" applyBorder="1" applyAlignment="1" applyProtection="1">
      <alignment horizontal="center" vertical="center"/>
    </xf>
    <xf numFmtId="10" fontId="2" fillId="0" borderId="39" xfId="75" applyNumberFormat="1" applyFont="1" applyFill="1" applyBorder="1" applyAlignment="1" applyProtection="1">
      <alignment horizontal="center" vertical="center"/>
    </xf>
    <xf numFmtId="1" fontId="2" fillId="20" borderId="36" xfId="75" applyNumberFormat="1" applyFont="1" applyFill="1" applyBorder="1" applyAlignment="1" applyProtection="1">
      <alignment horizontal="center" vertical="center"/>
    </xf>
    <xf numFmtId="1" fontId="2" fillId="20" borderId="39" xfId="75" applyNumberFormat="1" applyFont="1" applyFill="1" applyBorder="1" applyAlignment="1" applyProtection="1">
      <alignment horizontal="center" vertical="center"/>
    </xf>
    <xf numFmtId="0" fontId="2" fillId="0" borderId="0" xfId="75" applyFont="1" applyFill="1" applyBorder="1" applyAlignment="1" applyProtection="1">
      <alignment horizontal="left" vertical="center"/>
    </xf>
    <xf numFmtId="0" fontId="2" fillId="0" borderId="0" xfId="76" applyFont="1" applyAlignment="1" applyProtection="1">
      <alignment vertical="center"/>
    </xf>
    <xf numFmtId="0" fontId="2" fillId="0" borderId="38" xfId="75" applyFont="1" applyFill="1" applyBorder="1" applyAlignment="1" applyProtection="1">
      <alignment horizontal="left" vertical="center" wrapText="1"/>
    </xf>
    <xf numFmtId="164" fontId="2" fillId="0" borderId="46" xfId="77" applyNumberFormat="1" applyFont="1" applyFill="1" applyBorder="1" applyAlignment="1" applyProtection="1">
      <alignment horizontal="center" vertical="center"/>
    </xf>
    <xf numFmtId="164" fontId="2" fillId="0" borderId="47" xfId="77" applyNumberFormat="1" applyFont="1" applyFill="1" applyBorder="1" applyAlignment="1" applyProtection="1">
      <alignment horizontal="center" vertical="center"/>
    </xf>
    <xf numFmtId="164" fontId="2" fillId="0" borderId="61" xfId="77" applyNumberFormat="1" applyFont="1" applyFill="1" applyBorder="1" applyAlignment="1" applyProtection="1">
      <alignment horizontal="center" vertical="center"/>
    </xf>
    <xf numFmtId="9" fontId="2" fillId="20" borderId="46" xfId="1" applyFont="1" applyFill="1" applyBorder="1" applyAlignment="1" applyProtection="1">
      <alignment horizontal="center" vertical="center"/>
    </xf>
    <xf numFmtId="9" fontId="2" fillId="20" borderId="61" xfId="1" applyFont="1" applyFill="1" applyBorder="1" applyAlignment="1" applyProtection="1">
      <alignment horizontal="center" vertical="center"/>
    </xf>
    <xf numFmtId="0" fontId="2" fillId="0" borderId="76" xfId="75" applyFont="1" applyBorder="1" applyAlignment="1" applyProtection="1">
      <alignment horizontal="left" vertical="center" wrapText="1"/>
    </xf>
    <xf numFmtId="171" fontId="33" fillId="21" borderId="36" xfId="75" applyNumberFormat="1" applyFont="1" applyFill="1" applyBorder="1" applyAlignment="1" applyProtection="1">
      <alignment horizontal="center" vertical="center"/>
      <protection locked="0"/>
    </xf>
    <xf numFmtId="171" fontId="33" fillId="21" borderId="35" xfId="75" applyNumberFormat="1" applyFont="1" applyFill="1" applyBorder="1" applyAlignment="1" applyProtection="1">
      <alignment horizontal="center" vertical="center"/>
      <protection locked="0"/>
    </xf>
    <xf numFmtId="171" fontId="42" fillId="21" borderId="39" xfId="75" applyNumberFormat="1" applyFont="1" applyFill="1" applyBorder="1" applyAlignment="1" applyProtection="1">
      <alignment horizontal="center" vertical="center"/>
      <protection locked="0"/>
    </xf>
    <xf numFmtId="171" fontId="2" fillId="20" borderId="36" xfId="75" applyNumberFormat="1" applyFont="1" applyFill="1" applyBorder="1" applyAlignment="1" applyProtection="1">
      <alignment horizontal="center" vertical="center"/>
    </xf>
    <xf numFmtId="171" fontId="2" fillId="20" borderId="39" xfId="75" applyNumberFormat="1" applyFont="1" applyFill="1" applyBorder="1" applyAlignment="1" applyProtection="1">
      <alignment horizontal="center" vertical="center"/>
    </xf>
    <xf numFmtId="0" fontId="2" fillId="0" borderId="21" xfId="69" applyBorder="1" applyAlignment="1" applyProtection="1">
      <alignment vertical="center"/>
    </xf>
    <xf numFmtId="0" fontId="26" fillId="0" borderId="78" xfId="69" applyFont="1" applyBorder="1" applyAlignment="1" applyProtection="1">
      <alignment horizontal="center" vertical="center" wrapText="1"/>
    </xf>
    <xf numFmtId="0" fontId="2" fillId="0" borderId="27" xfId="69" applyBorder="1" applyAlignment="1" applyProtection="1">
      <alignment vertical="center"/>
    </xf>
    <xf numFmtId="0" fontId="26" fillId="0" borderId="55" xfId="69" applyFont="1" applyBorder="1" applyAlignment="1" applyProtection="1">
      <alignment horizontal="center" vertical="center" wrapText="1"/>
    </xf>
    <xf numFmtId="0" fontId="26" fillId="0" borderId="56" xfId="69" applyFont="1" applyBorder="1" applyAlignment="1" applyProtection="1">
      <alignment horizontal="center" vertical="center" wrapText="1"/>
    </xf>
    <xf numFmtId="0" fontId="26" fillId="0" borderId="57" xfId="69" applyFont="1" applyBorder="1" applyAlignment="1" applyProtection="1">
      <alignment horizontal="center" vertical="center" wrapText="1"/>
    </xf>
    <xf numFmtId="0" fontId="26" fillId="0" borderId="75" xfId="69" applyFont="1" applyFill="1" applyBorder="1" applyAlignment="1" applyProtection="1">
      <alignment horizontal="center" vertical="center" wrapText="1"/>
    </xf>
    <xf numFmtId="0" fontId="2" fillId="0" borderId="64" xfId="69" applyBorder="1" applyAlignment="1" applyProtection="1">
      <alignment vertical="center"/>
    </xf>
    <xf numFmtId="0" fontId="26" fillId="0" borderId="46" xfId="69" applyFont="1" applyBorder="1" applyAlignment="1" applyProtection="1">
      <alignment horizontal="center" vertical="center"/>
    </xf>
    <xf numFmtId="0" fontId="26" fillId="0" borderId="47" xfId="69" applyNumberFormat="1" applyFont="1" applyFill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/>
    </xf>
    <xf numFmtId="0" fontId="26" fillId="0" borderId="10" xfId="69" applyFont="1" applyBorder="1" applyAlignment="1" applyProtection="1">
      <alignment horizontal="center" vertical="center"/>
    </xf>
    <xf numFmtId="0" fontId="26" fillId="0" borderId="61" xfId="69" applyFont="1" applyBorder="1" applyAlignment="1" applyProtection="1">
      <alignment horizontal="center" vertical="center"/>
    </xf>
    <xf numFmtId="0" fontId="26" fillId="0" borderId="68" xfId="69" applyFont="1" applyFill="1" applyBorder="1" applyAlignment="1" applyProtection="1">
      <alignment horizontal="center" vertical="center" wrapText="1"/>
    </xf>
    <xf numFmtId="0" fontId="26" fillId="0" borderId="70" xfId="69" applyFont="1" applyFill="1" applyBorder="1" applyAlignment="1" applyProtection="1">
      <alignment horizontal="center" vertical="center" wrapText="1"/>
    </xf>
    <xf numFmtId="0" fontId="26" fillId="0" borderId="13" xfId="69" applyFont="1" applyFill="1" applyBorder="1" applyAlignment="1" applyProtection="1">
      <alignment horizontal="center" vertical="center" wrapText="1"/>
    </xf>
    <xf numFmtId="0" fontId="26" fillId="0" borderId="10" xfId="69" applyFont="1" applyFill="1" applyBorder="1" applyAlignment="1" applyProtection="1">
      <alignment horizontal="center" vertical="center"/>
    </xf>
    <xf numFmtId="0" fontId="29" fillId="0" borderId="70" xfId="75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 wrapText="1"/>
    </xf>
    <xf numFmtId="0" fontId="2" fillId="0" borderId="0" xfId="69" applyAlignment="1" applyProtection="1">
      <alignment vertical="center"/>
      <protection locked="0"/>
    </xf>
    <xf numFmtId="0" fontId="2" fillId="0" borderId="66" xfId="69" applyBorder="1" applyAlignment="1" applyProtection="1">
      <alignment vertical="center"/>
      <protection locked="0"/>
    </xf>
    <xf numFmtId="0" fontId="33" fillId="21" borderId="46" xfId="69" applyFont="1" applyFill="1" applyBorder="1" applyAlignment="1" applyProtection="1">
      <alignment horizontal="center" vertical="center" wrapText="1"/>
      <protection locked="0"/>
    </xf>
    <xf numFmtId="0" fontId="33" fillId="21" borderId="47" xfId="69" applyFont="1" applyFill="1" applyBorder="1" applyAlignment="1" applyProtection="1">
      <alignment horizontal="center" vertical="center"/>
      <protection locked="0"/>
    </xf>
    <xf numFmtId="0" fontId="33" fillId="21" borderId="10" xfId="69" applyFont="1" applyFill="1" applyBorder="1" applyAlignment="1" applyProtection="1">
      <alignment horizontal="center" vertical="center"/>
      <protection locked="0"/>
    </xf>
    <xf numFmtId="170" fontId="33" fillId="21" borderId="47" xfId="69" applyNumberFormat="1" applyFont="1" applyFill="1" applyBorder="1" applyAlignment="1" applyProtection="1">
      <alignment horizontal="center" vertical="center"/>
      <protection locked="0"/>
    </xf>
    <xf numFmtId="171" fontId="2" fillId="20" borderId="61" xfId="69" applyNumberFormat="1" applyFill="1" applyBorder="1" applyAlignment="1" applyProtection="1">
      <alignment horizontal="center" vertical="center"/>
      <protection locked="0"/>
    </xf>
    <xf numFmtId="170" fontId="33" fillId="21" borderId="12" xfId="69" applyNumberFormat="1" applyFont="1" applyFill="1" applyBorder="1" applyAlignment="1" applyProtection="1">
      <alignment horizontal="center" vertical="center"/>
      <protection locked="0"/>
    </xf>
    <xf numFmtId="170" fontId="33" fillId="21" borderId="61" xfId="69" applyNumberFormat="1" applyFont="1" applyFill="1" applyBorder="1" applyAlignment="1" applyProtection="1">
      <alignment horizontal="center" vertical="center"/>
      <protection locked="0"/>
    </xf>
    <xf numFmtId="170" fontId="33" fillId="21" borderId="55" xfId="69" applyNumberFormat="1" applyFont="1" applyFill="1" applyBorder="1" applyAlignment="1" applyProtection="1">
      <alignment horizontal="center" vertical="center"/>
      <protection locked="0"/>
    </xf>
    <xf numFmtId="170" fontId="33" fillId="21" borderId="56" xfId="69" applyNumberFormat="1" applyFont="1" applyFill="1" applyBorder="1" applyAlignment="1" applyProtection="1">
      <alignment horizontal="center" vertical="center"/>
      <protection locked="0"/>
    </xf>
    <xf numFmtId="170" fontId="33" fillId="21" borderId="57" xfId="69" applyNumberFormat="1" applyFont="1" applyFill="1" applyBorder="1" applyAlignment="1" applyProtection="1">
      <alignment horizontal="center" vertical="center"/>
      <protection locked="0"/>
    </xf>
    <xf numFmtId="170" fontId="33" fillId="21" borderId="11" xfId="69" applyNumberFormat="1" applyFont="1" applyFill="1" applyBorder="1" applyAlignment="1" applyProtection="1">
      <alignment horizontal="center" vertical="center"/>
      <protection locked="0"/>
    </xf>
    <xf numFmtId="170" fontId="33" fillId="21" borderId="38" xfId="69" applyNumberFormat="1" applyFont="1" applyFill="1" applyBorder="1" applyAlignment="1" applyProtection="1">
      <alignment horizontal="center" vertical="center"/>
      <protection locked="0"/>
    </xf>
    <xf numFmtId="0" fontId="33" fillId="21" borderId="38" xfId="69" applyNumberFormat="1" applyFont="1" applyFill="1" applyBorder="1" applyAlignment="1" applyProtection="1">
      <alignment vertical="center" wrapText="1"/>
      <protection locked="0"/>
    </xf>
    <xf numFmtId="0" fontId="2" fillId="0" borderId="27" xfId="69" applyBorder="1" applyAlignment="1" applyProtection="1">
      <alignment vertical="center"/>
      <protection locked="0"/>
    </xf>
    <xf numFmtId="170" fontId="33" fillId="21" borderId="46" xfId="69" applyNumberFormat="1" applyFont="1" applyFill="1" applyBorder="1" applyAlignment="1" applyProtection="1">
      <alignment horizontal="center" vertical="center"/>
      <protection locked="0"/>
    </xf>
    <xf numFmtId="0" fontId="33" fillId="21" borderId="38" xfId="69" applyNumberFormat="1" applyFont="1" applyFill="1" applyBorder="1" applyAlignment="1" applyProtection="1">
      <alignment vertical="center"/>
      <protection locked="0"/>
    </xf>
    <xf numFmtId="0" fontId="33" fillId="21" borderId="46" xfId="69" applyFont="1" applyFill="1" applyBorder="1" applyAlignment="1" applyProtection="1">
      <alignment horizontal="center" vertical="center"/>
      <protection locked="0"/>
    </xf>
    <xf numFmtId="0" fontId="33" fillId="21" borderId="68" xfId="69" applyFont="1" applyFill="1" applyBorder="1" applyAlignment="1" applyProtection="1">
      <alignment horizontal="center" vertical="center"/>
      <protection locked="0"/>
    </xf>
    <xf numFmtId="0" fontId="33" fillId="21" borderId="70" xfId="69" applyFont="1" applyFill="1" applyBorder="1" applyAlignment="1" applyProtection="1">
      <alignment horizontal="center" vertical="center"/>
      <protection locked="0"/>
    </xf>
    <xf numFmtId="0" fontId="33" fillId="21" borderId="13" xfId="69" applyFont="1" applyFill="1" applyBorder="1" applyAlignment="1" applyProtection="1">
      <alignment horizontal="center" vertical="center"/>
      <protection locked="0"/>
    </xf>
    <xf numFmtId="170" fontId="33" fillId="21" borderId="15" xfId="69" applyNumberFormat="1" applyFont="1" applyFill="1" applyBorder="1" applyAlignment="1" applyProtection="1">
      <alignment horizontal="center" vertical="center"/>
      <protection locked="0"/>
    </xf>
    <xf numFmtId="170" fontId="33" fillId="21" borderId="69" xfId="69" applyNumberFormat="1" applyFont="1" applyFill="1" applyBorder="1" applyAlignment="1" applyProtection="1">
      <alignment horizontal="center" vertical="center"/>
      <protection locked="0"/>
    </xf>
    <xf numFmtId="170" fontId="33" fillId="21" borderId="70" xfId="69" applyNumberFormat="1" applyFont="1" applyFill="1" applyBorder="1" applyAlignment="1" applyProtection="1">
      <alignment horizontal="center" vertical="center"/>
      <protection locked="0"/>
    </xf>
    <xf numFmtId="170" fontId="33" fillId="21" borderId="36" xfId="69" applyNumberFormat="1" applyFont="1" applyFill="1" applyBorder="1" applyAlignment="1" applyProtection="1">
      <alignment horizontal="center" vertical="center"/>
      <protection locked="0"/>
    </xf>
    <xf numFmtId="170" fontId="33" fillId="21" borderId="35" xfId="69" applyNumberFormat="1" applyFont="1" applyFill="1" applyBorder="1" applyAlignment="1" applyProtection="1">
      <alignment horizontal="center" vertical="center"/>
      <protection locked="0"/>
    </xf>
    <xf numFmtId="170" fontId="33" fillId="21" borderId="39" xfId="69" applyNumberFormat="1" applyFont="1" applyFill="1" applyBorder="1" applyAlignment="1" applyProtection="1">
      <alignment horizontal="center" vertical="center"/>
      <protection locked="0"/>
    </xf>
    <xf numFmtId="0" fontId="2" fillId="20" borderId="79" xfId="69" applyFill="1" applyBorder="1" applyAlignment="1" applyProtection="1">
      <alignment vertical="center"/>
      <protection locked="0"/>
    </xf>
    <xf numFmtId="0" fontId="2" fillId="20" borderId="79" xfId="69" applyFill="1" applyBorder="1" applyAlignment="1" applyProtection="1">
      <alignment horizontal="center" vertical="center"/>
      <protection locked="0"/>
    </xf>
    <xf numFmtId="0" fontId="2" fillId="22" borderId="35" xfId="69" applyFill="1" applyBorder="1" applyAlignment="1" applyProtection="1">
      <alignment horizontal="center" vertical="center"/>
      <protection locked="0"/>
    </xf>
    <xf numFmtId="1" fontId="2" fillId="20" borderId="35" xfId="69" applyNumberFormat="1" applyFill="1" applyBorder="1" applyAlignment="1" applyProtection="1">
      <alignment horizontal="center" vertical="center"/>
      <protection locked="0"/>
    </xf>
    <xf numFmtId="171" fontId="2" fillId="20" borderId="35" xfId="69" applyNumberFormat="1" applyFill="1" applyBorder="1" applyAlignment="1" applyProtection="1">
      <alignment horizontal="center" vertical="center"/>
      <protection locked="0"/>
    </xf>
    <xf numFmtId="171" fontId="2" fillId="20" borderId="39" xfId="69" applyNumberFormat="1" applyFill="1" applyBorder="1" applyAlignment="1" applyProtection="1">
      <alignment horizontal="center" vertical="center"/>
      <protection locked="0"/>
    </xf>
    <xf numFmtId="2" fontId="2" fillId="20" borderId="34" xfId="69" applyNumberFormat="1" applyFill="1" applyBorder="1" applyAlignment="1" applyProtection="1">
      <alignment horizontal="center" vertical="center"/>
      <protection locked="0"/>
    </xf>
    <xf numFmtId="2" fontId="2" fillId="20" borderId="35" xfId="69" applyNumberFormat="1" applyFill="1" applyBorder="1" applyAlignment="1" applyProtection="1">
      <alignment horizontal="center" vertical="center"/>
      <protection locked="0"/>
    </xf>
    <xf numFmtId="2" fontId="2" fillId="20" borderId="72" xfId="69" applyNumberFormat="1" applyFill="1" applyBorder="1" applyAlignment="1" applyProtection="1">
      <alignment horizontal="center" vertical="center"/>
      <protection locked="0"/>
    </xf>
    <xf numFmtId="2" fontId="2" fillId="20" borderId="79" xfId="69" applyNumberFormat="1" applyFill="1" applyBorder="1" applyAlignment="1" applyProtection="1">
      <alignment horizontal="center" vertical="center"/>
      <protection locked="0"/>
    </xf>
    <xf numFmtId="2" fontId="0" fillId="20" borderId="35" xfId="0" applyNumberFormat="1" applyFill="1" applyBorder="1" applyAlignment="1" applyProtection="1">
      <alignment horizontal="center" vertical="center"/>
      <protection locked="0"/>
    </xf>
    <xf numFmtId="2" fontId="2" fillId="20" borderId="32" xfId="69" applyNumberFormat="1" applyFill="1" applyBorder="1" applyAlignment="1" applyProtection="1">
      <alignment horizontal="center" vertical="center"/>
      <protection locked="0"/>
    </xf>
    <xf numFmtId="2" fontId="2" fillId="22" borderId="80" xfId="69" applyNumberFormat="1" applyFill="1" applyBorder="1" applyAlignment="1" applyProtection="1">
      <alignment horizontal="center" vertical="center"/>
      <protection locked="0"/>
    </xf>
    <xf numFmtId="2" fontId="2" fillId="22" borderId="76" xfId="69" applyNumberFormat="1" applyFill="1" applyBorder="1" applyAlignment="1" applyProtection="1">
      <alignment horizontal="center" vertical="center"/>
      <protection locked="0"/>
    </xf>
    <xf numFmtId="0" fontId="2" fillId="22" borderId="76" xfId="69" applyFill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2" fillId="0" borderId="55" xfId="76" applyFont="1" applyBorder="1" applyAlignment="1" applyProtection="1">
      <alignment horizontal="centerContinuous" vertical="center"/>
    </xf>
    <xf numFmtId="0" fontId="2" fillId="0" borderId="56" xfId="76" applyFont="1" applyBorder="1" applyAlignment="1" applyProtection="1">
      <alignment horizontal="centerContinuous" vertical="center"/>
    </xf>
    <xf numFmtId="0" fontId="2" fillId="0" borderId="57" xfId="76" applyFont="1" applyBorder="1" applyAlignment="1" applyProtection="1">
      <alignment horizontal="centerContinuous" vertical="center"/>
    </xf>
    <xf numFmtId="0" fontId="2" fillId="0" borderId="46" xfId="76" applyFont="1" applyBorder="1" applyAlignment="1" applyProtection="1">
      <alignment horizontal="center" vertical="center"/>
    </xf>
    <xf numFmtId="0" fontId="2" fillId="0" borderId="47" xfId="76" applyFont="1" applyBorder="1" applyAlignment="1" applyProtection="1">
      <alignment horizontal="center" vertical="center"/>
    </xf>
    <xf numFmtId="0" fontId="2" fillId="0" borderId="61" xfId="76" applyFont="1" applyBorder="1" applyAlignment="1" applyProtection="1">
      <alignment horizontal="center" vertical="center"/>
    </xf>
    <xf numFmtId="1" fontId="33" fillId="21" borderId="58" xfId="76" applyNumberFormat="1" applyFont="1" applyFill="1" applyBorder="1" applyAlignment="1" applyProtection="1">
      <alignment horizontal="center"/>
      <protection locked="0"/>
    </xf>
    <xf numFmtId="1" fontId="33" fillId="21" borderId="20" xfId="76" applyNumberFormat="1" applyFont="1" applyFill="1" applyBorder="1" applyAlignment="1" applyProtection="1">
      <alignment horizontal="center"/>
      <protection locked="0"/>
    </xf>
    <xf numFmtId="1" fontId="33" fillId="21" borderId="59" xfId="76" applyNumberFormat="1" applyFont="1" applyFill="1" applyBorder="1" applyAlignment="1" applyProtection="1">
      <alignment horizontal="center"/>
      <protection locked="0"/>
    </xf>
    <xf numFmtId="1" fontId="33" fillId="21" borderId="46" xfId="76" applyNumberFormat="1" applyFont="1" applyFill="1" applyBorder="1" applyAlignment="1" applyProtection="1">
      <alignment horizontal="center"/>
      <protection locked="0"/>
    </xf>
    <xf numFmtId="1" fontId="33" fillId="21" borderId="12" xfId="76" applyNumberFormat="1" applyFont="1" applyFill="1" applyBorder="1" applyAlignment="1" applyProtection="1">
      <alignment horizontal="center"/>
      <protection locked="0"/>
    </xf>
    <xf numFmtId="1" fontId="33" fillId="21" borderId="40" xfId="76" applyNumberFormat="1" applyFont="1" applyFill="1" applyBorder="1" applyAlignment="1" applyProtection="1">
      <alignment horizontal="center"/>
      <protection locked="0"/>
    </xf>
    <xf numFmtId="1" fontId="33" fillId="21" borderId="36" xfId="76" applyNumberFormat="1" applyFont="1" applyFill="1" applyBorder="1" applyAlignment="1" applyProtection="1">
      <alignment horizontal="center"/>
      <protection locked="0"/>
    </xf>
    <xf numFmtId="1" fontId="33" fillId="21" borderId="35" xfId="76" applyNumberFormat="1" applyFont="1" applyFill="1" applyBorder="1" applyAlignment="1" applyProtection="1">
      <alignment horizontal="center"/>
      <protection locked="0"/>
    </xf>
    <xf numFmtId="1" fontId="33" fillId="21" borderId="39" xfId="76" applyNumberFormat="1" applyFont="1" applyFill="1" applyBorder="1" applyAlignment="1" applyProtection="1">
      <alignment horizontal="center"/>
      <protection locked="0"/>
    </xf>
    <xf numFmtId="0" fontId="2" fillId="0" borderId="0" xfId="69" applyFont="1" applyProtection="1"/>
    <xf numFmtId="0" fontId="2" fillId="0" borderId="46" xfId="76" applyFont="1" applyBorder="1" applyAlignment="1" applyProtection="1">
      <alignment horizontal="center"/>
    </xf>
    <xf numFmtId="0" fontId="2" fillId="0" borderId="47" xfId="76" applyFont="1" applyBorder="1" applyAlignment="1" applyProtection="1">
      <alignment horizontal="center"/>
    </xf>
    <xf numFmtId="0" fontId="2" fillId="0" borderId="61" xfId="76" applyFont="1" applyBorder="1" applyAlignment="1" applyProtection="1">
      <alignment horizontal="center"/>
    </xf>
    <xf numFmtId="1" fontId="33" fillId="21" borderId="61" xfId="76" applyNumberFormat="1" applyFont="1" applyFill="1" applyBorder="1" applyAlignment="1" applyProtection="1">
      <alignment horizontal="center"/>
      <protection locked="0"/>
    </xf>
    <xf numFmtId="1" fontId="33" fillId="21" borderId="34" xfId="76" applyNumberFormat="1" applyFont="1" applyFill="1" applyBorder="1" applyAlignment="1" applyProtection="1">
      <alignment horizontal="center"/>
      <protection locked="0"/>
    </xf>
    <xf numFmtId="0" fontId="2" fillId="0" borderId="54" xfId="69" applyFont="1" applyBorder="1" applyAlignment="1" applyProtection="1">
      <alignment horizontal="centerContinuous" vertical="center"/>
    </xf>
    <xf numFmtId="0" fontId="2" fillId="0" borderId="53" xfId="69" applyFont="1" applyBorder="1" applyAlignment="1" applyProtection="1">
      <alignment horizontal="centerContinuous" vertical="center"/>
    </xf>
    <xf numFmtId="0" fontId="43" fillId="0" borderId="0" xfId="0" applyFont="1" applyAlignment="1" applyProtection="1">
      <alignment vertical="center"/>
    </xf>
    <xf numFmtId="0" fontId="43" fillId="0" borderId="0" xfId="0" applyFont="1" applyBorder="1" applyAlignment="1" applyProtection="1">
      <alignment vertical="center"/>
    </xf>
    <xf numFmtId="0" fontId="2" fillId="0" borderId="27" xfId="69" applyFont="1" applyFill="1" applyBorder="1" applyAlignment="1" applyProtection="1">
      <alignment horizontal="center" vertical="center"/>
    </xf>
    <xf numFmtId="0" fontId="2" fillId="0" borderId="0" xfId="69" applyFont="1" applyFill="1" applyBorder="1" applyAlignment="1" applyProtection="1">
      <alignment horizontal="center" vertical="center"/>
    </xf>
    <xf numFmtId="0" fontId="2" fillId="0" borderId="28" xfId="69" applyFont="1" applyFill="1" applyBorder="1" applyAlignment="1" applyProtection="1">
      <alignment horizontal="center" vertical="center"/>
    </xf>
    <xf numFmtId="0" fontId="2" fillId="0" borderId="0" xfId="69" applyFont="1" applyBorder="1" applyAlignment="1" applyProtection="1">
      <alignment horizontal="center" vertical="center"/>
    </xf>
    <xf numFmtId="0" fontId="2" fillId="0" borderId="28" xfId="69" applyFont="1" applyBorder="1" applyAlignment="1" applyProtection="1">
      <alignment horizontal="center" vertical="center"/>
    </xf>
    <xf numFmtId="0" fontId="43" fillId="0" borderId="0" xfId="0" applyFont="1" applyProtection="1"/>
    <xf numFmtId="171" fontId="2" fillId="20" borderId="46" xfId="69" applyNumberFormat="1" applyFont="1" applyFill="1" applyBorder="1" applyAlignment="1" applyProtection="1">
      <alignment horizontal="center" vertical="center"/>
    </xf>
    <xf numFmtId="171" fontId="2" fillId="20" borderId="47" xfId="69" applyNumberFormat="1" applyFont="1" applyFill="1" applyBorder="1" applyAlignment="1" applyProtection="1">
      <alignment horizontal="center" vertical="center"/>
    </xf>
    <xf numFmtId="171" fontId="2" fillId="20" borderId="61" xfId="69" applyNumberFormat="1" applyFont="1" applyFill="1" applyBorder="1" applyAlignment="1" applyProtection="1">
      <alignment horizontal="center" vertical="center"/>
    </xf>
    <xf numFmtId="0" fontId="26" fillId="0" borderId="30" xfId="69" applyFont="1" applyBorder="1" applyAlignment="1" applyProtection="1">
      <alignment horizontal="left" vertical="center"/>
    </xf>
    <xf numFmtId="0" fontId="44" fillId="0" borderId="0" xfId="0" applyFont="1" applyProtection="1"/>
    <xf numFmtId="0" fontId="45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vertical="center"/>
    </xf>
    <xf numFmtId="0" fontId="26" fillId="0" borderId="0" xfId="75" applyFont="1" applyFill="1" applyBorder="1" applyAlignment="1" applyProtection="1">
      <alignment horizontal="left" vertical="center"/>
    </xf>
    <xf numFmtId="0" fontId="2" fillId="0" borderId="0" xfId="78" applyFont="1" applyAlignment="1" applyProtection="1">
      <alignment vertical="center"/>
    </xf>
    <xf numFmtId="1" fontId="2" fillId="0" borderId="0" xfId="76" applyNumberFormat="1" applyFont="1" applyAlignment="1" applyProtection="1">
      <alignment vertical="center"/>
    </xf>
    <xf numFmtId="1" fontId="26" fillId="0" borderId="52" xfId="76" applyNumberFormat="1" applyFont="1" applyBorder="1" applyAlignment="1" applyProtection="1">
      <alignment horizontal="centerContinuous" vertical="center"/>
    </xf>
    <xf numFmtId="1" fontId="26" fillId="0" borderId="53" xfId="76" applyNumberFormat="1" applyFont="1" applyBorder="1" applyAlignment="1" applyProtection="1">
      <alignment horizontal="centerContinuous" vertical="center"/>
    </xf>
    <xf numFmtId="1" fontId="26" fillId="0" borderId="54" xfId="76" applyNumberFormat="1" applyFont="1" applyBorder="1" applyAlignment="1" applyProtection="1">
      <alignment horizontal="centerContinuous" vertical="center"/>
    </xf>
    <xf numFmtId="0" fontId="26" fillId="0" borderId="46" xfId="75" applyFont="1" applyFill="1" applyBorder="1" applyAlignment="1" applyProtection="1">
      <alignment horizontal="center" vertical="center"/>
    </xf>
    <xf numFmtId="0" fontId="26" fillId="0" borderId="61" xfId="75" applyFont="1" applyFill="1" applyBorder="1" applyAlignment="1" applyProtection="1">
      <alignment horizontal="center" vertical="center"/>
    </xf>
    <xf numFmtId="0" fontId="26" fillId="0" borderId="12" xfId="75" applyFont="1" applyFill="1" applyBorder="1" applyAlignment="1" applyProtection="1">
      <alignment horizontal="center" vertical="center"/>
    </xf>
    <xf numFmtId="0" fontId="2" fillId="0" borderId="64" xfId="69" applyFont="1" applyBorder="1" applyAlignment="1" applyProtection="1">
      <alignment horizontal="center" vertical="center"/>
    </xf>
    <xf numFmtId="0" fontId="2" fillId="0" borderId="19" xfId="69" applyFont="1" applyBorder="1" applyAlignment="1" applyProtection="1">
      <alignment horizontal="center" vertical="center"/>
    </xf>
    <xf numFmtId="0" fontId="2" fillId="0" borderId="65" xfId="69" applyFont="1" applyBorder="1" applyAlignment="1" applyProtection="1">
      <alignment horizontal="center" vertical="center"/>
    </xf>
    <xf numFmtId="0" fontId="2" fillId="0" borderId="64" xfId="69" applyFont="1" applyFill="1" applyBorder="1" applyAlignment="1" applyProtection="1">
      <alignment horizontal="center" vertical="center"/>
    </xf>
    <xf numFmtId="0" fontId="2" fillId="0" borderId="65" xfId="69" applyFont="1" applyFill="1" applyBorder="1" applyAlignment="1" applyProtection="1">
      <alignment horizontal="center" vertical="center"/>
    </xf>
    <xf numFmtId="0" fontId="2" fillId="0" borderId="59" xfId="79" applyFont="1" applyFill="1" applyBorder="1" applyAlignment="1" applyProtection="1">
      <alignment vertical="center"/>
    </xf>
    <xf numFmtId="171" fontId="46" fillId="0" borderId="58" xfId="75" applyNumberFormat="1" applyFont="1" applyFill="1" applyBorder="1" applyAlignment="1" applyProtection="1">
      <alignment horizontal="center" vertical="center"/>
    </xf>
    <xf numFmtId="171" fontId="46" fillId="0" borderId="60" xfId="75" applyNumberFormat="1" applyFont="1" applyFill="1" applyBorder="1" applyAlignment="1" applyProtection="1">
      <alignment horizontal="center" vertical="center"/>
    </xf>
    <xf numFmtId="171" fontId="46" fillId="0" borderId="59" xfId="75" applyNumberFormat="1" applyFont="1" applyFill="1" applyBorder="1" applyAlignment="1" applyProtection="1">
      <alignment horizontal="center" vertical="center"/>
    </xf>
    <xf numFmtId="0" fontId="28" fillId="0" borderId="0" xfId="75" applyFont="1" applyFill="1" applyBorder="1" applyAlignment="1" applyProtection="1">
      <alignment horizontal="left" vertical="center"/>
    </xf>
    <xf numFmtId="0" fontId="0" fillId="0" borderId="0" xfId="0" applyProtection="1"/>
    <xf numFmtId="0" fontId="2" fillId="0" borderId="61" xfId="79" applyFont="1" applyFill="1" applyBorder="1" applyAlignment="1" applyProtection="1">
      <alignment vertical="center"/>
    </xf>
    <xf numFmtId="171" fontId="46" fillId="0" borderId="46" xfId="75" applyNumberFormat="1" applyFont="1" applyFill="1" applyBorder="1" applyAlignment="1" applyProtection="1">
      <alignment horizontal="center" vertical="center"/>
    </xf>
    <xf numFmtId="171" fontId="46" fillId="0" borderId="47" xfId="75" applyNumberFormat="1" applyFont="1" applyFill="1" applyBorder="1" applyAlignment="1" applyProtection="1">
      <alignment horizontal="center" vertical="center"/>
    </xf>
    <xf numFmtId="171" fontId="46" fillId="0" borderId="61" xfId="75" applyNumberFormat="1" applyFont="1" applyFill="1" applyBorder="1" applyAlignment="1" applyProtection="1">
      <alignment horizontal="center" vertical="center"/>
    </xf>
    <xf numFmtId="0" fontId="2" fillId="0" borderId="61" xfId="79" applyFont="1" applyBorder="1" applyAlignment="1" applyProtection="1">
      <alignment vertical="center"/>
    </xf>
    <xf numFmtId="171" fontId="47" fillId="20" borderId="36" xfId="75" applyNumberFormat="1" applyFont="1" applyFill="1" applyBorder="1" applyAlignment="1" applyProtection="1">
      <alignment horizontal="center" vertical="center"/>
    </xf>
    <xf numFmtId="171" fontId="47" fillId="20" borderId="35" xfId="75" applyNumberFormat="1" applyFont="1" applyFill="1" applyBorder="1" applyAlignment="1" applyProtection="1">
      <alignment horizontal="center" vertical="center"/>
    </xf>
    <xf numFmtId="171" fontId="47" fillId="20" borderId="39" xfId="75" applyNumberFormat="1" applyFont="1" applyFill="1" applyBorder="1" applyAlignment="1" applyProtection="1">
      <alignment horizontal="center" vertical="center"/>
    </xf>
    <xf numFmtId="0" fontId="26" fillId="0" borderId="0" xfId="79" applyFont="1" applyBorder="1" applyAlignment="1" applyProtection="1">
      <alignment vertical="center"/>
    </xf>
    <xf numFmtId="0" fontId="46" fillId="0" borderId="0" xfId="75" applyFont="1" applyFill="1" applyBorder="1" applyAlignment="1" applyProtection="1">
      <alignment horizontal="center" vertical="center"/>
    </xf>
    <xf numFmtId="1" fontId="28" fillId="0" borderId="0" xfId="76" applyNumberFormat="1" applyFont="1" applyProtection="1"/>
    <xf numFmtId="1" fontId="48" fillId="0" borderId="53" xfId="76" applyNumberFormat="1" applyFont="1" applyBorder="1" applyAlignment="1" applyProtection="1">
      <alignment horizontal="centerContinuous"/>
    </xf>
    <xf numFmtId="1" fontId="48" fillId="0" borderId="54" xfId="76" applyNumberFormat="1" applyFont="1" applyBorder="1" applyAlignment="1" applyProtection="1">
      <alignment horizontal="centerContinuous"/>
    </xf>
    <xf numFmtId="1" fontId="48" fillId="0" borderId="52" xfId="76" applyNumberFormat="1" applyFont="1" applyBorder="1" applyAlignment="1" applyProtection="1">
      <alignment horizontal="centerContinuous"/>
    </xf>
    <xf numFmtId="0" fontId="48" fillId="0" borderId="12" xfId="75" applyFont="1" applyFill="1" applyBorder="1" applyAlignment="1" applyProtection="1">
      <alignment horizontal="center" vertical="center"/>
    </xf>
    <xf numFmtId="0" fontId="48" fillId="0" borderId="47" xfId="75" applyFont="1" applyFill="1" applyBorder="1" applyAlignment="1" applyProtection="1">
      <alignment horizontal="center" vertical="center"/>
    </xf>
    <xf numFmtId="0" fontId="48" fillId="0" borderId="61" xfId="75" applyFont="1" applyFill="1" applyBorder="1" applyAlignment="1" applyProtection="1">
      <alignment horizontal="center" vertical="center"/>
    </xf>
    <xf numFmtId="0" fontId="48" fillId="0" borderId="46" xfId="75" applyFont="1" applyFill="1" applyBorder="1" applyAlignment="1" applyProtection="1">
      <alignment horizontal="center" vertical="center"/>
    </xf>
    <xf numFmtId="171" fontId="49" fillId="21" borderId="20" xfId="75" applyNumberFormat="1" applyFont="1" applyFill="1" applyBorder="1" applyAlignment="1" applyProtection="1">
      <alignment horizontal="center" vertical="center"/>
      <protection locked="0"/>
    </xf>
    <xf numFmtId="171" fontId="49" fillId="21" borderId="65" xfId="75" applyNumberFormat="1" applyFont="1" applyFill="1" applyBorder="1" applyAlignment="1" applyProtection="1">
      <alignment horizontal="center" vertical="center"/>
      <protection locked="0"/>
    </xf>
    <xf numFmtId="171" fontId="49" fillId="21" borderId="58" xfId="75" applyNumberFormat="1" applyFont="1" applyFill="1" applyBorder="1" applyAlignment="1" applyProtection="1">
      <alignment horizontal="center" vertical="center"/>
      <protection locked="0"/>
    </xf>
    <xf numFmtId="171" fontId="49" fillId="21" borderId="60" xfId="75" applyNumberFormat="1" applyFont="1" applyFill="1" applyBorder="1" applyAlignment="1" applyProtection="1">
      <alignment horizontal="center" vertical="center"/>
      <protection locked="0"/>
    </xf>
    <xf numFmtId="171" fontId="49" fillId="21" borderId="59" xfId="75" applyNumberFormat="1" applyFont="1" applyFill="1" applyBorder="1" applyAlignment="1" applyProtection="1">
      <alignment horizontal="center" vertical="center"/>
      <protection locked="0"/>
    </xf>
    <xf numFmtId="171" fontId="49" fillId="21" borderId="12" xfId="75" applyNumberFormat="1" applyFont="1" applyFill="1" applyBorder="1" applyAlignment="1" applyProtection="1">
      <alignment horizontal="center" vertical="center"/>
      <protection locked="0"/>
    </xf>
    <xf numFmtId="171" fontId="49" fillId="21" borderId="40" xfId="75" applyNumberFormat="1" applyFont="1" applyFill="1" applyBorder="1" applyAlignment="1" applyProtection="1">
      <alignment horizontal="center" vertical="center"/>
      <protection locked="0"/>
    </xf>
    <xf numFmtId="171" fontId="49" fillId="21" borderId="46" xfId="75" applyNumberFormat="1" applyFont="1" applyFill="1" applyBorder="1" applyAlignment="1" applyProtection="1">
      <alignment horizontal="center" vertical="center"/>
      <protection locked="0"/>
    </xf>
    <xf numFmtId="171" fontId="49" fillId="21" borderId="47" xfId="75" applyNumberFormat="1" applyFont="1" applyFill="1" applyBorder="1" applyAlignment="1" applyProtection="1">
      <alignment horizontal="center" vertical="center"/>
      <protection locked="0"/>
    </xf>
    <xf numFmtId="171" fontId="49" fillId="21" borderId="61" xfId="75" applyNumberFormat="1" applyFont="1" applyFill="1" applyBorder="1" applyAlignment="1" applyProtection="1">
      <alignment horizontal="center" vertical="center"/>
      <protection locked="0"/>
    </xf>
    <xf numFmtId="171" fontId="28" fillId="0" borderId="12" xfId="75" applyNumberFormat="1" applyFont="1" applyFill="1" applyBorder="1" applyAlignment="1" applyProtection="1">
      <alignment horizontal="center" vertical="center"/>
    </xf>
    <xf numFmtId="171" fontId="28" fillId="0" borderId="47" xfId="75" applyNumberFormat="1" applyFont="1" applyFill="1" applyBorder="1" applyAlignment="1" applyProtection="1">
      <alignment horizontal="center" vertical="center"/>
    </xf>
    <xf numFmtId="171" fontId="28" fillId="0" borderId="61" xfId="75" applyNumberFormat="1" applyFont="1" applyFill="1" applyBorder="1" applyAlignment="1" applyProtection="1">
      <alignment horizontal="center" vertical="center"/>
    </xf>
    <xf numFmtId="171" fontId="28" fillId="0" borderId="46" xfId="75" applyNumberFormat="1" applyFont="1" applyFill="1" applyBorder="1" applyAlignment="1" applyProtection="1">
      <alignment horizontal="center" vertical="center"/>
    </xf>
    <xf numFmtId="0" fontId="28" fillId="0" borderId="0" xfId="75" applyFont="1" applyFill="1" applyBorder="1" applyAlignment="1" applyProtection="1">
      <alignment horizontal="left" vertical="center"/>
      <protection locked="0"/>
    </xf>
    <xf numFmtId="0" fontId="2" fillId="0" borderId="69" xfId="79" applyFont="1" applyBorder="1" applyAlignment="1" applyProtection="1">
      <alignment vertical="center"/>
    </xf>
    <xf numFmtId="171" fontId="49" fillId="21" borderId="15" xfId="75" applyNumberFormat="1" applyFont="1" applyFill="1" applyBorder="1" applyAlignment="1" applyProtection="1">
      <alignment horizontal="center" vertical="center"/>
      <protection locked="0"/>
    </xf>
    <xf numFmtId="171" fontId="49" fillId="21" borderId="70" xfId="75" applyNumberFormat="1" applyFont="1" applyFill="1" applyBorder="1" applyAlignment="1" applyProtection="1">
      <alignment horizontal="center" vertical="center"/>
      <protection locked="0"/>
    </xf>
    <xf numFmtId="171" fontId="49" fillId="21" borderId="69" xfId="75" applyNumberFormat="1" applyFont="1" applyFill="1" applyBorder="1" applyAlignment="1" applyProtection="1">
      <alignment horizontal="center" vertical="center"/>
      <protection locked="0"/>
    </xf>
    <xf numFmtId="171" fontId="49" fillId="21" borderId="68" xfId="75" applyNumberFormat="1" applyFont="1" applyFill="1" applyBorder="1" applyAlignment="1" applyProtection="1">
      <alignment horizontal="center" vertical="center"/>
      <protection locked="0"/>
    </xf>
    <xf numFmtId="171" fontId="48" fillId="20" borderId="81" xfId="75" applyNumberFormat="1" applyFont="1" applyFill="1" applyBorder="1" applyAlignment="1" applyProtection="1">
      <alignment horizontal="center" vertical="center"/>
    </xf>
    <xf numFmtId="171" fontId="48" fillId="20" borderId="82" xfId="75" applyNumberFormat="1" applyFont="1" applyFill="1" applyBorder="1" applyAlignment="1" applyProtection="1">
      <alignment horizontal="center" vertical="center"/>
    </xf>
    <xf numFmtId="171" fontId="48" fillId="20" borderId="83" xfId="75" applyNumberFormat="1" applyFont="1" applyFill="1" applyBorder="1" applyAlignment="1" applyProtection="1">
      <alignment horizontal="center" vertical="center"/>
    </xf>
    <xf numFmtId="171" fontId="48" fillId="20" borderId="84" xfId="75" applyNumberFormat="1" applyFont="1" applyFill="1" applyBorder="1" applyAlignment="1" applyProtection="1">
      <alignment horizontal="center" vertical="center"/>
    </xf>
    <xf numFmtId="171" fontId="48" fillId="20" borderId="34" xfId="75" applyNumberFormat="1" applyFont="1" applyFill="1" applyBorder="1" applyAlignment="1" applyProtection="1">
      <alignment horizontal="center" vertical="center"/>
    </xf>
    <xf numFmtId="171" fontId="48" fillId="20" borderId="35" xfId="75" applyNumberFormat="1" applyFont="1" applyFill="1" applyBorder="1" applyAlignment="1" applyProtection="1">
      <alignment horizontal="center" vertical="center"/>
    </xf>
    <xf numFmtId="171" fontId="48" fillId="20" borderId="39" xfId="75" applyNumberFormat="1" applyFont="1" applyFill="1" applyBorder="1" applyAlignment="1" applyProtection="1">
      <alignment horizontal="center" vertical="center"/>
    </xf>
    <xf numFmtId="171" fontId="48" fillId="20" borderId="36" xfId="75" applyNumberFormat="1" applyFont="1" applyFill="1" applyBorder="1" applyAlignment="1" applyProtection="1">
      <alignment horizontal="center" vertical="center"/>
    </xf>
    <xf numFmtId="0" fontId="2" fillId="0" borderId="61" xfId="75" applyFont="1" applyFill="1" applyBorder="1" applyAlignment="1" applyProtection="1">
      <alignment horizontal="left" vertical="center"/>
    </xf>
    <xf numFmtId="164" fontId="2" fillId="20" borderId="61" xfId="80" applyNumberFormat="1" applyFont="1" applyFill="1" applyBorder="1" applyAlignment="1" applyProtection="1">
      <alignment horizontal="center" vertical="center"/>
    </xf>
    <xf numFmtId="1" fontId="2" fillId="0" borderId="61" xfId="76" applyNumberFormat="1" applyFont="1" applyBorder="1" applyAlignment="1" applyProtection="1">
      <alignment vertical="center"/>
    </xf>
    <xf numFmtId="171" fontId="28" fillId="20" borderId="12" xfId="75" applyNumberFormat="1" applyFont="1" applyFill="1" applyBorder="1" applyAlignment="1" applyProtection="1">
      <alignment horizontal="center" vertical="center"/>
    </xf>
    <xf numFmtId="171" fontId="28" fillId="20" borderId="40" xfId="75" applyNumberFormat="1" applyFont="1" applyFill="1" applyBorder="1" applyAlignment="1" applyProtection="1">
      <alignment horizontal="center" vertical="center"/>
    </xf>
    <xf numFmtId="171" fontId="28" fillId="20" borderId="46" xfId="75" applyNumberFormat="1" applyFont="1" applyFill="1" applyBorder="1" applyAlignment="1" applyProtection="1">
      <alignment horizontal="center" vertical="center"/>
    </xf>
    <xf numFmtId="0" fontId="26" fillId="0" borderId="46" xfId="75" applyFont="1" applyFill="1" applyBorder="1" applyAlignment="1" applyProtection="1">
      <alignment vertical="center"/>
    </xf>
    <xf numFmtId="0" fontId="44" fillId="0" borderId="36" xfId="0" applyFont="1" applyBorder="1" applyAlignment="1" applyProtection="1">
      <alignment vertical="center"/>
    </xf>
    <xf numFmtId="1" fontId="2" fillId="0" borderId="39" xfId="76" applyNumberFormat="1" applyFont="1" applyBorder="1" applyAlignment="1" applyProtection="1">
      <alignment vertical="center"/>
    </xf>
    <xf numFmtId="171" fontId="28" fillId="20" borderId="34" xfId="75" applyNumberFormat="1" applyFont="1" applyFill="1" applyBorder="1" applyAlignment="1" applyProtection="1">
      <alignment horizontal="center" vertical="center"/>
    </xf>
    <xf numFmtId="171" fontId="28" fillId="20" borderId="72" xfId="75" applyNumberFormat="1" applyFont="1" applyFill="1" applyBorder="1" applyAlignment="1" applyProtection="1">
      <alignment horizontal="center" vertical="center"/>
    </xf>
    <xf numFmtId="171" fontId="28" fillId="20" borderId="36" xfId="75" applyNumberFormat="1" applyFont="1" applyFill="1" applyBorder="1" applyAlignment="1" applyProtection="1">
      <alignment horizontal="center" vertical="center"/>
    </xf>
    <xf numFmtId="164" fontId="2" fillId="20" borderId="39" xfId="80" applyNumberFormat="1" applyFont="1" applyFill="1" applyBorder="1" applyAlignment="1" applyProtection="1">
      <alignment horizontal="center" vertical="center"/>
    </xf>
    <xf numFmtId="0" fontId="26" fillId="0" borderId="27" xfId="68" applyFont="1" applyBorder="1" applyAlignment="1" applyProtection="1">
      <alignment vertical="center"/>
    </xf>
    <xf numFmtId="0" fontId="26" fillId="0" borderId="28" xfId="68" applyFont="1" applyBorder="1" applyAlignment="1" applyProtection="1">
      <alignment vertical="center"/>
    </xf>
    <xf numFmtId="1" fontId="2" fillId="0" borderId="27" xfId="76" applyNumberFormat="1" applyFont="1" applyBorder="1" applyAlignment="1" applyProtection="1">
      <alignment vertical="center"/>
    </xf>
    <xf numFmtId="0" fontId="2" fillId="0" borderId="28" xfId="75" applyFont="1" applyFill="1" applyBorder="1" applyAlignment="1" applyProtection="1">
      <alignment horizontal="left" vertical="center"/>
    </xf>
    <xf numFmtId="0" fontId="2" fillId="0" borderId="27" xfId="75" applyFont="1" applyFill="1" applyBorder="1" applyAlignment="1" applyProtection="1">
      <alignment horizontal="left" vertical="center"/>
    </xf>
    <xf numFmtId="1" fontId="2" fillId="0" borderId="28" xfId="76" applyNumberFormat="1" applyFont="1" applyBorder="1" applyAlignment="1" applyProtection="1">
      <alignment vertical="center"/>
    </xf>
    <xf numFmtId="0" fontId="2" fillId="0" borderId="28" xfId="68" applyFont="1" applyBorder="1" applyAlignment="1" applyProtection="1">
      <alignment horizontal="left" vertical="center"/>
    </xf>
    <xf numFmtId="171" fontId="2" fillId="0" borderId="46" xfId="75" applyNumberFormat="1" applyFont="1" applyFill="1" applyBorder="1" applyAlignment="1" applyProtection="1">
      <alignment horizontal="center" vertical="center"/>
      <protection locked="0"/>
    </xf>
    <xf numFmtId="171" fontId="2" fillId="0" borderId="47" xfId="75" applyNumberFormat="1" applyFont="1" applyFill="1" applyBorder="1" applyAlignment="1" applyProtection="1">
      <alignment horizontal="center" vertical="center"/>
      <protection locked="0"/>
    </xf>
    <xf numFmtId="171" fontId="2" fillId="0" borderId="61" xfId="75" applyNumberFormat="1" applyFont="1" applyFill="1" applyBorder="1" applyAlignment="1" applyProtection="1">
      <alignment horizontal="center" vertical="center"/>
      <protection locked="0"/>
    </xf>
    <xf numFmtId="0" fontId="50" fillId="21" borderId="28" xfId="68" applyFont="1" applyFill="1" applyBorder="1" applyAlignment="1" applyProtection="1">
      <alignment horizontal="left" vertical="center"/>
    </xf>
    <xf numFmtId="0" fontId="43" fillId="0" borderId="0" xfId="0" applyFont="1" applyFill="1" applyAlignment="1" applyProtection="1">
      <alignment vertical="center"/>
    </xf>
    <xf numFmtId="164" fontId="2" fillId="0" borderId="61" xfId="80" applyNumberFormat="1" applyFont="1" applyFill="1" applyBorder="1" applyAlignment="1" applyProtection="1">
      <alignment horizontal="center" vertical="center"/>
    </xf>
    <xf numFmtId="0" fontId="2" fillId="0" borderId="30" xfId="75" applyFont="1" applyFill="1" applyBorder="1" applyAlignment="1" applyProtection="1">
      <alignment horizontal="left" vertical="center"/>
    </xf>
    <xf numFmtId="0" fontId="50" fillId="21" borderId="32" xfId="68" applyFont="1" applyFill="1" applyBorder="1" applyAlignment="1" applyProtection="1">
      <alignment horizontal="left" vertical="center"/>
    </xf>
    <xf numFmtId="171" fontId="33" fillId="21" borderId="39" xfId="75" applyNumberFormat="1" applyFont="1" applyFill="1" applyBorder="1" applyAlignment="1" applyProtection="1">
      <alignment horizontal="center" vertical="center"/>
      <protection locked="0"/>
    </xf>
    <xf numFmtId="171" fontId="2" fillId="20" borderId="36" xfId="69" applyNumberFormat="1" applyFont="1" applyFill="1" applyBorder="1" applyAlignment="1" applyProtection="1">
      <alignment horizontal="center" vertical="center"/>
    </xf>
    <xf numFmtId="171" fontId="2" fillId="20" borderId="35" xfId="69" applyNumberFormat="1" applyFont="1" applyFill="1" applyBorder="1" applyAlignment="1" applyProtection="1">
      <alignment horizontal="center" vertical="center"/>
    </xf>
    <xf numFmtId="171" fontId="2" fillId="20" borderId="39" xfId="69" applyNumberFormat="1" applyFont="1" applyFill="1" applyBorder="1" applyAlignment="1" applyProtection="1">
      <alignment horizontal="center" vertical="center"/>
    </xf>
    <xf numFmtId="0" fontId="25" fillId="0" borderId="0" xfId="78" applyFont="1" applyAlignment="1" applyProtection="1">
      <alignment vertical="center"/>
    </xf>
    <xf numFmtId="0" fontId="25" fillId="0" borderId="0" xfId="75" applyFont="1" applyFill="1" applyBorder="1" applyAlignment="1" applyProtection="1">
      <alignment horizontal="left" vertical="center"/>
    </xf>
    <xf numFmtId="1" fontId="25" fillId="0" borderId="0" xfId="76" applyNumberFormat="1" applyFont="1" applyAlignment="1" applyProtection="1">
      <alignment vertical="center"/>
    </xf>
    <xf numFmtId="0" fontId="25" fillId="0" borderId="0" xfId="76" applyFont="1" applyAlignment="1" applyProtection="1">
      <alignment vertical="center"/>
    </xf>
    <xf numFmtId="0" fontId="36" fillId="23" borderId="0" xfId="81" applyFont="1" applyFill="1" applyBorder="1" applyAlignment="1" applyProtection="1">
      <alignment vertical="center"/>
    </xf>
    <xf numFmtId="0" fontId="38" fillId="23" borderId="0" xfId="82" applyFont="1" applyFill="1" applyBorder="1" applyAlignment="1" applyProtection="1">
      <alignment vertical="center"/>
    </xf>
    <xf numFmtId="0" fontId="25" fillId="23" borderId="0" xfId="82" applyFont="1" applyFill="1" applyBorder="1" applyAlignment="1" applyProtection="1">
      <alignment vertical="center"/>
    </xf>
    <xf numFmtId="0" fontId="51" fillId="23" borderId="0" xfId="82" applyFont="1" applyFill="1" applyBorder="1" applyAlignment="1" applyProtection="1">
      <alignment vertical="center"/>
    </xf>
    <xf numFmtId="0" fontId="2" fillId="23" borderId="0" xfId="82" applyFont="1" applyFill="1" applyBorder="1" applyAlignment="1" applyProtection="1">
      <alignment vertical="center"/>
    </xf>
    <xf numFmtId="0" fontId="38" fillId="23" borderId="0" xfId="82" applyFont="1" applyFill="1" applyBorder="1" applyAlignment="1" applyProtection="1">
      <alignment horizontal="left" vertical="center"/>
    </xf>
    <xf numFmtId="0" fontId="38" fillId="23" borderId="31" xfId="82" applyFont="1" applyFill="1" applyBorder="1" applyAlignment="1" applyProtection="1">
      <alignment vertical="center"/>
    </xf>
    <xf numFmtId="0" fontId="51" fillId="23" borderId="31" xfId="82" applyFont="1" applyFill="1" applyBorder="1" applyAlignment="1" applyProtection="1">
      <alignment horizontal="left" vertical="center"/>
    </xf>
    <xf numFmtId="0" fontId="2" fillId="23" borderId="31" xfId="82" applyFont="1" applyFill="1" applyBorder="1" applyAlignment="1" applyProtection="1">
      <alignment vertical="center"/>
    </xf>
    <xf numFmtId="0" fontId="2" fillId="0" borderId="0" xfId="82" applyFont="1" applyAlignment="1" applyProtection="1">
      <alignment vertical="center"/>
    </xf>
    <xf numFmtId="0" fontId="26" fillId="0" borderId="0" xfId="82" applyFont="1" applyAlignment="1" applyProtection="1">
      <alignment vertical="center"/>
    </xf>
    <xf numFmtId="0" fontId="26" fillId="0" borderId="52" xfId="83" applyFont="1" applyBorder="1" applyAlignment="1" applyProtection="1">
      <alignment horizontal="centerContinuous" vertical="center"/>
    </xf>
    <xf numFmtId="0" fontId="26" fillId="0" borderId="53" xfId="83" applyFont="1" applyBorder="1" applyAlignment="1" applyProtection="1">
      <alignment horizontal="centerContinuous" vertical="center"/>
    </xf>
    <xf numFmtId="0" fontId="2" fillId="0" borderId="54" xfId="83" applyFont="1" applyBorder="1" applyAlignment="1" applyProtection="1">
      <alignment horizontal="centerContinuous" vertical="center"/>
    </xf>
    <xf numFmtId="0" fontId="2" fillId="0" borderId="53" xfId="83" applyFont="1" applyBorder="1" applyAlignment="1" applyProtection="1">
      <alignment horizontal="centerContinuous" vertical="center"/>
    </xf>
    <xf numFmtId="0" fontId="26" fillId="0" borderId="46" xfId="83" applyFont="1" applyBorder="1" applyAlignment="1" applyProtection="1">
      <alignment horizontal="center" vertical="center" wrapText="1"/>
    </xf>
    <xf numFmtId="0" fontId="26" fillId="0" borderId="47" xfId="83" applyFont="1" applyBorder="1" applyAlignment="1" applyProtection="1">
      <alignment horizontal="center" vertical="center" wrapText="1"/>
    </xf>
    <xf numFmtId="0" fontId="26" fillId="0" borderId="61" xfId="83" applyFont="1" applyBorder="1" applyAlignment="1" applyProtection="1">
      <alignment horizontal="center" vertical="center" wrapText="1"/>
    </xf>
    <xf numFmtId="0" fontId="26" fillId="0" borderId="46" xfId="82" applyFont="1" applyBorder="1" applyAlignment="1" applyProtection="1">
      <alignment horizontal="left" vertical="center" wrapText="1"/>
    </xf>
    <xf numFmtId="0" fontId="2" fillId="0" borderId="61" xfId="82" applyNumberFormat="1" applyFont="1" applyBorder="1" applyAlignment="1" applyProtection="1">
      <alignment vertical="center" wrapText="1"/>
    </xf>
    <xf numFmtId="171" fontId="43" fillId="0" borderId="71" xfId="84" applyNumberFormat="1" applyFont="1" applyFill="1" applyBorder="1" applyAlignment="1" applyProtection="1">
      <alignment horizontal="center" vertical="center"/>
    </xf>
    <xf numFmtId="171" fontId="43" fillId="0" borderId="11" xfId="84" applyNumberFormat="1" applyFont="1" applyFill="1" applyBorder="1" applyAlignment="1" applyProtection="1">
      <alignment horizontal="center" vertical="center"/>
    </xf>
    <xf numFmtId="171" fontId="43" fillId="0" borderId="40" xfId="84" applyNumberFormat="1" applyFont="1" applyFill="1" applyBorder="1" applyAlignment="1" applyProtection="1">
      <alignment horizontal="center" vertical="center"/>
    </xf>
    <xf numFmtId="0" fontId="2" fillId="0" borderId="46" xfId="82" applyFont="1" applyBorder="1" applyAlignment="1" applyProtection="1">
      <alignment horizontal="left" vertical="center" wrapText="1"/>
    </xf>
    <xf numFmtId="171" fontId="43" fillId="0" borderId="46" xfId="84" applyNumberFormat="1" applyFont="1" applyFill="1" applyBorder="1" applyAlignment="1" applyProtection="1">
      <alignment horizontal="center" vertical="center"/>
    </xf>
    <xf numFmtId="171" fontId="43" fillId="0" borderId="12" xfId="84" applyNumberFormat="1" applyFont="1" applyFill="1" applyBorder="1" applyAlignment="1" applyProtection="1">
      <alignment horizontal="center" vertical="center"/>
    </xf>
    <xf numFmtId="171" fontId="43" fillId="0" borderId="47" xfId="84" applyNumberFormat="1" applyFont="1" applyFill="1" applyBorder="1" applyAlignment="1" applyProtection="1">
      <alignment horizontal="center" vertical="center"/>
    </xf>
    <xf numFmtId="171" fontId="43" fillId="0" borderId="61" xfId="84" applyNumberFormat="1" applyFont="1" applyFill="1" applyBorder="1" applyAlignment="1" applyProtection="1">
      <alignment horizontal="center" vertical="center"/>
    </xf>
    <xf numFmtId="171" fontId="33" fillId="21" borderId="12" xfId="84" applyNumberFormat="1" applyFont="1" applyFill="1" applyBorder="1" applyAlignment="1" applyProtection="1">
      <alignment horizontal="center" vertical="center"/>
      <protection locked="0"/>
    </xf>
    <xf numFmtId="171" fontId="33" fillId="21" borderId="40" xfId="84" applyNumberFormat="1" applyFont="1" applyFill="1" applyBorder="1" applyAlignment="1" applyProtection="1">
      <alignment horizontal="center" vertical="center"/>
      <protection locked="0"/>
    </xf>
    <xf numFmtId="171" fontId="33" fillId="21" borderId="46" xfId="84" applyNumberFormat="1" applyFont="1" applyFill="1" applyBorder="1" applyAlignment="1" applyProtection="1">
      <alignment horizontal="center" vertical="center"/>
      <protection locked="0"/>
    </xf>
    <xf numFmtId="171" fontId="33" fillId="21" borderId="47" xfId="84" applyNumberFormat="1" applyFont="1" applyFill="1" applyBorder="1" applyAlignment="1" applyProtection="1">
      <alignment horizontal="center" vertical="center"/>
      <protection locked="0"/>
    </xf>
    <xf numFmtId="171" fontId="33" fillId="21" borderId="61" xfId="84" applyNumberFormat="1" applyFont="1" applyFill="1" applyBorder="1" applyAlignment="1" applyProtection="1">
      <alignment horizontal="center" vertical="center"/>
      <protection locked="0"/>
    </xf>
    <xf numFmtId="0" fontId="33" fillId="21" borderId="46" xfId="82" applyFont="1" applyFill="1" applyBorder="1" applyAlignment="1" applyProtection="1">
      <alignment horizontal="left" vertical="center" wrapText="1"/>
      <protection locked="0"/>
    </xf>
    <xf numFmtId="0" fontId="2" fillId="0" borderId="61" xfId="82" applyNumberFormat="1" applyFont="1" applyBorder="1" applyAlignment="1" applyProtection="1">
      <alignment vertical="center" wrapText="1"/>
      <protection locked="0"/>
    </xf>
    <xf numFmtId="0" fontId="2" fillId="0" borderId="0" xfId="82" applyFont="1" applyAlignment="1" applyProtection="1">
      <alignment vertical="center"/>
      <protection locked="0"/>
    </xf>
    <xf numFmtId="171" fontId="33" fillId="21" borderId="15" xfId="84" applyNumberFormat="1" applyFont="1" applyFill="1" applyBorder="1" applyAlignment="1" applyProtection="1">
      <alignment horizontal="center" vertical="center"/>
      <protection locked="0"/>
    </xf>
    <xf numFmtId="171" fontId="33" fillId="21" borderId="14" xfId="84" applyNumberFormat="1" applyFont="1" applyFill="1" applyBorder="1" applyAlignment="1" applyProtection="1">
      <alignment horizontal="center" vertical="center"/>
      <protection locked="0"/>
    </xf>
    <xf numFmtId="171" fontId="33" fillId="21" borderId="68" xfId="84" applyNumberFormat="1" applyFont="1" applyFill="1" applyBorder="1" applyAlignment="1" applyProtection="1">
      <alignment horizontal="center" vertical="center"/>
      <protection locked="0"/>
    </xf>
    <xf numFmtId="171" fontId="33" fillId="21" borderId="70" xfId="84" applyNumberFormat="1" applyFont="1" applyFill="1" applyBorder="1" applyAlignment="1" applyProtection="1">
      <alignment horizontal="center" vertical="center"/>
      <protection locked="0"/>
    </xf>
    <xf numFmtId="171" fontId="33" fillId="21" borderId="69" xfId="84" applyNumberFormat="1" applyFont="1" applyFill="1" applyBorder="1" applyAlignment="1" applyProtection="1">
      <alignment horizontal="center" vertical="center"/>
      <protection locked="0"/>
    </xf>
    <xf numFmtId="0" fontId="26" fillId="0" borderId="79" xfId="82" applyFont="1" applyBorder="1" applyAlignment="1" applyProtection="1">
      <alignment horizontal="left" vertical="center"/>
      <protection locked="0"/>
    </xf>
    <xf numFmtId="0" fontId="2" fillId="0" borderId="39" xfId="82" applyNumberFormat="1" applyFont="1" applyBorder="1" applyAlignment="1" applyProtection="1">
      <alignment vertical="center" wrapText="1"/>
      <protection locked="0"/>
    </xf>
    <xf numFmtId="171" fontId="26" fillId="20" borderId="36" xfId="82" applyNumberFormat="1" applyFont="1" applyFill="1" applyBorder="1" applyAlignment="1" applyProtection="1">
      <alignment horizontal="center" vertical="center"/>
      <protection locked="0"/>
    </xf>
    <xf numFmtId="171" fontId="26" fillId="20" borderId="35" xfId="82" applyNumberFormat="1" applyFont="1" applyFill="1" applyBorder="1" applyAlignment="1" applyProtection="1">
      <alignment horizontal="center" vertical="center"/>
      <protection locked="0"/>
    </xf>
    <xf numFmtId="171" fontId="26" fillId="20" borderId="39" xfId="82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Alignment="1" applyProtection="1">
      <alignment horizontal="left" vertical="center"/>
    </xf>
    <xf numFmtId="0" fontId="2" fillId="0" borderId="0" xfId="82" applyNumberFormat="1" applyFont="1" applyAlignment="1" applyProtection="1">
      <alignment vertical="center" wrapText="1"/>
    </xf>
    <xf numFmtId="0" fontId="2" fillId="0" borderId="0" xfId="82" applyFont="1" applyFill="1" applyAlignment="1" applyProtection="1">
      <alignment vertical="center"/>
    </xf>
    <xf numFmtId="0" fontId="44" fillId="0" borderId="0" xfId="81" applyFont="1" applyAlignment="1" applyProtection="1">
      <alignment vertical="center"/>
    </xf>
    <xf numFmtId="0" fontId="26" fillId="0" borderId="12" xfId="83" applyFont="1" applyBorder="1" applyAlignment="1" applyProtection="1">
      <alignment horizontal="center" vertical="center" wrapText="1"/>
    </xf>
    <xf numFmtId="0" fontId="2" fillId="0" borderId="69" xfId="82" applyNumberFormat="1" applyFont="1" applyBorder="1" applyAlignment="1" applyProtection="1">
      <alignment vertical="center" wrapText="1"/>
    </xf>
    <xf numFmtId="0" fontId="26" fillId="0" borderId="30" xfId="82" applyFont="1" applyBorder="1" applyAlignment="1" applyProtection="1">
      <alignment horizontal="left" vertical="center"/>
    </xf>
    <xf numFmtId="0" fontId="2" fillId="0" borderId="39" xfId="82" applyNumberFormat="1" applyFont="1" applyBorder="1" applyAlignment="1" applyProtection="1">
      <alignment vertical="center" wrapText="1"/>
    </xf>
    <xf numFmtId="171" fontId="26" fillId="20" borderId="34" xfId="82" applyNumberFormat="1" applyFont="1" applyFill="1" applyBorder="1" applyAlignment="1" applyProtection="1">
      <alignment horizontal="center" vertical="center"/>
    </xf>
    <xf numFmtId="171" fontId="26" fillId="20" borderId="35" xfId="82" applyNumberFormat="1" applyFont="1" applyFill="1" applyBorder="1" applyAlignment="1" applyProtection="1">
      <alignment horizontal="center" vertical="center"/>
    </xf>
    <xf numFmtId="171" fontId="26" fillId="20" borderId="39" xfId="82" applyNumberFormat="1" applyFont="1" applyFill="1" applyBorder="1" applyAlignment="1" applyProtection="1">
      <alignment horizontal="center" vertical="center"/>
    </xf>
    <xf numFmtId="171" fontId="26" fillId="20" borderId="36" xfId="82" applyNumberFormat="1" applyFont="1" applyFill="1" applyBorder="1" applyAlignment="1" applyProtection="1">
      <alignment horizontal="center" vertical="center"/>
    </xf>
    <xf numFmtId="171" fontId="33" fillId="21" borderId="12" xfId="84" applyNumberFormat="1" applyFont="1" applyFill="1" applyBorder="1" applyAlignment="1" applyProtection="1">
      <alignment vertical="center"/>
      <protection locked="0"/>
    </xf>
    <xf numFmtId="171" fontId="33" fillId="21" borderId="47" xfId="84" applyNumberFormat="1" applyFont="1" applyFill="1" applyBorder="1" applyAlignment="1" applyProtection="1">
      <alignment vertical="center"/>
      <protection locked="0"/>
    </xf>
    <xf numFmtId="0" fontId="2" fillId="0" borderId="52" xfId="82" applyFont="1" applyBorder="1" applyAlignment="1" applyProtection="1">
      <alignment vertical="center"/>
    </xf>
    <xf numFmtId="0" fontId="26" fillId="0" borderId="55" xfId="82" applyFont="1" applyBorder="1" applyAlignment="1" applyProtection="1">
      <alignment horizontal="center" vertical="center" wrapText="1"/>
    </xf>
    <xf numFmtId="0" fontId="26" fillId="0" borderId="56" xfId="82" applyFont="1" applyBorder="1" applyAlignment="1" applyProtection="1">
      <alignment horizontal="center" vertical="center" wrapText="1"/>
    </xf>
    <xf numFmtId="0" fontId="26" fillId="0" borderId="57" xfId="82" applyFont="1" applyBorder="1" applyAlignment="1" applyProtection="1">
      <alignment horizontal="center" vertical="center" wrapText="1"/>
    </xf>
    <xf numFmtId="0" fontId="2" fillId="0" borderId="71" xfId="82" applyFont="1" applyBorder="1" applyAlignment="1" applyProtection="1">
      <alignment horizontal="left" vertical="center" wrapText="1"/>
    </xf>
    <xf numFmtId="1" fontId="2" fillId="0" borderId="46" xfId="84" applyNumberFormat="1" applyFont="1" applyFill="1" applyBorder="1" applyAlignment="1" applyProtection="1">
      <alignment horizontal="center" vertical="center"/>
    </xf>
    <xf numFmtId="1" fontId="2" fillId="0" borderId="47" xfId="84" applyNumberFormat="1" applyFont="1" applyFill="1" applyBorder="1" applyAlignment="1" applyProtection="1">
      <alignment horizontal="center" vertical="center"/>
    </xf>
    <xf numFmtId="1" fontId="33" fillId="21" borderId="47" xfId="84" applyNumberFormat="1" applyFont="1" applyFill="1" applyBorder="1" applyAlignment="1" applyProtection="1">
      <alignment horizontal="center" vertical="center"/>
      <protection locked="0"/>
    </xf>
    <xf numFmtId="1" fontId="2" fillId="0" borderId="61" xfId="84" applyNumberFormat="1" applyFont="1" applyFill="1" applyBorder="1" applyAlignment="1" applyProtection="1">
      <alignment horizontal="center" vertical="center"/>
    </xf>
    <xf numFmtId="0" fontId="26" fillId="0" borderId="79" xfId="82" applyFont="1" applyBorder="1" applyAlignment="1" applyProtection="1">
      <alignment horizontal="left" vertical="center"/>
    </xf>
    <xf numFmtId="1" fontId="26" fillId="20" borderId="36" xfId="82" applyNumberFormat="1" applyFont="1" applyFill="1" applyBorder="1" applyAlignment="1" applyProtection="1">
      <alignment horizontal="center" vertical="center" wrapText="1"/>
    </xf>
    <xf numFmtId="1" fontId="26" fillId="20" borderId="35" xfId="82" applyNumberFormat="1" applyFont="1" applyFill="1" applyBorder="1" applyAlignment="1" applyProtection="1">
      <alignment horizontal="center" vertical="center" wrapText="1"/>
    </xf>
    <xf numFmtId="1" fontId="26" fillId="20" borderId="39" xfId="82" applyNumberFormat="1" applyFont="1" applyFill="1" applyBorder="1" applyAlignment="1" applyProtection="1">
      <alignment horizontal="center" vertical="center" wrapText="1"/>
    </xf>
    <xf numFmtId="0" fontId="26" fillId="0" borderId="0" xfId="82" applyFont="1" applyBorder="1" applyAlignment="1" applyProtection="1">
      <alignment vertical="center"/>
    </xf>
    <xf numFmtId="0" fontId="2" fillId="0" borderId="29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vertical="center"/>
    </xf>
    <xf numFmtId="0" fontId="26" fillId="0" borderId="19" xfId="82" applyFont="1" applyBorder="1" applyAlignment="1" applyProtection="1">
      <alignment vertical="center"/>
    </xf>
    <xf numFmtId="0" fontId="26" fillId="0" borderId="65" xfId="82" applyFont="1" applyBorder="1" applyAlignment="1" applyProtection="1">
      <alignment vertical="center"/>
    </xf>
    <xf numFmtId="0" fontId="26" fillId="0" borderId="70" xfId="82" applyFont="1" applyFill="1" applyBorder="1" applyAlignment="1" applyProtection="1">
      <alignment horizontal="center" vertical="center" wrapText="1"/>
    </xf>
    <xf numFmtId="0" fontId="26" fillId="0" borderId="47" xfId="82" applyFont="1" applyFill="1" applyBorder="1" applyAlignment="1" applyProtection="1">
      <alignment horizontal="center" vertical="center" wrapText="1"/>
    </xf>
    <xf numFmtId="0" fontId="26" fillId="0" borderId="61" xfId="82" applyFont="1" applyFill="1" applyBorder="1" applyAlignment="1" applyProtection="1">
      <alignment horizontal="center" vertical="center" wrapText="1"/>
    </xf>
    <xf numFmtId="0" fontId="2" fillId="0" borderId="0" xfId="82" applyFont="1" applyFill="1" applyBorder="1" applyAlignment="1" applyProtection="1">
      <alignment vertical="center"/>
    </xf>
    <xf numFmtId="0" fontId="26" fillId="0" borderId="75" xfId="82" applyFont="1" applyBorder="1" applyAlignment="1" applyProtection="1">
      <alignment vertical="center"/>
    </xf>
    <xf numFmtId="1" fontId="33" fillId="21" borderId="12" xfId="84" applyNumberFormat="1" applyFont="1" applyFill="1" applyBorder="1" applyAlignment="1" applyProtection="1">
      <alignment horizontal="center" vertical="center"/>
      <protection locked="0"/>
    </xf>
    <xf numFmtId="1" fontId="33" fillId="21" borderId="61" xfId="84" applyNumberFormat="1" applyFont="1" applyFill="1" applyBorder="1" applyAlignment="1" applyProtection="1">
      <alignment horizontal="center" vertical="center"/>
      <protection locked="0"/>
    </xf>
    <xf numFmtId="0" fontId="2" fillId="0" borderId="64" xfId="82" applyFont="1" applyBorder="1" applyAlignment="1" applyProtection="1">
      <alignment horizontal="left" vertical="center" wrapText="1"/>
    </xf>
    <xf numFmtId="1" fontId="2" fillId="0" borderId="58" xfId="84" applyNumberFormat="1" applyFont="1" applyFill="1" applyBorder="1" applyAlignment="1" applyProtection="1">
      <alignment horizontal="center" vertical="center"/>
    </xf>
    <xf numFmtId="1" fontId="33" fillId="21" borderId="20" xfId="84" applyNumberFormat="1" applyFont="1" applyFill="1" applyBorder="1" applyAlignment="1" applyProtection="1">
      <alignment horizontal="center" vertical="center"/>
      <protection locked="0"/>
    </xf>
    <xf numFmtId="1" fontId="33" fillId="21" borderId="60" xfId="84" applyNumberFormat="1" applyFont="1" applyFill="1" applyBorder="1" applyAlignment="1" applyProtection="1">
      <alignment horizontal="center" vertical="center"/>
      <protection locked="0"/>
    </xf>
    <xf numFmtId="1" fontId="33" fillId="21" borderId="59" xfId="84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Border="1" applyAlignment="1" applyProtection="1">
      <alignment horizontal="left" vertical="center"/>
    </xf>
    <xf numFmtId="0" fontId="2" fillId="0" borderId="0" xfId="82" applyNumberFormat="1" applyFont="1" applyFill="1" applyBorder="1" applyAlignment="1" applyProtection="1">
      <alignment vertical="center" wrapText="1"/>
    </xf>
    <xf numFmtId="0" fontId="26" fillId="0" borderId="10" xfId="82" applyFont="1" applyBorder="1" applyAlignment="1" applyProtection="1">
      <alignment horizontal="centerContinuous" vertical="center"/>
    </xf>
    <xf numFmtId="0" fontId="26" fillId="0" borderId="11" xfId="82" applyFont="1" applyBorder="1" applyAlignment="1" applyProtection="1">
      <alignment horizontal="centerContinuous" vertical="center"/>
    </xf>
    <xf numFmtId="0" fontId="26" fillId="0" borderId="40" xfId="82" applyFont="1" applyBorder="1" applyAlignment="1" applyProtection="1">
      <alignment horizontal="centerContinuous" vertical="center"/>
    </xf>
    <xf numFmtId="0" fontId="2" fillId="0" borderId="27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horizontal="centerContinuous" vertical="center"/>
    </xf>
    <xf numFmtId="0" fontId="26" fillId="0" borderId="19" xfId="82" applyFont="1" applyBorder="1" applyAlignment="1" applyProtection="1">
      <alignment horizontal="centerContinuous" vertical="center"/>
    </xf>
    <xf numFmtId="0" fontId="26" fillId="0" borderId="65" xfId="82" applyFont="1" applyBorder="1" applyAlignment="1" applyProtection="1">
      <alignment horizontal="centerContinuous" vertical="center"/>
    </xf>
    <xf numFmtId="0" fontId="26" fillId="22" borderId="61" xfId="82" applyFont="1" applyFill="1" applyBorder="1" applyAlignment="1" applyProtection="1">
      <alignment horizontal="center" vertical="center" wrapText="1"/>
    </xf>
    <xf numFmtId="0" fontId="26" fillId="0" borderId="64" xfId="82" applyFont="1" applyBorder="1" applyAlignment="1" applyProtection="1">
      <alignment horizontal="left" vertical="center"/>
    </xf>
    <xf numFmtId="0" fontId="2" fillId="0" borderId="75" xfId="82" applyFont="1" applyBorder="1" applyAlignment="1" applyProtection="1">
      <alignment horizontal="left" vertical="center" wrapText="1"/>
    </xf>
    <xf numFmtId="0" fontId="2" fillId="22" borderId="60" xfId="84" applyFont="1" applyFill="1" applyBorder="1" applyAlignment="1" applyProtection="1">
      <alignment horizontal="center" vertical="center"/>
    </xf>
    <xf numFmtId="1" fontId="33" fillId="21" borderId="58" xfId="84" applyNumberFormat="1" applyFont="1" applyFill="1" applyBorder="1" applyAlignment="1" applyProtection="1">
      <alignment horizontal="center" vertical="center"/>
      <protection locked="0"/>
    </xf>
    <xf numFmtId="0" fontId="33" fillId="22" borderId="60" xfId="84" applyFont="1" applyFill="1" applyBorder="1" applyAlignment="1" applyProtection="1">
      <alignment horizontal="center" vertical="center"/>
    </xf>
    <xf numFmtId="0" fontId="2" fillId="0" borderId="38" xfId="82" applyFont="1" applyBorder="1" applyAlignment="1" applyProtection="1">
      <alignment horizontal="left" vertical="center" wrapText="1"/>
    </xf>
    <xf numFmtId="0" fontId="2" fillId="22" borderId="47" xfId="84" applyFont="1" applyFill="1" applyBorder="1" applyAlignment="1" applyProtection="1">
      <alignment horizontal="center" vertical="center"/>
    </xf>
    <xf numFmtId="1" fontId="33" fillId="21" borderId="46" xfId="84" applyNumberFormat="1" applyFont="1" applyFill="1" applyBorder="1" applyAlignment="1" applyProtection="1">
      <alignment horizontal="center" vertical="center"/>
      <protection locked="0"/>
    </xf>
    <xf numFmtId="0" fontId="33" fillId="22" borderId="47" xfId="84" applyFont="1" applyFill="1" applyBorder="1" applyAlignment="1" applyProtection="1">
      <alignment horizontal="center" vertical="center"/>
    </xf>
    <xf numFmtId="0" fontId="26" fillId="0" borderId="76" xfId="82" applyFont="1" applyBorder="1" applyAlignment="1" applyProtection="1">
      <alignment horizontal="left" vertical="center"/>
    </xf>
    <xf numFmtId="1" fontId="26" fillId="20" borderId="34" xfId="82" applyNumberFormat="1" applyFont="1" applyFill="1" applyBorder="1" applyAlignment="1" applyProtection="1">
      <alignment horizontal="center" vertical="center" wrapText="1"/>
    </xf>
    <xf numFmtId="0" fontId="26" fillId="22" borderId="39" xfId="82" applyNumberFormat="1" applyFont="1" applyFill="1" applyBorder="1" applyAlignment="1" applyProtection="1">
      <alignment horizontal="center" vertical="center" wrapText="1"/>
    </xf>
    <xf numFmtId="0" fontId="26" fillId="0" borderId="22" xfId="82" applyFont="1" applyBorder="1" applyAlignment="1" applyProtection="1">
      <alignment horizontal="left" vertical="center"/>
    </xf>
    <xf numFmtId="0" fontId="2" fillId="0" borderId="22" xfId="82" applyNumberFormat="1" applyFont="1" applyFill="1" applyBorder="1" applyAlignment="1" applyProtection="1">
      <alignment vertical="center" wrapText="1"/>
    </xf>
    <xf numFmtId="0" fontId="26" fillId="0" borderId="75" xfId="82" applyFont="1" applyBorder="1" applyAlignment="1" applyProtection="1">
      <alignment horizontal="left" vertical="center"/>
    </xf>
    <xf numFmtId="171" fontId="2" fillId="0" borderId="58" xfId="84" applyNumberFormat="1" applyFont="1" applyFill="1" applyBorder="1" applyAlignment="1" applyProtection="1">
      <alignment horizontal="center" vertical="center"/>
    </xf>
    <xf numFmtId="171" fontId="33" fillId="21" borderId="20" xfId="84" applyNumberFormat="1" applyFont="1" applyFill="1" applyBorder="1" applyAlignment="1" applyProtection="1">
      <alignment horizontal="center" vertical="center"/>
      <protection locked="0"/>
    </xf>
    <xf numFmtId="0" fontId="33" fillId="22" borderId="61" xfId="84" applyFont="1" applyFill="1" applyBorder="1" applyAlignment="1" applyProtection="1">
      <alignment horizontal="center" vertical="center"/>
    </xf>
    <xf numFmtId="171" fontId="33" fillId="21" borderId="60" xfId="84" applyNumberFormat="1" applyFont="1" applyFill="1" applyBorder="1" applyAlignment="1" applyProtection="1">
      <alignment horizontal="center" vertical="center"/>
      <protection locked="0"/>
    </xf>
    <xf numFmtId="0" fontId="33" fillId="22" borderId="59" xfId="84" applyFont="1" applyFill="1" applyBorder="1" applyAlignment="1" applyProtection="1">
      <alignment horizontal="center" vertical="center"/>
    </xf>
    <xf numFmtId="171" fontId="26" fillId="20" borderId="36" xfId="82" applyNumberFormat="1" applyFont="1" applyFill="1" applyBorder="1" applyAlignment="1" applyProtection="1">
      <alignment horizontal="center" vertical="center" wrapText="1"/>
    </xf>
    <xf numFmtId="171" fontId="26" fillId="20" borderId="35" xfId="82" applyNumberFormat="1" applyFont="1" applyFill="1" applyBorder="1" applyAlignment="1" applyProtection="1">
      <alignment horizontal="center" vertical="center" wrapText="1"/>
    </xf>
    <xf numFmtId="0" fontId="2" fillId="0" borderId="22" xfId="82" applyFont="1" applyBorder="1" applyAlignment="1" applyProtection="1">
      <alignment vertical="center"/>
    </xf>
    <xf numFmtId="0" fontId="26" fillId="22" borderId="69" xfId="82" applyFont="1" applyFill="1" applyBorder="1" applyAlignment="1" applyProtection="1">
      <alignment horizontal="center" vertical="center" wrapText="1"/>
    </xf>
    <xf numFmtId="171" fontId="2" fillId="0" borderId="60" xfId="84" applyNumberFormat="1" applyFont="1" applyFill="1" applyBorder="1" applyAlignment="1" applyProtection="1">
      <alignment horizontal="center" vertical="center"/>
    </xf>
    <xf numFmtId="0" fontId="33" fillId="22" borderId="57" xfId="84" applyFont="1" applyFill="1" applyBorder="1" applyAlignment="1" applyProtection="1">
      <alignment horizontal="center" vertical="center"/>
    </xf>
    <xf numFmtId="171" fontId="2" fillId="0" borderId="46" xfId="84" applyNumberFormat="1" applyFont="1" applyFill="1" applyBorder="1" applyAlignment="1" applyProtection="1">
      <alignment horizontal="center" vertical="center"/>
    </xf>
    <xf numFmtId="171" fontId="2" fillId="0" borderId="47" xfId="84" applyNumberFormat="1" applyFont="1" applyFill="1" applyBorder="1" applyAlignment="1" applyProtection="1">
      <alignment horizontal="center" vertical="center"/>
    </xf>
    <xf numFmtId="0" fontId="2" fillId="0" borderId="79" xfId="82" applyFont="1" applyBorder="1" applyAlignment="1" applyProtection="1">
      <alignment horizontal="left" vertical="center" wrapText="1"/>
    </xf>
    <xf numFmtId="171" fontId="2" fillId="0" borderId="36" xfId="84" applyNumberFormat="1" applyFont="1" applyFill="1" applyBorder="1" applyAlignment="1" applyProtection="1">
      <alignment horizontal="center" vertical="center"/>
    </xf>
    <xf numFmtId="171" fontId="2" fillId="0" borderId="35" xfId="84" applyNumberFormat="1" applyFont="1" applyFill="1" applyBorder="1" applyAlignment="1" applyProtection="1">
      <alignment horizontal="center" vertical="center"/>
    </xf>
    <xf numFmtId="0" fontId="33" fillId="22" borderId="39" xfId="84" applyFont="1" applyFill="1" applyBorder="1" applyAlignment="1" applyProtection="1">
      <alignment horizontal="center" vertical="center"/>
    </xf>
    <xf numFmtId="0" fontId="2" fillId="0" borderId="85" xfId="82" applyFont="1" applyBorder="1" applyAlignment="1" applyProtection="1">
      <alignment vertical="center"/>
    </xf>
    <xf numFmtId="1" fontId="2" fillId="0" borderId="60" xfId="84" applyNumberFormat="1" applyFont="1" applyFill="1" applyBorder="1" applyAlignment="1" applyProtection="1">
      <alignment horizontal="center" vertical="center"/>
    </xf>
    <xf numFmtId="1" fontId="2" fillId="0" borderId="59" xfId="84" applyNumberFormat="1" applyFont="1" applyFill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vertical="center"/>
    </xf>
    <xf numFmtId="0" fontId="26" fillId="0" borderId="47" xfId="82" applyFont="1" applyFill="1" applyBorder="1" applyAlignment="1" applyProtection="1">
      <alignment vertical="center" wrapText="1"/>
    </xf>
    <xf numFmtId="0" fontId="26" fillId="0" borderId="61" xfId="82" applyFont="1" applyFill="1" applyBorder="1" applyAlignment="1" applyProtection="1">
      <alignment vertical="center" wrapText="1"/>
    </xf>
    <xf numFmtId="0" fontId="2" fillId="0" borderId="66" xfId="82" applyFont="1" applyBorder="1" applyAlignment="1" applyProtection="1">
      <alignment vertical="center"/>
    </xf>
    <xf numFmtId="0" fontId="26" fillId="22" borderId="37" xfId="82" applyNumberFormat="1" applyFont="1" applyFill="1" applyBorder="1" applyAlignment="1" applyProtection="1">
      <alignment horizontal="center" vertical="center" wrapText="1"/>
    </xf>
    <xf numFmtId="0" fontId="2" fillId="22" borderId="35" xfId="84" applyFont="1" applyFill="1" applyBorder="1" applyAlignment="1" applyProtection="1">
      <alignment horizontal="center" vertical="center"/>
    </xf>
    <xf numFmtId="1" fontId="26" fillId="0" borderId="68" xfId="68" applyNumberFormat="1" applyFont="1" applyBorder="1" applyAlignment="1" applyProtection="1">
      <alignment horizontal="center" vertical="center" wrapText="1"/>
    </xf>
    <xf numFmtId="1" fontId="26" fillId="0" borderId="69" xfId="68" applyNumberFormat="1" applyFont="1" applyBorder="1" applyAlignment="1" applyProtection="1">
      <alignment horizontal="center" vertical="center" wrapText="1"/>
    </xf>
    <xf numFmtId="1" fontId="26" fillId="0" borderId="48" xfId="68" applyNumberFormat="1" applyFont="1" applyBorder="1" applyAlignment="1" applyProtection="1">
      <alignment horizontal="center" vertical="center"/>
    </xf>
    <xf numFmtId="1" fontId="26" fillId="0" borderId="63" xfId="68" applyNumberFormat="1" applyFont="1" applyBorder="1" applyAlignment="1" applyProtection="1">
      <alignment horizontal="center" vertical="center"/>
    </xf>
    <xf numFmtId="1" fontId="2" fillId="0" borderId="27" xfId="68" applyNumberFormat="1" applyFont="1" applyFill="1" applyBorder="1" applyAlignment="1" applyProtection="1">
      <alignment vertical="center"/>
    </xf>
    <xf numFmtId="0" fontId="26" fillId="0" borderId="0" xfId="68" applyFont="1" applyBorder="1" applyAlignment="1" applyProtection="1">
      <alignment vertical="center"/>
    </xf>
    <xf numFmtId="0" fontId="2" fillId="0" borderId="0" xfId="68" applyFont="1" applyBorder="1" applyAlignment="1" applyProtection="1">
      <alignment vertical="center"/>
    </xf>
    <xf numFmtId="1" fontId="2" fillId="0" borderId="51" xfId="78" applyNumberFormat="1" applyFont="1" applyFill="1" applyBorder="1" applyAlignment="1" applyProtection="1">
      <alignment horizontal="center" vertical="center"/>
    </xf>
    <xf numFmtId="0" fontId="2" fillId="0" borderId="41" xfId="0" applyFont="1" applyBorder="1" applyAlignment="1" applyProtection="1"/>
    <xf numFmtId="0" fontId="2" fillId="0" borderId="51" xfId="0" applyFont="1" applyBorder="1" applyAlignment="1" applyProtection="1"/>
    <xf numFmtId="1" fontId="2" fillId="0" borderId="62" xfId="78" applyNumberFormat="1" applyFont="1" applyBorder="1" applyAlignment="1" applyProtection="1">
      <alignment vertical="center"/>
    </xf>
    <xf numFmtId="0" fontId="2" fillId="0" borderId="44" xfId="0" applyFont="1" applyBorder="1" applyAlignment="1" applyProtection="1"/>
    <xf numFmtId="0" fontId="2" fillId="0" borderId="62" xfId="0" applyFont="1" applyBorder="1" applyAlignment="1" applyProtection="1"/>
    <xf numFmtId="0" fontId="2" fillId="0" borderId="27" xfId="68" applyFont="1" applyBorder="1" applyAlignment="1" applyProtection="1">
      <alignment vertical="center"/>
    </xf>
    <xf numFmtId="0" fontId="2" fillId="0" borderId="62" xfId="78" applyFont="1" applyBorder="1" applyAlignment="1" applyProtection="1">
      <alignment horizontal="center" vertical="center"/>
    </xf>
    <xf numFmtId="2" fontId="33" fillId="21" borderId="44" xfId="0" applyNumberFormat="1" applyFont="1" applyFill="1" applyBorder="1" applyAlignment="1" applyProtection="1">
      <alignment horizontal="center" vertical="center"/>
      <protection locked="0"/>
    </xf>
    <xf numFmtId="2" fontId="33" fillId="21" borderId="62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2" fontId="2" fillId="0" borderId="62" xfId="0" applyNumberFormat="1" applyFont="1" applyBorder="1" applyAlignment="1" applyProtection="1">
      <alignment horizontal="center" vertical="center"/>
    </xf>
    <xf numFmtId="2" fontId="2" fillId="22" borderId="46" xfId="85" applyNumberFormat="1" applyFont="1" applyFill="1" applyBorder="1" applyAlignment="1" applyProtection="1">
      <alignment horizontal="center" vertical="center"/>
    </xf>
    <xf numFmtId="2" fontId="2" fillId="22" borderId="61" xfId="85" applyNumberFormat="1" applyFont="1" applyFill="1" applyBorder="1" applyAlignment="1" applyProtection="1">
      <alignment horizontal="center" vertical="center"/>
    </xf>
    <xf numFmtId="1" fontId="26" fillId="0" borderId="30" xfId="68" applyNumberFormat="1" applyFont="1" applyBorder="1" applyAlignment="1" applyProtection="1">
      <alignment vertical="center"/>
    </xf>
    <xf numFmtId="1" fontId="26" fillId="0" borderId="31" xfId="68" applyNumberFormat="1" applyFont="1" applyBorder="1" applyAlignment="1" applyProtection="1">
      <alignment vertical="center"/>
    </xf>
    <xf numFmtId="172" fontId="33" fillId="0" borderId="63" xfId="78" applyNumberFormat="1" applyFont="1" applyFill="1" applyBorder="1" applyAlignment="1" applyProtection="1">
      <alignment vertical="center"/>
    </xf>
    <xf numFmtId="2" fontId="2" fillId="0" borderId="48" xfId="0" applyNumberFormat="1" applyFont="1" applyBorder="1" applyAlignment="1" applyProtection="1">
      <alignment horizontal="center" vertical="center"/>
    </xf>
    <xf numFmtId="2" fontId="2" fillId="0" borderId="63" xfId="0" applyNumberFormat="1" applyFont="1" applyBorder="1" applyAlignment="1" applyProtection="1">
      <alignment horizontal="center" vertical="center"/>
    </xf>
    <xf numFmtId="0" fontId="2" fillId="0" borderId="21" xfId="68" applyFont="1" applyBorder="1" applyAlignment="1" applyProtection="1">
      <alignment vertical="center"/>
    </xf>
    <xf numFmtId="0" fontId="26" fillId="0" borderId="22" xfId="68" applyFont="1" applyBorder="1" applyAlignment="1" applyProtection="1">
      <alignment vertical="center"/>
    </xf>
    <xf numFmtId="0" fontId="2" fillId="0" borderId="0" xfId="70" applyFont="1" applyAlignment="1" applyProtection="1">
      <alignment vertical="center"/>
    </xf>
    <xf numFmtId="0" fontId="2" fillId="0" borderId="62" xfId="78" applyFont="1" applyFill="1" applyBorder="1" applyAlignment="1" applyProtection="1">
      <alignment horizontal="center" vertical="center"/>
    </xf>
    <xf numFmtId="2" fontId="2" fillId="0" borderId="36" xfId="0" applyNumberFormat="1" applyFont="1" applyBorder="1" applyAlignment="1" applyProtection="1">
      <alignment horizontal="center" vertical="center"/>
    </xf>
    <xf numFmtId="2" fontId="2" fillId="0" borderId="39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/>
    <xf numFmtId="0" fontId="2" fillId="0" borderId="39" xfId="0" applyFont="1" applyBorder="1" applyAlignment="1" applyProtection="1"/>
    <xf numFmtId="1" fontId="2" fillId="0" borderId="21" xfId="68" applyNumberFormat="1" applyFont="1" applyFill="1" applyBorder="1" applyAlignment="1" applyProtection="1">
      <alignment vertical="center"/>
    </xf>
    <xf numFmtId="0" fontId="2" fillId="0" borderId="22" xfId="68" applyFont="1" applyBorder="1" applyAlignment="1" applyProtection="1">
      <alignment vertical="center"/>
    </xf>
    <xf numFmtId="0" fontId="2" fillId="0" borderId="51" xfId="78" applyFont="1" applyBorder="1" applyAlignment="1" applyProtection="1">
      <alignment horizontal="center" vertical="center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51" xfId="0" applyNumberFormat="1" applyFont="1" applyBorder="1" applyAlignment="1" applyProtection="1">
      <alignment horizontal="center" vertical="center"/>
    </xf>
    <xf numFmtId="2" fontId="33" fillId="0" borderId="44" xfId="0" applyNumberFormat="1" applyFont="1" applyFill="1" applyBorder="1" applyAlignment="1" applyProtection="1">
      <alignment horizontal="center" vertical="center"/>
    </xf>
    <xf numFmtId="2" fontId="33" fillId="0" borderId="62" xfId="0" applyNumberFormat="1" applyFont="1" applyFill="1" applyBorder="1" applyAlignment="1" applyProtection="1">
      <alignment horizontal="center" vertical="center"/>
    </xf>
    <xf numFmtId="0" fontId="2" fillId="0" borderId="0" xfId="68" applyFont="1" applyBorder="1" applyAlignment="1" applyProtection="1">
      <alignment horizontal="left" vertical="center"/>
    </xf>
    <xf numFmtId="0" fontId="2" fillId="0" borderId="30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vertical="center"/>
    </xf>
    <xf numFmtId="0" fontId="26" fillId="0" borderId="31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horizontal="left" vertical="center"/>
    </xf>
    <xf numFmtId="0" fontId="2" fillId="0" borderId="63" xfId="78" applyFont="1" applyBorder="1" applyAlignment="1" applyProtection="1">
      <alignment horizontal="center" vertical="center"/>
    </xf>
    <xf numFmtId="2" fontId="33" fillId="21" borderId="48" xfId="0" applyNumberFormat="1" applyFont="1" applyFill="1" applyBorder="1" applyAlignment="1" applyProtection="1">
      <alignment horizontal="center" vertical="center"/>
      <protection locked="0"/>
    </xf>
    <xf numFmtId="2" fontId="33" fillId="21" borderId="63" xfId="0" applyNumberFormat="1" applyFont="1" applyFill="1" applyBorder="1" applyAlignment="1" applyProtection="1">
      <alignment horizontal="center" vertical="center"/>
      <protection locked="0"/>
    </xf>
    <xf numFmtId="0" fontId="29" fillId="0" borderId="14" xfId="86" applyFont="1" applyBorder="1" applyAlignment="1">
      <alignment vertical="center"/>
    </xf>
    <xf numFmtId="0" fontId="30" fillId="0" borderId="14" xfId="86" applyFont="1" applyBorder="1" applyAlignment="1">
      <alignment vertical="center"/>
    </xf>
    <xf numFmtId="0" fontId="30" fillId="0" borderId="15" xfId="86" applyFont="1" applyBorder="1" applyAlignment="1">
      <alignment vertical="center"/>
    </xf>
    <xf numFmtId="0" fontId="29" fillId="0" borderId="0" xfId="86" applyFont="1" applyBorder="1" applyAlignment="1">
      <alignment vertical="center"/>
    </xf>
    <xf numFmtId="0" fontId="30" fillId="0" borderId="0" xfId="86" applyFont="1" applyBorder="1" applyAlignment="1">
      <alignment vertical="center"/>
    </xf>
    <xf numFmtId="0" fontId="30" fillId="0" borderId="17" xfId="86" applyFont="1" applyBorder="1" applyAlignment="1">
      <alignment vertical="center"/>
    </xf>
    <xf numFmtId="0" fontId="29" fillId="0" borderId="17" xfId="86" applyFont="1" applyBorder="1" applyAlignment="1">
      <alignment horizontal="center" vertical="center" textRotation="90" wrapText="1"/>
    </xf>
    <xf numFmtId="0" fontId="52" fillId="0" borderId="0" xfId="0" applyFont="1" applyAlignment="1">
      <alignment vertical="center"/>
    </xf>
    <xf numFmtId="0" fontId="53" fillId="0" borderId="47" xfId="86" applyFont="1" applyBorder="1" applyAlignment="1">
      <alignment vertical="center" wrapText="1"/>
    </xf>
    <xf numFmtId="171" fontId="53" fillId="0" borderId="47" xfId="86" applyNumberFormat="1" applyFont="1" applyBorder="1" applyAlignment="1" applyProtection="1">
      <alignment horizontal="center" textRotation="90" wrapText="1"/>
    </xf>
    <xf numFmtId="171" fontId="53" fillId="0" borderId="60" xfId="86" applyNumberFormat="1" applyFont="1" applyBorder="1" applyAlignment="1" applyProtection="1">
      <alignment horizontal="center" textRotation="90" wrapText="1"/>
    </xf>
    <xf numFmtId="0" fontId="54" fillId="0" borderId="17" xfId="86" applyFont="1" applyBorder="1" applyAlignment="1">
      <alignment horizontal="center" vertical="center" textRotation="90" wrapText="1"/>
    </xf>
    <xf numFmtId="0" fontId="30" fillId="0" borderId="47" xfId="86" applyFont="1" applyBorder="1" applyAlignment="1">
      <alignment vertical="center"/>
    </xf>
    <xf numFmtId="0" fontId="30" fillId="0" borderId="47" xfId="86" applyFont="1" applyBorder="1" applyAlignment="1">
      <alignment horizontal="center" vertical="center"/>
    </xf>
    <xf numFmtId="0" fontId="30" fillId="0" borderId="10" xfId="86" applyFont="1" applyBorder="1" applyAlignment="1">
      <alignment horizontal="center" vertical="center"/>
    </xf>
    <xf numFmtId="0" fontId="30" fillId="0" borderId="38" xfId="86" applyFont="1" applyBorder="1" applyAlignment="1">
      <alignment horizontal="center" vertical="center"/>
    </xf>
    <xf numFmtId="0" fontId="30" fillId="0" borderId="70" xfId="86" applyFont="1" applyBorder="1" applyAlignment="1">
      <alignment vertical="center"/>
    </xf>
    <xf numFmtId="0" fontId="30" fillId="0" borderId="70" xfId="86" applyFont="1" applyBorder="1" applyAlignment="1">
      <alignment horizontal="center"/>
    </xf>
    <xf numFmtId="0" fontId="30" fillId="0" borderId="45" xfId="86" applyFont="1" applyBorder="1" applyAlignment="1">
      <alignment vertical="center"/>
    </xf>
    <xf numFmtId="173" fontId="30" fillId="0" borderId="45" xfId="86" applyNumberFormat="1" applyFont="1" applyBorder="1"/>
    <xf numFmtId="37" fontId="30" fillId="0" borderId="17" xfId="86" applyNumberFormat="1" applyFont="1" applyBorder="1" applyAlignment="1">
      <alignment vertical="center"/>
    </xf>
    <xf numFmtId="174" fontId="30" fillId="23" borderId="60" xfId="86" applyNumberFormat="1" applyFont="1" applyFill="1" applyBorder="1"/>
    <xf numFmtId="174" fontId="30" fillId="0" borderId="60" xfId="86" applyNumberFormat="1" applyFont="1" applyBorder="1"/>
    <xf numFmtId="173" fontId="30" fillId="0" borderId="17" xfId="86" applyNumberFormat="1" applyFont="1" applyBorder="1" applyAlignment="1">
      <alignment vertical="center"/>
    </xf>
    <xf numFmtId="0" fontId="30" fillId="0" borderId="60" xfId="86" applyFont="1" applyBorder="1" applyAlignment="1">
      <alignment vertical="center"/>
    </xf>
    <xf numFmtId="173" fontId="30" fillId="0" borderId="60" xfId="86" applyNumberFormat="1" applyFont="1" applyBorder="1"/>
    <xf numFmtId="173" fontId="30" fillId="0" borderId="0" xfId="86" applyNumberFormat="1" applyFont="1" applyBorder="1" applyAlignment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Border="1" applyAlignment="1">
      <alignment horizontal="right" vertical="center"/>
    </xf>
    <xf numFmtId="37" fontId="29" fillId="0" borderId="0" xfId="0" applyNumberFormat="1" applyFont="1" applyFill="1" applyBorder="1" applyAlignment="1">
      <alignment vertical="center"/>
    </xf>
    <xf numFmtId="0" fontId="55" fillId="0" borderId="0" xfId="0" applyFont="1" applyBorder="1" applyAlignment="1" applyProtection="1">
      <alignment horizontal="center" vertical="center"/>
    </xf>
    <xf numFmtId="0" fontId="30" fillId="0" borderId="19" xfId="86" applyFont="1" applyBorder="1" applyAlignment="1">
      <alignment vertical="center"/>
    </xf>
    <xf numFmtId="173" fontId="30" fillId="0" borderId="19" xfId="86" applyNumberFormat="1" applyFont="1" applyBorder="1" applyAlignment="1">
      <alignment vertical="center"/>
    </xf>
    <xf numFmtId="37" fontId="30" fillId="0" borderId="20" xfId="86" applyNumberFormat="1" applyFont="1" applyBorder="1" applyAlignment="1">
      <alignment vertical="center"/>
    </xf>
    <xf numFmtId="0" fontId="5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77" xfId="0" applyFont="1" applyBorder="1" applyAlignment="1">
      <alignment vertical="center"/>
    </xf>
    <xf numFmtId="0" fontId="48" fillId="0" borderId="78" xfId="0" applyFont="1" applyBorder="1" applyAlignment="1" applyProtection="1">
      <alignment horizontal="center" vertical="center" wrapText="1"/>
    </xf>
    <xf numFmtId="0" fontId="28" fillId="0" borderId="26" xfId="0" applyFont="1" applyBorder="1" applyAlignment="1">
      <alignment vertical="center"/>
    </xf>
    <xf numFmtId="0" fontId="48" fillId="0" borderId="78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78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56" fillId="0" borderId="0" xfId="0" applyFont="1" applyBorder="1" applyAlignment="1">
      <alignment horizontal="left" vertical="center"/>
    </xf>
    <xf numFmtId="0" fontId="48" fillId="0" borderId="26" xfId="0" applyFont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4" xfId="0" applyFont="1" applyBorder="1" applyAlignment="1" applyProtection="1">
      <alignment horizontal="center" vertical="center"/>
    </xf>
    <xf numFmtId="0" fontId="48" fillId="0" borderId="55" xfId="0" applyFont="1" applyBorder="1" applyAlignment="1" applyProtection="1">
      <alignment horizontal="center" vertical="center"/>
    </xf>
    <xf numFmtId="0" fontId="48" fillId="0" borderId="87" xfId="0" applyFont="1" applyBorder="1" applyAlignment="1" applyProtection="1">
      <alignment horizontal="center" vertical="center"/>
    </xf>
    <xf numFmtId="0" fontId="48" fillId="0" borderId="85" xfId="0" applyFont="1" applyBorder="1" applyAlignment="1" applyProtection="1">
      <alignment horizontal="center" vertical="center"/>
    </xf>
    <xf numFmtId="0" fontId="48" fillId="0" borderId="24" xfId="0" applyFont="1" applyBorder="1" applyAlignment="1" applyProtection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50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78" xfId="0" applyFont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 vertical="center" wrapText="1"/>
    </xf>
    <xf numFmtId="175" fontId="28" fillId="0" borderId="0" xfId="0" applyNumberFormat="1" applyFont="1" applyAlignment="1">
      <alignment horizontal="right" vertical="center"/>
    </xf>
    <xf numFmtId="175" fontId="49" fillId="21" borderId="85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Border="1" applyAlignment="1"/>
    <xf numFmtId="175" fontId="49" fillId="21" borderId="38" xfId="0" applyNumberFormat="1" applyFont="1" applyFill="1" applyBorder="1" applyAlignment="1" applyProtection="1">
      <alignment horizontal="right"/>
      <protection locked="0"/>
    </xf>
    <xf numFmtId="175" fontId="49" fillId="21" borderId="58" xfId="0" applyNumberFormat="1" applyFont="1" applyFill="1" applyBorder="1" applyAlignment="1" applyProtection="1">
      <alignment horizontal="right"/>
      <protection locked="0"/>
    </xf>
    <xf numFmtId="175" fontId="28" fillId="28" borderId="75" xfId="0" applyNumberFormat="1" applyFont="1" applyFill="1" applyBorder="1" applyAlignment="1">
      <alignment horizontal="right"/>
    </xf>
    <xf numFmtId="175" fontId="49" fillId="21" borderId="76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/>
    </xf>
    <xf numFmtId="175" fontId="49" fillId="21" borderId="75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 wrapText="1"/>
    </xf>
    <xf numFmtId="175" fontId="28" fillId="28" borderId="38" xfId="0" applyNumberFormat="1" applyFont="1" applyFill="1" applyBorder="1" applyAlignment="1">
      <alignment horizontal="right"/>
    </xf>
    <xf numFmtId="175" fontId="49" fillId="21" borderId="36" xfId="0" applyNumberFormat="1" applyFont="1" applyFill="1" applyBorder="1" applyAlignment="1" applyProtection="1">
      <alignment horizontal="right"/>
      <protection locked="0"/>
    </xf>
    <xf numFmtId="175" fontId="49" fillId="21" borderId="37" xfId="0" applyNumberFormat="1" applyFont="1" applyFill="1" applyBorder="1" applyAlignment="1" applyProtection="1">
      <alignment horizontal="right"/>
      <protection locked="0"/>
    </xf>
    <xf numFmtId="175" fontId="28" fillId="28" borderId="73" xfId="0" applyNumberFormat="1" applyFont="1" applyFill="1" applyBorder="1" applyAlignment="1">
      <alignment horizontal="right"/>
    </xf>
    <xf numFmtId="175" fontId="49" fillId="21" borderId="73" xfId="0" applyNumberFormat="1" applyFont="1" applyFill="1" applyBorder="1" applyAlignment="1" applyProtection="1">
      <alignment horizontal="right"/>
      <protection locked="0"/>
    </xf>
    <xf numFmtId="175" fontId="28" fillId="28" borderId="85" xfId="0" applyNumberFormat="1" applyFont="1" applyFill="1" applyBorder="1" applyAlignment="1">
      <alignment horizontal="right"/>
    </xf>
    <xf numFmtId="0" fontId="28" fillId="0" borderId="47" xfId="0" applyFont="1" applyFill="1" applyBorder="1" applyAlignment="1" applyProtection="1">
      <alignment horizontal="left" vertical="center"/>
    </xf>
    <xf numFmtId="0" fontId="28" fillId="0" borderId="61" xfId="0" applyFont="1" applyBorder="1" applyAlignment="1" applyProtection="1">
      <alignment horizontal="left" vertical="center" wrapText="1"/>
    </xf>
    <xf numFmtId="175" fontId="28" fillId="28" borderId="76" xfId="0" applyNumberFormat="1" applyFont="1" applyFill="1" applyBorder="1" applyAlignment="1">
      <alignment horizontal="right"/>
    </xf>
    <xf numFmtId="175" fontId="49" fillId="21" borderId="55" xfId="0" applyNumberFormat="1" applyFont="1" applyFill="1" applyBorder="1" applyAlignment="1" applyProtection="1">
      <alignment horizontal="right" vertical="center"/>
      <protection locked="0"/>
    </xf>
    <xf numFmtId="175" fontId="28" fillId="28" borderId="85" xfId="0" applyNumberFormat="1" applyFont="1" applyFill="1" applyBorder="1" applyAlignment="1">
      <alignment horizontal="right" vertical="center"/>
    </xf>
    <xf numFmtId="175" fontId="49" fillId="21" borderId="85" xfId="0" applyNumberFormat="1" applyFont="1" applyFill="1" applyBorder="1" applyAlignment="1" applyProtection="1">
      <alignment horizontal="right" vertical="center"/>
      <protection locked="0"/>
    </xf>
    <xf numFmtId="0" fontId="28" fillId="0" borderId="61" xfId="0" applyFont="1" applyFill="1" applyBorder="1" applyAlignment="1" applyProtection="1">
      <alignment horizontal="left" vertical="center"/>
    </xf>
    <xf numFmtId="175" fontId="49" fillId="21" borderId="46" xfId="0" applyNumberFormat="1" applyFont="1" applyFill="1" applyBorder="1" applyAlignment="1" applyProtection="1">
      <alignment horizontal="right" vertical="center"/>
      <protection locked="0"/>
    </xf>
    <xf numFmtId="175" fontId="28" fillId="28" borderId="38" xfId="0" applyNumberFormat="1" applyFont="1" applyFill="1" applyBorder="1" applyAlignment="1">
      <alignment horizontal="right" vertical="center"/>
    </xf>
    <xf numFmtId="175" fontId="49" fillId="21" borderId="38" xfId="0" applyNumberFormat="1" applyFont="1" applyFill="1" applyBorder="1" applyAlignment="1" applyProtection="1">
      <alignment horizontal="right" vertical="center"/>
      <protection locked="0"/>
    </xf>
    <xf numFmtId="175" fontId="49" fillId="21" borderId="36" xfId="0" applyNumberFormat="1" applyFont="1" applyFill="1" applyBorder="1" applyAlignment="1" applyProtection="1">
      <alignment horizontal="right" vertical="center"/>
      <protection locked="0"/>
    </xf>
    <xf numFmtId="175" fontId="28" fillId="28" borderId="76" xfId="0" applyNumberFormat="1" applyFont="1" applyFill="1" applyBorder="1" applyAlignment="1">
      <alignment horizontal="right" vertical="center"/>
    </xf>
    <xf numFmtId="175" fontId="49" fillId="21" borderId="76" xfId="0" applyNumberFormat="1" applyFont="1" applyFill="1" applyBorder="1" applyAlignment="1" applyProtection="1">
      <alignment horizontal="right" vertical="center"/>
      <protection locked="0"/>
    </xf>
    <xf numFmtId="175" fontId="28" fillId="28" borderId="78" xfId="0" applyNumberFormat="1" applyFont="1" applyFill="1" applyBorder="1" applyAlignment="1">
      <alignment horizontal="right"/>
    </xf>
    <xf numFmtId="175" fontId="49" fillId="21" borderId="78" xfId="0" applyNumberFormat="1" applyFont="1" applyFill="1" applyBorder="1" applyAlignment="1" applyProtection="1">
      <alignment horizontal="right"/>
      <protection locked="0"/>
    </xf>
    <xf numFmtId="175" fontId="49" fillId="21" borderId="84" xfId="0" applyNumberFormat="1" applyFont="1" applyFill="1" applyBorder="1" applyAlignment="1" applyProtection="1">
      <alignment horizontal="right" vertical="center"/>
      <protection locked="0"/>
    </xf>
    <xf numFmtId="175" fontId="28" fillId="28" borderId="78" xfId="0" applyNumberFormat="1" applyFont="1" applyFill="1" applyBorder="1" applyAlignment="1">
      <alignment horizontal="right" vertical="center"/>
    </xf>
    <xf numFmtId="175" fontId="49" fillId="21" borderId="78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Border="1" applyAlignment="1" applyProtection="1">
      <alignment horizontal="left" vertical="center" wrapText="1"/>
    </xf>
    <xf numFmtId="175" fontId="49" fillId="22" borderId="30" xfId="0" applyNumberFormat="1" applyFont="1" applyFill="1" applyBorder="1" applyAlignment="1">
      <alignment horizontal="right"/>
    </xf>
    <xf numFmtId="175" fontId="49" fillId="22" borderId="31" xfId="0" applyNumberFormat="1" applyFont="1" applyFill="1" applyBorder="1" applyAlignment="1">
      <alignment horizontal="right"/>
    </xf>
    <xf numFmtId="175" fontId="28" fillId="22" borderId="33" xfId="0" applyNumberFormat="1" applyFont="1" applyFill="1" applyBorder="1" applyAlignment="1">
      <alignment horizontal="right"/>
    </xf>
    <xf numFmtId="175" fontId="28" fillId="0" borderId="0" xfId="0" applyNumberFormat="1" applyFont="1" applyFill="1" applyAlignment="1">
      <alignment horizontal="right" vertical="center"/>
    </xf>
    <xf numFmtId="175" fontId="49" fillId="21" borderId="33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Alignment="1" applyProtection="1">
      <alignment vertical="center"/>
    </xf>
    <xf numFmtId="175" fontId="49" fillId="22" borderId="77" xfId="0" applyNumberFormat="1" applyFont="1" applyFill="1" applyBorder="1" applyAlignment="1">
      <alignment horizontal="right" vertical="center"/>
    </xf>
    <xf numFmtId="175" fontId="49" fillId="22" borderId="25" xfId="0" applyNumberFormat="1" applyFont="1" applyFill="1" applyBorder="1" applyAlignment="1">
      <alignment horizontal="right" vertical="center"/>
    </xf>
    <xf numFmtId="175" fontId="28" fillId="22" borderId="33" xfId="0" applyNumberFormat="1" applyFont="1" applyFill="1" applyBorder="1" applyAlignment="1">
      <alignment horizontal="right" vertical="center"/>
    </xf>
    <xf numFmtId="175" fontId="49" fillId="22" borderId="78" xfId="0" applyNumberFormat="1" applyFont="1" applyFill="1" applyBorder="1" applyAlignment="1">
      <alignment horizontal="right" vertical="center"/>
    </xf>
    <xf numFmtId="175" fontId="49" fillId="22" borderId="78" xfId="0" applyNumberFormat="1" applyFont="1" applyFill="1" applyBorder="1" applyAlignment="1" applyProtection="1">
      <alignment horizontal="right"/>
    </xf>
    <xf numFmtId="175" fontId="28" fillId="22" borderId="78" xfId="0" applyNumberFormat="1" applyFont="1" applyFill="1" applyBorder="1" applyAlignment="1" applyProtection="1">
      <alignment horizontal="right"/>
    </xf>
    <xf numFmtId="175" fontId="49" fillId="22" borderId="30" xfId="0" applyNumberFormat="1" applyFont="1" applyFill="1" applyBorder="1" applyAlignment="1">
      <alignment horizontal="right" vertical="center"/>
    </xf>
    <xf numFmtId="175" fontId="49" fillId="22" borderId="31" xfId="0" applyNumberFormat="1" applyFont="1" applyFill="1" applyBorder="1" applyAlignment="1">
      <alignment horizontal="right" vertical="center"/>
    </xf>
    <xf numFmtId="175" fontId="49" fillId="22" borderId="33" xfId="0" applyNumberFormat="1" applyFont="1" applyFill="1" applyBorder="1" applyAlignment="1">
      <alignment horizontal="right" vertical="center"/>
    </xf>
    <xf numFmtId="0" fontId="48" fillId="0" borderId="0" xfId="0" applyFont="1" applyBorder="1" applyAlignment="1">
      <alignment vertical="center"/>
    </xf>
    <xf numFmtId="175" fontId="48" fillId="28" borderId="33" xfId="0" applyNumberFormat="1" applyFont="1" applyFill="1" applyBorder="1" applyAlignment="1">
      <alignment horizontal="right"/>
    </xf>
    <xf numFmtId="175" fontId="48" fillId="0" borderId="0" xfId="0" applyNumberFormat="1" applyFont="1" applyAlignment="1">
      <alignment horizontal="right" vertical="center"/>
    </xf>
    <xf numFmtId="0" fontId="48" fillId="0" borderId="0" xfId="0" applyFont="1" applyBorder="1" applyAlignment="1"/>
    <xf numFmtId="0" fontId="48" fillId="0" borderId="0" xfId="0" applyFont="1" applyAlignment="1" applyProtection="1">
      <alignment vertical="center"/>
    </xf>
    <xf numFmtId="175" fontId="48" fillId="28" borderId="33" xfId="0" applyNumberFormat="1" applyFont="1" applyFill="1" applyBorder="1" applyAlignment="1">
      <alignment horizontal="right" vertical="center"/>
    </xf>
    <xf numFmtId="0" fontId="28" fillId="0" borderId="0" xfId="0" applyFont="1" applyBorder="1" applyAlignment="1" applyProtection="1">
      <alignment vertical="center"/>
    </xf>
    <xf numFmtId="0" fontId="57" fillId="0" borderId="0" xfId="0" applyFont="1" applyAlignment="1" applyProtection="1">
      <alignment horizontal="center" vertical="center"/>
    </xf>
    <xf numFmtId="0" fontId="48" fillId="0" borderId="0" xfId="0" applyFont="1" applyAlignment="1">
      <alignment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/>
    </xf>
    <xf numFmtId="0" fontId="48" fillId="0" borderId="7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48" fillId="0" borderId="78" xfId="0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/>
    </xf>
    <xf numFmtId="175" fontId="49" fillId="21" borderId="65" xfId="0" applyNumberFormat="1" applyFont="1" applyFill="1" applyBorder="1" applyAlignment="1" applyProtection="1">
      <alignment horizontal="right"/>
      <protection locked="0"/>
    </xf>
    <xf numFmtId="175" fontId="49" fillId="21" borderId="67" xfId="0" applyNumberFormat="1" applyFont="1" applyFill="1" applyBorder="1" applyAlignment="1" applyProtection="1">
      <alignment horizontal="right"/>
      <protection locked="0"/>
    </xf>
    <xf numFmtId="0" fontId="39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 wrapText="1"/>
    </xf>
    <xf numFmtId="175" fontId="49" fillId="21" borderId="84" xfId="0" applyNumberFormat="1" applyFont="1" applyFill="1" applyBorder="1" applyAlignment="1" applyProtection="1">
      <alignment horizontal="right"/>
      <protection locked="0"/>
    </xf>
    <xf numFmtId="0" fontId="48" fillId="0" borderId="0" xfId="0" applyFont="1" applyBorder="1" applyAlignment="1" applyProtection="1">
      <alignment vertical="center" wrapText="1"/>
    </xf>
    <xf numFmtId="0" fontId="48" fillId="0" borderId="77" xfId="0" applyFont="1" applyBorder="1" applyAlignment="1" applyProtection="1">
      <alignment vertical="center" wrapText="1"/>
    </xf>
    <xf numFmtId="0" fontId="48" fillId="0" borderId="25" xfId="0" applyFont="1" applyBorder="1" applyAlignment="1" applyProtection="1">
      <alignment vertical="center" wrapText="1"/>
    </xf>
    <xf numFmtId="0" fontId="48" fillId="0" borderId="26" xfId="0" applyFont="1" applyBorder="1" applyAlignment="1" applyProtection="1">
      <alignment vertical="center" wrapText="1"/>
    </xf>
    <xf numFmtId="175" fontId="48" fillId="28" borderId="26" xfId="0" applyNumberFormat="1" applyFont="1" applyFill="1" applyBorder="1" applyAlignment="1">
      <alignment horizontal="right"/>
    </xf>
    <xf numFmtId="0" fontId="48" fillId="0" borderId="0" xfId="0" applyFont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 applyProtection="1">
      <alignment vertical="center"/>
    </xf>
    <xf numFmtId="0" fontId="39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28" fillId="0" borderId="0" xfId="0" applyFont="1" applyAlignment="1" applyProtection="1"/>
    <xf numFmtId="0" fontId="40" fillId="11" borderId="77" xfId="0" applyFont="1" applyFill="1" applyBorder="1" applyAlignment="1">
      <alignment horizontal="left" vertical="center"/>
    </xf>
    <xf numFmtId="0" fontId="28" fillId="11" borderId="25" xfId="0" applyFont="1" applyFill="1" applyBorder="1" applyAlignment="1">
      <alignment horizontal="centerContinuous" vertical="center"/>
    </xf>
    <xf numFmtId="0" fontId="28" fillId="11" borderId="26" xfId="0" applyFont="1" applyFill="1" applyBorder="1" applyAlignment="1">
      <alignment horizontal="centerContinuous" vertical="center"/>
    </xf>
    <xf numFmtId="0" fontId="28" fillId="11" borderId="86" xfId="0" applyFont="1" applyFill="1" applyBorder="1" applyAlignment="1" applyProtection="1">
      <alignment horizontal="center" textRotation="90" wrapText="1"/>
    </xf>
    <xf numFmtId="0" fontId="28" fillId="11" borderId="42" xfId="0" applyFont="1" applyFill="1" applyBorder="1" applyAlignment="1" applyProtection="1">
      <alignment horizontal="center" textRotation="90" wrapText="1"/>
    </xf>
    <xf numFmtId="0" fontId="28" fillId="11" borderId="82" xfId="0" applyFont="1" applyFill="1" applyBorder="1" applyAlignment="1" applyProtection="1">
      <alignment horizontal="center" textRotation="90" wrapText="1"/>
    </xf>
    <xf numFmtId="0" fontId="28" fillId="11" borderId="83" xfId="0" applyFont="1" applyFill="1" applyBorder="1" applyAlignment="1" applyProtection="1">
      <alignment horizontal="center" textRotation="90" wrapText="1"/>
    </xf>
    <xf numFmtId="0" fontId="48" fillId="11" borderId="78" xfId="0" applyFont="1" applyFill="1" applyBorder="1" applyAlignment="1" applyProtection="1">
      <alignment horizontal="center" textRotation="90"/>
    </xf>
    <xf numFmtId="0" fontId="48" fillId="0" borderId="86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8" fillId="22" borderId="17" xfId="0" applyFont="1" applyFill="1" applyBorder="1" applyAlignment="1">
      <alignment horizontal="center"/>
    </xf>
    <xf numFmtId="0" fontId="48" fillId="22" borderId="45" xfId="0" applyFont="1" applyFill="1" applyBorder="1" applyAlignment="1">
      <alignment horizontal="center"/>
    </xf>
    <xf numFmtId="0" fontId="48" fillId="22" borderId="0" xfId="0" applyFont="1" applyFill="1" applyBorder="1" applyAlignment="1">
      <alignment horizontal="center"/>
    </xf>
    <xf numFmtId="0" fontId="28" fillId="22" borderId="38" xfId="0" applyFont="1" applyFill="1" applyBorder="1" applyAlignment="1"/>
    <xf numFmtId="175" fontId="49" fillId="21" borderId="12" xfId="0" applyNumberFormat="1" applyFont="1" applyFill="1" applyBorder="1" applyAlignment="1" applyProtection="1">
      <protection locked="0"/>
    </xf>
    <xf numFmtId="175" fontId="49" fillId="22" borderId="47" xfId="0" applyNumberFormat="1" applyFont="1" applyFill="1" applyBorder="1" applyAlignment="1" applyProtection="1"/>
    <xf numFmtId="175" fontId="49" fillId="22" borderId="10" xfId="0" applyNumberFormat="1" applyFont="1" applyFill="1" applyBorder="1" applyAlignment="1" applyProtection="1"/>
    <xf numFmtId="175" fontId="49" fillId="22" borderId="10" xfId="0" applyNumberFormat="1" applyFont="1" applyFill="1" applyBorder="1" applyAlignment="1"/>
    <xf numFmtId="175" fontId="28" fillId="28" borderId="38" xfId="0" applyNumberFormat="1" applyFont="1" applyFill="1" applyBorder="1" applyAlignment="1"/>
    <xf numFmtId="175" fontId="48" fillId="22" borderId="17" xfId="0" applyNumberFormat="1" applyFont="1" applyFill="1" applyBorder="1" applyAlignment="1">
      <alignment horizontal="center"/>
    </xf>
    <xf numFmtId="175" fontId="48" fillId="22" borderId="45" xfId="0" applyNumberFormat="1" applyFont="1" applyFill="1" applyBorder="1" applyAlignment="1">
      <alignment horizontal="center"/>
    </xf>
    <xf numFmtId="175" fontId="28" fillId="22" borderId="38" xfId="0" applyNumberFormat="1" applyFont="1" applyFill="1" applyBorder="1" applyAlignment="1"/>
    <xf numFmtId="175" fontId="49" fillId="22" borderId="12" xfId="0" applyNumberFormat="1" applyFont="1" applyFill="1" applyBorder="1" applyAlignment="1" applyProtection="1"/>
    <xf numFmtId="175" fontId="49" fillId="22" borderId="12" xfId="0" applyNumberFormat="1" applyFont="1" applyFill="1" applyBorder="1" applyAlignment="1"/>
    <xf numFmtId="175" fontId="49" fillId="22" borderId="47" xfId="0" applyNumberFormat="1" applyFont="1" applyFill="1" applyBorder="1" applyAlignment="1"/>
    <xf numFmtId="175" fontId="48" fillId="28" borderId="12" xfId="0" applyNumberFormat="1" applyFont="1" applyFill="1" applyBorder="1" applyAlignment="1"/>
    <xf numFmtId="175" fontId="48" fillId="28" borderId="11" xfId="0" applyNumberFormat="1" applyFont="1" applyFill="1" applyBorder="1" applyAlignment="1"/>
    <xf numFmtId="175" fontId="48" fillId="28" borderId="38" xfId="0" applyNumberFormat="1" applyFont="1" applyFill="1" applyBorder="1" applyAlignment="1"/>
    <xf numFmtId="0" fontId="57" fillId="0" borderId="0" xfId="0" quotePrefix="1" applyFont="1" applyAlignment="1" applyProtection="1"/>
    <xf numFmtId="175" fontId="48" fillId="28" borderId="47" xfId="0" applyNumberFormat="1" applyFont="1" applyFill="1" applyBorder="1" applyAlignment="1"/>
    <xf numFmtId="175" fontId="48" fillId="28" borderId="10" xfId="0" applyNumberFormat="1" applyFont="1" applyFill="1" applyBorder="1" applyAlignment="1"/>
    <xf numFmtId="0" fontId="28" fillId="0" borderId="0" xfId="0" quotePrefix="1" applyFont="1" applyAlignment="1" applyProtection="1"/>
    <xf numFmtId="175" fontId="49" fillId="22" borderId="70" xfId="0" applyNumberFormat="1" applyFont="1" applyFill="1" applyBorder="1" applyAlignment="1"/>
    <xf numFmtId="175" fontId="28" fillId="22" borderId="70" xfId="0" applyNumberFormat="1" applyFont="1" applyFill="1" applyBorder="1" applyAlignment="1"/>
    <xf numFmtId="175" fontId="48" fillId="28" borderId="73" xfId="0" applyNumberFormat="1" applyFont="1" applyFill="1" applyBorder="1" applyAlignment="1"/>
    <xf numFmtId="0" fontId="57" fillId="0" borderId="0" xfId="0" applyFont="1" applyAlignment="1" applyProtection="1"/>
    <xf numFmtId="175" fontId="48" fillId="28" borderId="81" xfId="0" applyNumberFormat="1" applyFont="1" applyFill="1" applyBorder="1" applyAlignment="1"/>
    <xf numFmtId="175" fontId="48" fillId="28" borderId="82" xfId="0" applyNumberFormat="1" applyFont="1" applyFill="1" applyBorder="1" applyAlignment="1"/>
    <xf numFmtId="175" fontId="48" fillId="28" borderId="88" xfId="0" applyNumberFormat="1" applyFont="1" applyFill="1" applyBorder="1" applyAlignment="1"/>
    <xf numFmtId="175" fontId="48" fillId="28" borderId="78" xfId="0" applyNumberFormat="1" applyFont="1" applyFill="1" applyBorder="1" applyAlignment="1"/>
    <xf numFmtId="0" fontId="49" fillId="0" borderId="0" xfId="0" applyFont="1" applyFill="1" applyBorder="1" applyAlignment="1"/>
    <xf numFmtId="0" fontId="28" fillId="0" borderId="0" xfId="0" applyFont="1" applyFill="1" applyBorder="1" applyAlignment="1"/>
    <xf numFmtId="0" fontId="57" fillId="0" borderId="0" xfId="0" applyFont="1" applyBorder="1" applyAlignment="1">
      <alignment horizontal="center"/>
    </xf>
    <xf numFmtId="0" fontId="40" fillId="26" borderId="77" xfId="0" applyFont="1" applyFill="1" applyBorder="1" applyAlignment="1">
      <alignment horizontal="left" vertical="center"/>
    </xf>
    <xf numFmtId="0" fontId="48" fillId="26" borderId="25" xfId="0" applyFont="1" applyFill="1" applyBorder="1" applyAlignment="1">
      <alignment horizontal="left" vertical="center"/>
    </xf>
    <xf numFmtId="0" fontId="48" fillId="26" borderId="25" xfId="0" applyFont="1" applyFill="1" applyBorder="1" applyAlignment="1" applyProtection="1">
      <alignment vertical="center" wrapText="1"/>
    </xf>
    <xf numFmtId="0" fontId="48" fillId="26" borderId="26" xfId="0" applyFont="1" applyFill="1" applyBorder="1" applyAlignment="1" applyProtection="1">
      <alignment horizontal="center" vertical="center" wrapText="1"/>
    </xf>
    <xf numFmtId="0" fontId="48" fillId="0" borderId="0" xfId="0" applyFont="1" applyAlignment="1" applyProtection="1"/>
    <xf numFmtId="0" fontId="48" fillId="26" borderId="29" xfId="0" applyFont="1" applyFill="1" applyBorder="1" applyAlignment="1" applyProtection="1">
      <alignment horizontal="center" vertical="center" wrapText="1"/>
    </xf>
    <xf numFmtId="0" fontId="48" fillId="26" borderId="24" xfId="0" applyFont="1" applyFill="1" applyBorder="1" applyAlignment="1" applyProtection="1">
      <alignment vertical="center" wrapText="1"/>
    </xf>
    <xf numFmtId="0" fontId="48" fillId="26" borderId="24" xfId="0" applyFont="1" applyFill="1" applyBorder="1" applyAlignment="1" applyProtection="1">
      <alignment horizontal="center" vertical="center" wrapText="1"/>
    </xf>
    <xf numFmtId="0" fontId="48" fillId="0" borderId="78" xfId="0" applyFont="1" applyBorder="1" applyAlignment="1">
      <alignment horizontal="center"/>
    </xf>
    <xf numFmtId="0" fontId="28" fillId="0" borderId="87" xfId="0" applyFont="1" applyFill="1" applyBorder="1" applyAlignment="1" applyProtection="1"/>
    <xf numFmtId="175" fontId="49" fillId="21" borderId="38" xfId="0" applyNumberFormat="1" applyFont="1" applyFill="1" applyBorder="1" applyAlignment="1" applyProtection="1">
      <protection locked="0"/>
    </xf>
    <xf numFmtId="175" fontId="28" fillId="28" borderId="75" xfId="0" applyNumberFormat="1" applyFont="1" applyFill="1" applyBorder="1" applyAlignment="1"/>
    <xf numFmtId="0" fontId="28" fillId="0" borderId="37" xfId="0" applyFont="1" applyFill="1" applyBorder="1" applyAlignment="1" applyProtection="1"/>
    <xf numFmtId="175" fontId="49" fillId="21" borderId="76" xfId="0" applyNumberFormat="1" applyFont="1" applyFill="1" applyBorder="1" applyAlignment="1" applyProtection="1">
      <protection locked="0"/>
    </xf>
    <xf numFmtId="175" fontId="28" fillId="28" borderId="76" xfId="0" applyNumberFormat="1" applyFont="1" applyFill="1" applyBorder="1" applyAlignment="1"/>
    <xf numFmtId="0" fontId="28" fillId="0" borderId="10" xfId="0" applyFont="1" applyFill="1" applyBorder="1" applyAlignment="1" applyProtection="1"/>
    <xf numFmtId="0" fontId="28" fillId="0" borderId="37" xfId="0" applyFont="1" applyBorder="1" applyAlignment="1" applyProtection="1"/>
    <xf numFmtId="0" fontId="28" fillId="0" borderId="10" xfId="0" applyFont="1" applyBorder="1" applyAlignment="1" applyProtection="1"/>
    <xf numFmtId="0" fontId="28" fillId="0" borderId="37" xfId="0" applyFont="1" applyBorder="1" applyAlignment="1" applyProtection="1">
      <alignment vertical="center"/>
    </xf>
    <xf numFmtId="0" fontId="28" fillId="0" borderId="87" xfId="0" applyFont="1" applyFill="1" applyBorder="1" applyAlignment="1" applyProtection="1">
      <alignment vertical="center"/>
    </xf>
    <xf numFmtId="0" fontId="28" fillId="0" borderId="10" xfId="0" applyFont="1" applyBorder="1" applyAlignment="1" applyProtection="1">
      <alignment vertical="center"/>
    </xf>
    <xf numFmtId="175" fontId="28" fillId="28" borderId="78" xfId="0" applyNumberFormat="1" applyFont="1" applyFill="1" applyBorder="1" applyAlignment="1"/>
    <xf numFmtId="0" fontId="0" fillId="0" borderId="0" xfId="0" applyAlignment="1"/>
    <xf numFmtId="0" fontId="48" fillId="26" borderId="77" xfId="0" applyFont="1" applyFill="1" applyBorder="1" applyAlignment="1">
      <alignment horizontal="left" vertical="center"/>
    </xf>
    <xf numFmtId="0" fontId="0" fillId="26" borderId="25" xfId="0" applyFill="1" applyBorder="1" applyAlignment="1"/>
    <xf numFmtId="0" fontId="29" fillId="26" borderId="78" xfId="0" applyFont="1" applyFill="1" applyBorder="1" applyAlignment="1" applyProtection="1">
      <alignment horizontal="center" wrapText="1"/>
    </xf>
    <xf numFmtId="175" fontId="48" fillId="28" borderId="85" xfId="0" applyNumberFormat="1" applyFont="1" applyFill="1" applyBorder="1" applyAlignment="1"/>
    <xf numFmtId="175" fontId="48" fillId="28" borderId="76" xfId="0" applyNumberFormat="1" applyFont="1" applyFill="1" applyBorder="1" applyAlignment="1"/>
    <xf numFmtId="175" fontId="0" fillId="28" borderId="78" xfId="0" applyNumberFormat="1" applyFill="1" applyBorder="1" applyAlignment="1"/>
    <xf numFmtId="0" fontId="48" fillId="0" borderId="0" xfId="0" applyFont="1" applyBorder="1" applyAlignment="1" applyProtection="1"/>
    <xf numFmtId="0" fontId="48" fillId="0" borderId="0" xfId="0" applyFont="1" applyBorder="1" applyAlignment="1" applyProtection="1">
      <alignment wrapText="1"/>
    </xf>
    <xf numFmtId="0" fontId="29" fillId="0" borderId="0" xfId="0" applyFont="1" applyBorder="1" applyAlignment="1" applyProtection="1">
      <alignment wrapText="1"/>
    </xf>
    <xf numFmtId="0" fontId="58" fillId="0" borderId="0" xfId="0" applyFont="1" applyFill="1" applyBorder="1" applyAlignment="1"/>
    <xf numFmtId="175" fontId="48" fillId="0" borderId="78" xfId="0" applyNumberFormat="1" applyFont="1" applyFill="1" applyBorder="1" applyAlignment="1"/>
    <xf numFmtId="175" fontId="28" fillId="0" borderId="38" xfId="0" applyNumberFormat="1" applyFont="1" applyFill="1" applyBorder="1" applyAlignment="1" applyProtection="1">
      <protection locked="0"/>
    </xf>
    <xf numFmtId="0" fontId="28" fillId="0" borderId="0" xfId="0" applyFont="1" applyAlignment="1"/>
    <xf numFmtId="0" fontId="40" fillId="29" borderId="21" xfId="0" applyFont="1" applyFill="1" applyBorder="1" applyAlignment="1">
      <alignment vertical="center"/>
    </xf>
    <xf numFmtId="0" fontId="48" fillId="29" borderId="22" xfId="0" applyFont="1" applyFill="1" applyBorder="1" applyAlignment="1">
      <alignment vertical="center"/>
    </xf>
    <xf numFmtId="0" fontId="48" fillId="29" borderId="25" xfId="0" applyFont="1" applyFill="1" applyBorder="1" applyAlignment="1" applyProtection="1">
      <alignment horizontal="center" wrapText="1"/>
    </xf>
    <xf numFmtId="0" fontId="48" fillId="29" borderId="26" xfId="0" applyFont="1" applyFill="1" applyBorder="1" applyAlignment="1" applyProtection="1">
      <alignment horizontal="center" wrapText="1"/>
    </xf>
    <xf numFmtId="0" fontId="48" fillId="29" borderId="32" xfId="0" applyFont="1" applyFill="1" applyBorder="1" applyAlignment="1" applyProtection="1">
      <alignment horizontal="center" wrapText="1"/>
    </xf>
    <xf numFmtId="0" fontId="48" fillId="29" borderId="33" xfId="0" applyFont="1" applyFill="1" applyBorder="1" applyAlignment="1" applyProtection="1">
      <alignment horizontal="center" wrapText="1"/>
    </xf>
    <xf numFmtId="0" fontId="48" fillId="0" borderId="26" xfId="0" applyFont="1" applyBorder="1" applyAlignment="1">
      <alignment horizontal="center"/>
    </xf>
    <xf numFmtId="0" fontId="29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2" xfId="0" applyFont="1" applyBorder="1" applyAlignment="1" applyProtection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7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7" xfId="0" applyFont="1" applyBorder="1" applyAlignment="1" applyProtection="1">
      <alignment vertical="center"/>
    </xf>
    <xf numFmtId="0" fontId="2" fillId="0" borderId="21" xfId="0" applyFont="1" applyFill="1" applyBorder="1" applyAlignment="1" applyProtection="1"/>
    <xf numFmtId="0" fontId="29" fillId="0" borderId="23" xfId="0" applyFont="1" applyFill="1" applyBorder="1" applyAlignment="1" applyProtection="1">
      <alignment horizontal="center"/>
    </xf>
    <xf numFmtId="0" fontId="2" fillId="0" borderId="28" xfId="0" applyFont="1" applyFill="1" applyBorder="1" applyAlignment="1"/>
    <xf numFmtId="0" fontId="2" fillId="0" borderId="0" xfId="0" applyFont="1" applyFill="1" applyBorder="1" applyAlignment="1"/>
    <xf numFmtId="0" fontId="30" fillId="0" borderId="27" xfId="0" applyFont="1" applyBorder="1" applyAlignment="1" applyProtection="1">
      <alignment vertical="center"/>
    </xf>
    <xf numFmtId="175" fontId="31" fillId="21" borderId="27" xfId="0" applyNumberFormat="1" applyFont="1" applyFill="1" applyBorder="1" applyAlignment="1" applyProtection="1">
      <protection locked="0"/>
    </xf>
    <xf numFmtId="175" fontId="30" fillId="0" borderId="28" xfId="0" applyNumberFormat="1" applyFont="1" applyFill="1" applyBorder="1" applyAlignment="1" applyProtection="1"/>
    <xf numFmtId="175" fontId="2" fillId="0" borderId="28" xfId="0" applyNumberFormat="1" applyFont="1" applyFill="1" applyBorder="1" applyAlignment="1"/>
    <xf numFmtId="175" fontId="2" fillId="0" borderId="0" xfId="0" applyNumberFormat="1" applyFont="1" applyFill="1" applyBorder="1" applyAlignment="1"/>
    <xf numFmtId="0" fontId="30" fillId="0" borderId="0" xfId="0" applyFont="1" applyFill="1" applyBorder="1" applyAlignment="1" applyProtection="1">
      <alignment vertical="center"/>
    </xf>
    <xf numFmtId="175" fontId="31" fillId="21" borderId="64" xfId="0" applyNumberFormat="1" applyFont="1" applyFill="1" applyBorder="1" applyAlignment="1" applyProtection="1">
      <protection locked="0"/>
    </xf>
    <xf numFmtId="175" fontId="30" fillId="0" borderId="27" xfId="0" applyNumberFormat="1" applyFont="1" applyFill="1" applyBorder="1" applyAlignment="1" applyProtection="1"/>
    <xf numFmtId="175" fontId="31" fillId="0" borderId="28" xfId="0" applyNumberFormat="1" applyFont="1" applyFill="1" applyBorder="1" applyAlignment="1" applyProtection="1"/>
    <xf numFmtId="0" fontId="30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30" fillId="0" borderId="0" xfId="0" applyFont="1" applyBorder="1" applyAlignment="1">
      <alignment vertical="center"/>
    </xf>
    <xf numFmtId="0" fontId="30" fillId="0" borderId="27" xfId="0" applyFont="1" applyBorder="1" applyAlignment="1">
      <alignment vertical="center"/>
    </xf>
    <xf numFmtId="175" fontId="30" fillId="0" borderId="30" xfId="0" applyNumberFormat="1" applyFont="1" applyFill="1" applyBorder="1" applyAlignment="1" applyProtection="1"/>
    <xf numFmtId="175" fontId="29" fillId="28" borderId="89" xfId="0" applyNumberFormat="1" applyFont="1" applyFill="1" applyBorder="1" applyAlignment="1" applyProtection="1"/>
    <xf numFmtId="0" fontId="2" fillId="0" borderId="30" xfId="0" applyFont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175" fontId="2" fillId="0" borderId="31" xfId="0" applyNumberFormat="1" applyFont="1" applyFill="1" applyBorder="1" applyAlignment="1"/>
    <xf numFmtId="175" fontId="2" fillId="0" borderId="32" xfId="0" applyNumberFormat="1" applyFont="1" applyFill="1" applyBorder="1" applyAlignment="1"/>
    <xf numFmtId="0" fontId="29" fillId="0" borderId="0" xfId="0" applyFont="1" applyFill="1" applyBorder="1" applyAlignment="1">
      <alignment horizontal="right" vertical="center"/>
    </xf>
    <xf numFmtId="0" fontId="29" fillId="0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75" fontId="30" fillId="0" borderId="22" xfId="0" applyNumberFormat="1" applyFont="1" applyFill="1" applyBorder="1" applyAlignment="1"/>
    <xf numFmtId="175" fontId="2" fillId="0" borderId="22" xfId="0" applyNumberFormat="1" applyFont="1" applyFill="1" applyBorder="1" applyAlignment="1"/>
    <xf numFmtId="0" fontId="2" fillId="0" borderId="23" xfId="0" applyFont="1" applyFill="1" applyBorder="1" applyAlignment="1"/>
    <xf numFmtId="175" fontId="30" fillId="0" borderId="0" xfId="0" applyNumberFormat="1" applyFont="1" applyFill="1" applyBorder="1" applyAlignment="1"/>
    <xf numFmtId="0" fontId="2" fillId="0" borderId="27" xfId="0" applyFont="1" applyFill="1" applyBorder="1" applyAlignment="1">
      <alignment vertical="center"/>
    </xf>
    <xf numFmtId="175" fontId="29" fillId="0" borderId="78" xfId="0" applyNumberFormat="1" applyFont="1" applyFill="1" applyBorder="1" applyAlignment="1">
      <alignment horizontal="center"/>
    </xf>
    <xf numFmtId="175" fontId="30" fillId="0" borderId="0" xfId="0" applyNumberFormat="1" applyFont="1" applyBorder="1" applyAlignment="1" applyProtection="1"/>
    <xf numFmtId="0" fontId="30" fillId="0" borderId="0" xfId="0" applyFont="1" applyFill="1" applyBorder="1" applyAlignment="1" applyProtection="1">
      <alignment horizontal="left" vertical="center"/>
    </xf>
    <xf numFmtId="175" fontId="31" fillId="21" borderId="29" xfId="0" applyNumberFormat="1" applyFont="1" applyFill="1" applyBorder="1" applyAlignment="1" applyProtection="1">
      <protection locked="0"/>
    </xf>
    <xf numFmtId="0" fontId="30" fillId="0" borderId="27" xfId="0" applyFont="1" applyFill="1" applyBorder="1" applyAlignment="1">
      <alignment vertical="center"/>
    </xf>
    <xf numFmtId="0" fontId="30" fillId="0" borderId="28" xfId="0" applyFont="1" applyFill="1" applyBorder="1" applyAlignment="1"/>
    <xf numFmtId="175" fontId="29" fillId="28" borderId="90" xfId="0" applyNumberFormat="1" applyFont="1" applyFill="1" applyBorder="1" applyAlignment="1" applyProtection="1">
      <protection locked="0"/>
    </xf>
    <xf numFmtId="0" fontId="29" fillId="0" borderId="47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29" fillId="0" borderId="70" xfId="0" applyFont="1" applyBorder="1" applyAlignment="1">
      <alignment horizontal="center" wrapText="1"/>
    </xf>
    <xf numFmtId="176" fontId="29" fillId="0" borderId="60" xfId="0" applyNumberFormat="1" applyFont="1" applyBorder="1" applyAlignment="1">
      <alignment horizontal="center"/>
    </xf>
    <xf numFmtId="176" fontId="29" fillId="0" borderId="18" xfId="0" applyNumberFormat="1" applyFont="1" applyBorder="1" applyAlignment="1">
      <alignment horizontal="center"/>
    </xf>
    <xf numFmtId="175" fontId="31" fillId="21" borderId="16" xfId="0" applyNumberFormat="1" applyFont="1" applyFill="1" applyBorder="1" applyAlignment="1" applyProtection="1">
      <alignment horizontal="right"/>
      <protection locked="0"/>
    </xf>
    <xf numFmtId="175" fontId="30" fillId="28" borderId="45" xfId="85" applyNumberFormat="1" applyFont="1" applyFill="1" applyBorder="1"/>
    <xf numFmtId="176" fontId="59" fillId="21" borderId="70" xfId="0" applyNumberFormat="1" applyFont="1" applyFill="1" applyBorder="1" applyAlignment="1" applyProtection="1">
      <alignment horizontal="left"/>
      <protection locked="0"/>
    </xf>
    <xf numFmtId="176" fontId="59" fillId="21" borderId="45" xfId="0" applyNumberFormat="1" applyFont="1" applyFill="1" applyBorder="1" applyAlignment="1" applyProtection="1">
      <alignment horizontal="left"/>
      <protection locked="0"/>
    </xf>
    <xf numFmtId="176" fontId="59" fillId="21" borderId="60" xfId="0" applyNumberFormat="1" applyFont="1" applyFill="1" applyBorder="1" applyAlignment="1" applyProtection="1">
      <alignment horizontal="left"/>
      <protection locked="0"/>
    </xf>
    <xf numFmtId="175" fontId="29" fillId="28" borderId="38" xfId="0" applyNumberFormat="1" applyFont="1" applyFill="1" applyBorder="1" applyAlignment="1" applyProtection="1"/>
    <xf numFmtId="0" fontId="30" fillId="0" borderId="0" xfId="0" applyFont="1" applyFill="1" applyBorder="1" applyAlignment="1"/>
    <xf numFmtId="0" fontId="55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175" fontId="30" fillId="0" borderId="28" xfId="0" applyNumberFormat="1" applyFont="1" applyFill="1" applyBorder="1" applyAlignment="1"/>
    <xf numFmtId="0" fontId="30" fillId="0" borderId="25" xfId="0" applyFont="1" applyFill="1" applyBorder="1" applyAlignment="1"/>
    <xf numFmtId="175" fontId="30" fillId="0" borderId="78" xfId="0" applyNumberFormat="1" applyFont="1" applyFill="1" applyBorder="1" applyAlignment="1">
      <alignment horizontal="center" wrapText="1"/>
    </xf>
    <xf numFmtId="175" fontId="31" fillId="22" borderId="24" xfId="0" applyNumberFormat="1" applyFont="1" applyFill="1" applyBorder="1" applyAlignment="1" applyProtection="1"/>
    <xf numFmtId="175" fontId="31" fillId="21" borderId="33" xfId="0" applyNumberFormat="1" applyFont="1" applyFill="1" applyBorder="1" applyAlignment="1" applyProtection="1">
      <protection locked="0"/>
    </xf>
    <xf numFmtId="0" fontId="29" fillId="0" borderId="0" xfId="0" applyFont="1" applyBorder="1" applyAlignment="1" applyProtection="1">
      <alignment horizontal="right" vertical="center"/>
    </xf>
    <xf numFmtId="175" fontId="29" fillId="28" borderId="90" xfId="0" applyNumberFormat="1" applyFont="1" applyFill="1" applyBorder="1" applyAlignment="1" applyProtection="1"/>
    <xf numFmtId="175" fontId="60" fillId="0" borderId="78" xfId="0" applyNumberFormat="1" applyFont="1" applyFill="1" applyBorder="1" applyAlignment="1">
      <alignment horizontal="center"/>
    </xf>
    <xf numFmtId="175" fontId="60" fillId="0" borderId="78" xfId="0" applyNumberFormat="1" applyFont="1" applyFill="1" applyBorder="1" applyAlignment="1">
      <alignment horizontal="center" textRotation="90" wrapText="1"/>
    </xf>
    <xf numFmtId="175" fontId="30" fillId="28" borderId="24" xfId="0" applyNumberFormat="1" applyFont="1" applyFill="1" applyBorder="1" applyAlignment="1" applyProtection="1"/>
    <xf numFmtId="175" fontId="31" fillId="21" borderId="41" xfId="0" applyNumberFormat="1" applyFont="1" applyFill="1" applyBorder="1" applyAlignment="1" applyProtection="1">
      <protection locked="0"/>
    </xf>
    <xf numFmtId="175" fontId="31" fillId="21" borderId="86" xfId="0" applyNumberFormat="1" applyFont="1" applyFill="1" applyBorder="1" applyAlignment="1" applyProtection="1">
      <protection locked="0"/>
    </xf>
    <xf numFmtId="175" fontId="31" fillId="21" borderId="51" xfId="0" applyNumberFormat="1" applyFont="1" applyFill="1" applyBorder="1" applyAlignment="1" applyProtection="1">
      <protection locked="0"/>
    </xf>
    <xf numFmtId="175" fontId="30" fillId="28" borderId="33" xfId="0" applyNumberFormat="1" applyFont="1" applyFill="1" applyBorder="1" applyAlignment="1" applyProtection="1"/>
    <xf numFmtId="175" fontId="31" fillId="21" borderId="48" xfId="0" applyNumberFormat="1" applyFont="1" applyFill="1" applyBorder="1" applyAlignment="1" applyProtection="1">
      <protection locked="0"/>
    </xf>
    <xf numFmtId="175" fontId="31" fillId="21" borderId="74" xfId="0" applyNumberFormat="1" applyFont="1" applyFill="1" applyBorder="1" applyAlignment="1" applyProtection="1">
      <protection locked="0"/>
    </xf>
    <xf numFmtId="175" fontId="31" fillId="21" borderId="63" xfId="0" applyNumberFormat="1" applyFont="1" applyFill="1" applyBorder="1" applyAlignment="1" applyProtection="1">
      <protection locked="0"/>
    </xf>
    <xf numFmtId="175" fontId="60" fillId="0" borderId="24" xfId="0" applyNumberFormat="1" applyFont="1" applyFill="1" applyBorder="1" applyAlignment="1">
      <alignment horizontal="center"/>
    </xf>
    <xf numFmtId="175" fontId="60" fillId="0" borderId="24" xfId="0" applyNumberFormat="1" applyFont="1" applyFill="1" applyBorder="1" applyAlignment="1">
      <alignment horizontal="center" textRotation="90" wrapText="1"/>
    </xf>
    <xf numFmtId="0" fontId="2" fillId="0" borderId="0" xfId="0" applyFont="1" applyBorder="1" applyAlignment="1" applyProtection="1">
      <alignment horizontal="left" vertical="center"/>
    </xf>
    <xf numFmtId="175" fontId="30" fillId="28" borderId="29" xfId="0" applyNumberFormat="1" applyFont="1" applyFill="1" applyBorder="1" applyAlignment="1" applyProtection="1"/>
    <xf numFmtId="175" fontId="31" fillId="21" borderId="44" xfId="0" applyNumberFormat="1" applyFont="1" applyFill="1" applyBorder="1" applyAlignment="1" applyProtection="1">
      <protection locked="0"/>
    </xf>
    <xf numFmtId="175" fontId="31" fillId="21" borderId="17" xfId="0" applyNumberFormat="1" applyFont="1" applyFill="1" applyBorder="1" applyAlignment="1" applyProtection="1">
      <protection locked="0"/>
    </xf>
    <xf numFmtId="175" fontId="31" fillId="21" borderId="45" xfId="0" applyNumberFormat="1" applyFont="1" applyFill="1" applyBorder="1" applyAlignment="1" applyProtection="1">
      <protection locked="0"/>
    </xf>
    <xf numFmtId="175" fontId="31" fillId="21" borderId="28" xfId="0" applyNumberFormat="1" applyFont="1" applyFill="1" applyBorder="1" applyAlignment="1" applyProtection="1">
      <protection locked="0"/>
    </xf>
    <xf numFmtId="175" fontId="31" fillId="21" borderId="58" xfId="0" applyNumberFormat="1" applyFont="1" applyFill="1" applyBorder="1" applyAlignment="1" applyProtection="1">
      <protection locked="0"/>
    </xf>
    <xf numFmtId="175" fontId="31" fillId="21" borderId="20" xfId="0" applyNumberFormat="1" applyFont="1" applyFill="1" applyBorder="1" applyAlignment="1" applyProtection="1">
      <protection locked="0"/>
    </xf>
    <xf numFmtId="175" fontId="31" fillId="21" borderId="60" xfId="0" applyNumberFormat="1" applyFont="1" applyFill="1" applyBorder="1" applyAlignment="1" applyProtection="1">
      <protection locked="0"/>
    </xf>
    <xf numFmtId="175" fontId="31" fillId="21" borderId="65" xfId="0" applyNumberFormat="1" applyFont="1" applyFill="1" applyBorder="1" applyAlignment="1" applyProtection="1">
      <protection locked="0"/>
    </xf>
    <xf numFmtId="175" fontId="29" fillId="28" borderId="76" xfId="0" applyNumberFormat="1" applyFont="1" applyFill="1" applyBorder="1" applyAlignment="1" applyProtection="1"/>
    <xf numFmtId="0" fontId="30" fillId="0" borderId="30" xfId="0" applyFont="1" applyBorder="1" applyAlignment="1">
      <alignment vertical="center"/>
    </xf>
    <xf numFmtId="0" fontId="30" fillId="0" borderId="31" xfId="0" applyFont="1" applyBorder="1" applyAlignment="1">
      <alignment vertical="center"/>
    </xf>
    <xf numFmtId="0" fontId="29" fillId="0" borderId="31" xfId="0" applyFont="1" applyBorder="1" applyAlignment="1" applyProtection="1">
      <alignment horizontal="right" vertical="center"/>
    </xf>
    <xf numFmtId="0" fontId="30" fillId="0" borderId="31" xfId="0" applyFont="1" applyFill="1" applyBorder="1" applyAlignment="1">
      <alignment vertical="center"/>
    </xf>
    <xf numFmtId="0" fontId="29" fillId="0" borderId="31" xfId="0" applyFont="1" applyBorder="1" applyAlignment="1" applyProtection="1">
      <alignment horizontal="right"/>
    </xf>
    <xf numFmtId="0" fontId="55" fillId="0" borderId="31" xfId="0" quotePrefix="1" applyFont="1" applyBorder="1" applyAlignment="1" applyProtection="1">
      <alignment horizontal="center"/>
    </xf>
    <xf numFmtId="0" fontId="55" fillId="0" borderId="31" xfId="0" applyFont="1" applyBorder="1" applyAlignment="1" applyProtection="1">
      <alignment horizontal="center"/>
    </xf>
    <xf numFmtId="0" fontId="29" fillId="0" borderId="32" xfId="0" applyFont="1" applyBorder="1" applyAlignment="1" applyProtection="1">
      <alignment horizontal="right"/>
    </xf>
    <xf numFmtId="0" fontId="30" fillId="0" borderId="22" xfId="0" applyFont="1" applyBorder="1" applyAlignment="1" applyProtection="1">
      <alignment horizontal="left" vertical="center"/>
    </xf>
    <xf numFmtId="0" fontId="30" fillId="0" borderId="23" xfId="0" applyFont="1" applyFill="1" applyBorder="1" applyAlignment="1"/>
    <xf numFmtId="175" fontId="30" fillId="30" borderId="29" xfId="0" applyNumberFormat="1" applyFont="1" applyFill="1" applyBorder="1" applyAlignment="1" applyProtection="1"/>
    <xf numFmtId="175" fontId="31" fillId="30" borderId="44" xfId="0" applyNumberFormat="1" applyFont="1" applyFill="1" applyBorder="1" applyAlignment="1" applyProtection="1"/>
    <xf numFmtId="175" fontId="31" fillId="30" borderId="17" xfId="0" applyNumberFormat="1" applyFont="1" applyFill="1" applyBorder="1" applyAlignment="1" applyProtection="1"/>
    <xf numFmtId="175" fontId="31" fillId="30" borderId="45" xfId="0" applyNumberFormat="1" applyFont="1" applyFill="1" applyBorder="1" applyAlignment="1" applyProtection="1"/>
    <xf numFmtId="175" fontId="31" fillId="30" borderId="28" xfId="0" applyNumberFormat="1" applyFont="1" applyFill="1" applyBorder="1" applyAlignment="1" applyProtection="1"/>
    <xf numFmtId="175" fontId="31" fillId="30" borderId="58" xfId="0" applyNumberFormat="1" applyFont="1" applyFill="1" applyBorder="1" applyAlignment="1" applyProtection="1"/>
    <xf numFmtId="175" fontId="31" fillId="30" borderId="20" xfId="0" applyNumberFormat="1" applyFont="1" applyFill="1" applyBorder="1" applyAlignment="1" applyProtection="1"/>
    <xf numFmtId="175" fontId="31" fillId="30" borderId="60" xfId="0" applyNumberFormat="1" applyFont="1" applyFill="1" applyBorder="1" applyAlignment="1" applyProtection="1"/>
    <xf numFmtId="175" fontId="31" fillId="30" borderId="65" xfId="0" applyNumberFormat="1" applyFont="1" applyFill="1" applyBorder="1" applyAlignment="1" applyProtection="1"/>
    <xf numFmtId="175" fontId="29" fillId="30" borderId="76" xfId="0" applyNumberFormat="1" applyFont="1" applyFill="1" applyBorder="1" applyAlignment="1" applyProtection="1"/>
    <xf numFmtId="175" fontId="60" fillId="0" borderId="0" xfId="0" applyNumberFormat="1" applyFont="1" applyFill="1" applyBorder="1" applyAlignment="1"/>
    <xf numFmtId="175" fontId="30" fillId="28" borderId="78" xfId="0" applyNumberFormat="1" applyFont="1" applyFill="1" applyBorder="1" applyAlignment="1" applyProtection="1"/>
    <xf numFmtId="175" fontId="31" fillId="22" borderId="81" xfId="0" applyNumberFormat="1" applyFont="1" applyFill="1" applyBorder="1" applyAlignment="1" applyProtection="1"/>
    <xf numFmtId="175" fontId="31" fillId="21" borderId="81" xfId="0" applyNumberFormat="1" applyFont="1" applyFill="1" applyBorder="1" applyAlignment="1" applyProtection="1">
      <protection locked="0"/>
    </xf>
    <xf numFmtId="175" fontId="31" fillId="22" borderId="82" xfId="0" applyNumberFormat="1" applyFont="1" applyFill="1" applyBorder="1" applyAlignment="1" applyProtection="1"/>
    <xf numFmtId="175" fontId="31" fillId="22" borderId="26" xfId="0" applyNumberFormat="1" applyFont="1" applyFill="1" applyBorder="1" applyAlignment="1" applyProtection="1"/>
    <xf numFmtId="0" fontId="30" fillId="0" borderId="31" xfId="0" applyFont="1" applyBorder="1" applyAlignment="1">
      <alignment horizontal="left" vertical="center"/>
    </xf>
    <xf numFmtId="175" fontId="30" fillId="0" borderId="31" xfId="0" applyNumberFormat="1" applyFont="1" applyFill="1" applyBorder="1" applyAlignment="1"/>
    <xf numFmtId="175" fontId="60" fillId="0" borderId="31" xfId="0" applyNumberFormat="1" applyFont="1" applyFill="1" applyBorder="1" applyAlignment="1"/>
    <xf numFmtId="0" fontId="30" fillId="0" borderId="32" xfId="0" applyFont="1" applyFill="1" applyBorder="1" applyAlignment="1"/>
    <xf numFmtId="0" fontId="30" fillId="0" borderId="25" xfId="0" applyFont="1" applyFill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0" fillId="0" borderId="22" xfId="0" applyFont="1" applyBorder="1" applyAlignment="1">
      <alignment horizontal="left" vertical="center"/>
    </xf>
    <xf numFmtId="0" fontId="30" fillId="0" borderId="22" xfId="0" applyFont="1" applyFill="1" applyBorder="1" applyAlignment="1">
      <alignment vertical="center"/>
    </xf>
    <xf numFmtId="175" fontId="60" fillId="0" borderId="22" xfId="0" applyNumberFormat="1" applyFont="1" applyFill="1" applyBorder="1" applyAlignment="1"/>
    <xf numFmtId="175" fontId="30" fillId="0" borderId="23" xfId="0" applyNumberFormat="1" applyFont="1" applyFill="1" applyBorder="1" applyAlignment="1"/>
    <xf numFmtId="175" fontId="31" fillId="21" borderId="78" xfId="0" applyNumberFormat="1" applyFont="1" applyFill="1" applyBorder="1" applyAlignment="1" applyProtection="1">
      <protection locked="0"/>
    </xf>
    <xf numFmtId="0" fontId="29" fillId="0" borderId="0" xfId="0" applyFont="1" applyBorder="1" applyAlignment="1">
      <alignment horizontal="left" vertical="center"/>
    </xf>
    <xf numFmtId="175" fontId="29" fillId="0" borderId="28" xfId="0" applyNumberFormat="1" applyFont="1" applyFill="1" applyBorder="1" applyAlignment="1">
      <alignment horizontal="center"/>
    </xf>
    <xf numFmtId="175" fontId="29" fillId="0" borderId="0" xfId="0" applyNumberFormat="1" applyFont="1" applyFill="1" applyBorder="1" applyAlignment="1">
      <alignment horizontal="center"/>
    </xf>
    <xf numFmtId="175" fontId="31" fillId="21" borderId="91" xfId="0" applyNumberFormat="1" applyFont="1" applyFill="1" applyBorder="1" applyAlignment="1" applyProtection="1">
      <protection locked="0"/>
    </xf>
    <xf numFmtId="0" fontId="31" fillId="21" borderId="92" xfId="0" applyFont="1" applyFill="1" applyBorder="1" applyAlignment="1" applyProtection="1">
      <protection locked="0"/>
    </xf>
    <xf numFmtId="175" fontId="31" fillId="0" borderId="28" xfId="0" applyNumberFormat="1" applyFont="1" applyFill="1" applyBorder="1" applyAlignment="1" applyProtection="1">
      <protection locked="0"/>
    </xf>
    <xf numFmtId="175" fontId="31" fillId="0" borderId="0" xfId="0" applyNumberFormat="1" applyFont="1" applyFill="1" applyBorder="1" applyAlignment="1" applyProtection="1">
      <protection locked="0"/>
    </xf>
    <xf numFmtId="0" fontId="30" fillId="0" borderId="0" xfId="0" applyFont="1" applyFill="1" applyBorder="1" applyAlignment="1">
      <alignment horizontal="left" vertical="center"/>
    </xf>
    <xf numFmtId="175" fontId="30" fillId="0" borderId="0" xfId="0" applyNumberFormat="1" applyFont="1" applyFill="1" applyBorder="1" applyAlignment="1" applyProtection="1">
      <protection locked="0"/>
    </xf>
    <xf numFmtId="175" fontId="30" fillId="0" borderId="28" xfId="0" applyNumberFormat="1" applyFont="1" applyFill="1" applyBorder="1" applyAlignment="1" applyProtection="1">
      <protection locked="0"/>
    </xf>
    <xf numFmtId="175" fontId="31" fillId="21" borderId="75" xfId="0" applyNumberFormat="1" applyFont="1" applyFill="1" applyBorder="1" applyAlignment="1" applyProtection="1">
      <protection locked="0"/>
    </xf>
    <xf numFmtId="175" fontId="30" fillId="22" borderId="64" xfId="0" applyNumberFormat="1" applyFont="1" applyFill="1" applyBorder="1" applyAlignment="1" applyProtection="1">
      <protection locked="0"/>
    </xf>
    <xf numFmtId="175" fontId="29" fillId="0" borderId="28" xfId="0" applyNumberFormat="1" applyFont="1" applyFill="1" applyBorder="1" applyAlignment="1" applyProtection="1"/>
    <xf numFmtId="175" fontId="29" fillId="0" borderId="0" xfId="0" applyNumberFormat="1" applyFont="1" applyFill="1" applyBorder="1" applyAlignment="1" applyProtection="1"/>
    <xf numFmtId="0" fontId="30" fillId="0" borderId="31" xfId="0" applyFont="1" applyFill="1" applyBorder="1" applyAlignment="1"/>
    <xf numFmtId="0" fontId="61" fillId="0" borderId="0" xfId="0" applyFont="1" applyBorder="1"/>
    <xf numFmtId="0" fontId="41" fillId="0" borderId="0" xfId="0" applyFont="1" applyBorder="1"/>
    <xf numFmtId="0" fontId="27" fillId="0" borderId="0" xfId="67" applyFont="1" applyAlignment="1" applyProtection="1"/>
    <xf numFmtId="0" fontId="62" fillId="0" borderId="0" xfId="0" applyFont="1" applyBorder="1"/>
    <xf numFmtId="0" fontId="61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62" fillId="0" borderId="0" xfId="0" applyFont="1" applyFill="1" applyBorder="1" applyAlignment="1">
      <alignment vertical="top" wrapText="1"/>
    </xf>
    <xf numFmtId="1" fontId="28" fillId="0" borderId="0" xfId="87" applyNumberFormat="1" applyFont="1" applyProtection="1"/>
    <xf numFmtId="1" fontId="28" fillId="0" borderId="0" xfId="87" applyNumberFormat="1" applyFont="1" applyAlignment="1" applyProtection="1">
      <alignment horizontal="center"/>
    </xf>
    <xf numFmtId="0" fontId="28" fillId="0" borderId="0" xfId="68" applyFont="1" applyProtection="1"/>
    <xf numFmtId="0" fontId="28" fillId="0" borderId="0" xfId="75" applyFont="1" applyFill="1" applyBorder="1" applyAlignment="1" applyProtection="1">
      <alignment horizontal="center" vertical="center"/>
    </xf>
    <xf numFmtId="0" fontId="28" fillId="0" borderId="21" xfId="75" applyFont="1" applyFill="1" applyBorder="1" applyAlignment="1" applyProtection="1">
      <alignment horizontal="left" vertical="center"/>
    </xf>
    <xf numFmtId="0" fontId="48" fillId="0" borderId="21" xfId="75" applyFont="1" applyFill="1" applyBorder="1" applyAlignment="1" applyProtection="1">
      <alignment horizontal="center" vertical="center"/>
    </xf>
    <xf numFmtId="0" fontId="48" fillId="0" borderId="24" xfId="75" applyFont="1" applyFill="1" applyBorder="1" applyAlignment="1" applyProtection="1">
      <alignment horizontal="center" vertical="center"/>
    </xf>
    <xf numFmtId="0" fontId="48" fillId="0" borderId="22" xfId="75" applyFont="1" applyFill="1" applyBorder="1" applyAlignment="1" applyProtection="1">
      <alignment horizontal="center" vertical="center"/>
    </xf>
    <xf numFmtId="0" fontId="48" fillId="0" borderId="78" xfId="75" applyFont="1" applyFill="1" applyBorder="1" applyAlignment="1" applyProtection="1">
      <alignment horizontal="center" vertical="center"/>
    </xf>
    <xf numFmtId="0" fontId="48" fillId="0" borderId="21" xfId="75" applyFont="1" applyFill="1" applyBorder="1" applyAlignment="1" applyProtection="1">
      <alignment horizontal="left" vertical="center"/>
    </xf>
    <xf numFmtId="1" fontId="28" fillId="0" borderId="24" xfId="68" applyNumberFormat="1" applyFont="1" applyFill="1" applyBorder="1" applyAlignment="1" applyProtection="1">
      <alignment horizontal="center"/>
    </xf>
    <xf numFmtId="0" fontId="28" fillId="0" borderId="29" xfId="75" applyFont="1" applyFill="1" applyBorder="1" applyAlignment="1" applyProtection="1">
      <alignment horizontal="left" vertical="center" indent="1"/>
    </xf>
    <xf numFmtId="0" fontId="0" fillId="0" borderId="29" xfId="0" applyBorder="1" applyAlignment="1">
      <alignment horizontal="center"/>
    </xf>
    <xf numFmtId="0" fontId="28" fillId="9" borderId="46" xfId="75" applyFont="1" applyFill="1" applyBorder="1" applyAlignment="1" applyProtection="1">
      <alignment horizontal="center" vertical="center"/>
    </xf>
    <xf numFmtId="0" fontId="28" fillId="9" borderId="47" xfId="75" applyFont="1" applyFill="1" applyBorder="1" applyAlignment="1" applyProtection="1">
      <alignment horizontal="center" vertical="center"/>
    </xf>
    <xf numFmtId="0" fontId="49" fillId="21" borderId="47" xfId="75" applyFont="1" applyFill="1" applyBorder="1" applyAlignment="1" applyProtection="1">
      <alignment horizontal="center" vertical="center"/>
      <protection locked="0"/>
    </xf>
    <xf numFmtId="172" fontId="49" fillId="0" borderId="33" xfId="68" applyNumberFormat="1" applyFont="1" applyFill="1" applyBorder="1" applyProtection="1"/>
    <xf numFmtId="1" fontId="48" fillId="0" borderId="30" xfId="68" applyNumberFormat="1" applyFont="1" applyBorder="1" applyProtection="1"/>
    <xf numFmtId="1" fontId="48" fillId="0" borderId="31" xfId="68" applyNumberFormat="1" applyFont="1" applyBorder="1" applyProtection="1"/>
    <xf numFmtId="0" fontId="48" fillId="0" borderId="24" xfId="75" applyFont="1" applyFill="1" applyBorder="1" applyAlignment="1" applyProtection="1">
      <alignment horizontal="left" vertical="center"/>
    </xf>
    <xf numFmtId="0" fontId="28" fillId="0" borderId="27" xfId="75" applyFont="1" applyFill="1" applyBorder="1" applyAlignment="1" applyProtection="1">
      <alignment horizontal="center" vertical="center"/>
    </xf>
    <xf numFmtId="0" fontId="0" fillId="0" borderId="29" xfId="0" applyBorder="1" applyAlignment="1"/>
    <xf numFmtId="0" fontId="29" fillId="0" borderId="27" xfId="0" applyFont="1" applyFill="1" applyBorder="1" applyAlignment="1" applyProtection="1"/>
    <xf numFmtId="0" fontId="0" fillId="0" borderId="29" xfId="0" applyBorder="1" applyAlignment="1">
      <alignment horizontal="left" indent="1"/>
    </xf>
    <xf numFmtId="0" fontId="29" fillId="0" borderId="27" xfId="0" applyFont="1" applyFill="1" applyBorder="1" applyAlignment="1" applyProtection="1">
      <alignment horizontal="right"/>
    </xf>
    <xf numFmtId="172" fontId="30" fillId="28" borderId="84" xfId="0" applyNumberFormat="1" applyFont="1" applyFill="1" applyBorder="1" applyAlignment="1" applyProtection="1">
      <alignment horizontal="right"/>
    </xf>
    <xf numFmtId="172" fontId="30" fillId="28" borderId="81" xfId="0" applyNumberFormat="1" applyFont="1" applyFill="1" applyBorder="1" applyAlignment="1" applyProtection="1">
      <alignment horizontal="right"/>
    </xf>
    <xf numFmtId="0" fontId="0" fillId="0" borderId="27" xfId="0" applyBorder="1" applyAlignment="1"/>
    <xf numFmtId="0" fontId="0" fillId="0" borderId="0" xfId="0" applyBorder="1" applyAlignment="1"/>
    <xf numFmtId="164" fontId="28" fillId="0" borderId="47" xfId="75" applyNumberFormat="1" applyFont="1" applyFill="1" applyBorder="1" applyAlignment="1" applyProtection="1">
      <alignment horizontal="right" vertical="center"/>
    </xf>
    <xf numFmtId="0" fontId="0" fillId="0" borderId="47" xfId="0" applyBorder="1" applyAlignment="1"/>
    <xf numFmtId="0" fontId="26" fillId="0" borderId="29" xfId="0" applyFont="1" applyBorder="1" applyAlignment="1">
      <alignment horizontal="right"/>
    </xf>
    <xf numFmtId="0" fontId="0" fillId="0" borderId="46" xfId="0" applyBorder="1" applyAlignment="1"/>
    <xf numFmtId="1" fontId="29" fillId="0" borderId="27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1" fontId="29" fillId="0" borderId="25" xfId="68" quotePrefix="1" applyNumberFormat="1" applyFont="1" applyBorder="1" applyAlignment="1" applyProtection="1">
      <alignment horizontal="center" vertical="center"/>
    </xf>
    <xf numFmtId="1" fontId="29" fillId="0" borderId="25" xfId="68" applyNumberFormat="1" applyFont="1" applyBorder="1" applyAlignment="1" applyProtection="1">
      <alignment horizontal="center" vertical="center"/>
    </xf>
    <xf numFmtId="1" fontId="29" fillId="0" borderId="26" xfId="68" applyNumberFormat="1" applyFont="1" applyBorder="1" applyAlignment="1" applyProtection="1">
      <alignment horizontal="center" vertical="center"/>
    </xf>
    <xf numFmtId="1" fontId="29" fillId="0" borderId="0" xfId="68" applyNumberFormat="1" applyFont="1" applyBorder="1" applyAlignment="1" applyProtection="1">
      <alignment horizontal="center" vertical="center" wrapText="1"/>
    </xf>
    <xf numFmtId="1" fontId="29" fillId="0" borderId="21" xfId="68" applyNumberFormat="1" applyFont="1" applyBorder="1" applyAlignment="1" applyProtection="1">
      <alignment horizontal="center" vertical="center" wrapText="1"/>
    </xf>
    <xf numFmtId="1" fontId="29" fillId="0" borderId="22" xfId="68" applyNumberFormat="1" applyFont="1" applyBorder="1" applyAlignment="1" applyProtection="1">
      <alignment horizontal="center" vertical="center" wrapText="1"/>
    </xf>
    <xf numFmtId="1" fontId="29" fillId="0" borderId="23" xfId="68" applyNumberFormat="1" applyFont="1" applyBorder="1" applyAlignment="1" applyProtection="1">
      <alignment horizontal="center" vertical="center" wrapText="1"/>
    </xf>
    <xf numFmtId="1" fontId="29" fillId="0" borderId="30" xfId="68" applyNumberFormat="1" applyFont="1" applyBorder="1" applyAlignment="1" applyProtection="1">
      <alignment horizontal="center" vertical="center" wrapText="1"/>
    </xf>
    <xf numFmtId="1" fontId="29" fillId="0" borderId="31" xfId="68" applyNumberFormat="1" applyFont="1" applyBorder="1" applyAlignment="1" applyProtection="1">
      <alignment horizontal="center" vertical="center" wrapText="1"/>
    </xf>
    <xf numFmtId="1" fontId="29" fillId="0" borderId="32" xfId="68" applyNumberFormat="1" applyFont="1" applyBorder="1" applyAlignment="1" applyProtection="1">
      <alignment horizontal="center" vertical="center" wrapText="1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9" xfId="68" applyNumberFormat="1" applyFont="1" applyBorder="1" applyAlignment="1" applyProtection="1">
      <alignment horizontal="center" vertical="center" wrapText="1"/>
    </xf>
    <xf numFmtId="1" fontId="29" fillId="0" borderId="33" xfId="68" applyNumberFormat="1" applyFont="1" applyBorder="1" applyAlignment="1" applyProtection="1">
      <alignment horizontal="center" vertical="center" wrapText="1"/>
    </xf>
    <xf numFmtId="0" fontId="32" fillId="0" borderId="41" xfId="69" applyFont="1" applyBorder="1" applyAlignment="1" applyProtection="1">
      <alignment horizontal="center" vertical="center"/>
    </xf>
    <xf numFmtId="0" fontId="32" fillId="0" borderId="58" xfId="69" applyFont="1" applyBorder="1" applyAlignment="1" applyProtection="1">
      <alignment horizontal="center" vertical="center"/>
    </xf>
    <xf numFmtId="0" fontId="32" fillId="0" borderId="51" xfId="69" applyFont="1" applyBorder="1" applyAlignment="1" applyProtection="1">
      <alignment horizontal="center" vertical="center"/>
    </xf>
    <xf numFmtId="0" fontId="32" fillId="0" borderId="59" xfId="69" applyFont="1" applyBorder="1" applyAlignment="1" applyProtection="1">
      <alignment horizontal="center" vertical="center"/>
    </xf>
    <xf numFmtId="0" fontId="32" fillId="0" borderId="41" xfId="69" applyFont="1" applyBorder="1" applyAlignment="1" applyProtection="1">
      <alignment horizontal="center" vertical="center" wrapText="1"/>
    </xf>
    <xf numFmtId="0" fontId="32" fillId="0" borderId="58" xfId="69" applyFont="1" applyBorder="1" applyAlignment="1" applyProtection="1">
      <alignment horizontal="center" vertical="center" wrapText="1"/>
    </xf>
    <xf numFmtId="0" fontId="25" fillId="0" borderId="41" xfId="69" applyFont="1" applyBorder="1" applyAlignment="1" applyProtection="1">
      <alignment horizontal="center" vertical="center"/>
    </xf>
    <xf numFmtId="0" fontId="25" fillId="0" borderId="58" xfId="69" applyFont="1" applyBorder="1" applyAlignment="1" applyProtection="1">
      <alignment horizontal="center" vertical="center"/>
    </xf>
    <xf numFmtId="0" fontId="26" fillId="0" borderId="41" xfId="72" applyFont="1" applyBorder="1" applyAlignment="1" applyProtection="1">
      <alignment horizontal="center"/>
    </xf>
    <xf numFmtId="0" fontId="26" fillId="0" borderId="58" xfId="72" applyFont="1" applyBorder="1" applyAlignment="1" applyProtection="1">
      <alignment horizontal="center"/>
    </xf>
    <xf numFmtId="0" fontId="26" fillId="0" borderId="51" xfId="72" applyFont="1" applyBorder="1" applyAlignment="1" applyProtection="1">
      <alignment horizontal="center" vertical="center"/>
    </xf>
    <xf numFmtId="0" fontId="26" fillId="0" borderId="59" xfId="72" applyFont="1" applyBorder="1" applyAlignment="1" applyProtection="1">
      <alignment horizontal="center" vertical="center"/>
    </xf>
    <xf numFmtId="0" fontId="2" fillId="0" borderId="41" xfId="72" applyFill="1" applyBorder="1" applyAlignment="1" applyProtection="1">
      <alignment horizontal="center"/>
    </xf>
    <xf numFmtId="0" fontId="2" fillId="0" borderId="58" xfId="72" applyFill="1" applyBorder="1" applyAlignment="1" applyProtection="1">
      <alignment horizontal="center"/>
    </xf>
    <xf numFmtId="0" fontId="26" fillId="0" borderId="77" xfId="69" applyFont="1" applyFill="1" applyBorder="1" applyAlignment="1" applyProtection="1">
      <alignment horizontal="center" vertical="center"/>
    </xf>
    <xf numFmtId="0" fontId="26" fillId="0" borderId="25" xfId="69" applyFont="1" applyFill="1" applyBorder="1" applyAlignment="1" applyProtection="1">
      <alignment horizontal="center" vertical="center"/>
    </xf>
    <xf numFmtId="0" fontId="26" fillId="0" borderId="26" xfId="69" applyFont="1" applyFill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center" vertical="center" wrapText="1"/>
    </xf>
    <xf numFmtId="0" fontId="26" fillId="0" borderId="75" xfId="69" applyFont="1" applyBorder="1" applyAlignment="1" applyProtection="1">
      <alignment horizontal="center" vertical="center" wrapText="1"/>
    </xf>
    <xf numFmtId="0" fontId="26" fillId="0" borderId="64" xfId="69" applyFont="1" applyBorder="1" applyAlignment="1" applyProtection="1">
      <alignment horizontal="center" vertical="center" wrapText="1"/>
    </xf>
    <xf numFmtId="0" fontId="26" fillId="0" borderId="19" xfId="69" applyFont="1" applyBorder="1" applyAlignment="1" applyProtection="1">
      <alignment horizontal="center" vertical="center" wrapText="1"/>
    </xf>
    <xf numFmtId="0" fontId="26" fillId="0" borderId="52" xfId="69" applyFont="1" applyBorder="1" applyAlignment="1" applyProtection="1">
      <alignment horizontal="center" vertical="center"/>
    </xf>
    <xf numFmtId="0" fontId="26" fillId="0" borderId="54" xfId="69" applyFont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left" vertical="center" wrapText="1"/>
    </xf>
    <xf numFmtId="0" fontId="26" fillId="0" borderId="75" xfId="69" applyFont="1" applyBorder="1" applyAlignment="1" applyProtection="1">
      <alignment horizontal="left" vertical="center" wrapText="1"/>
    </xf>
    <xf numFmtId="0" fontId="26" fillId="0" borderId="24" xfId="75" applyFont="1" applyFill="1" applyBorder="1" applyAlignment="1" applyProtection="1">
      <alignment horizontal="left" vertical="center" wrapText="1"/>
    </xf>
    <xf numFmtId="0" fontId="26" fillId="0" borderId="75" xfId="75" applyFont="1" applyFill="1" applyBorder="1" applyAlignment="1" applyProtection="1">
      <alignment horizontal="left" vertical="center" wrapText="1"/>
    </xf>
    <xf numFmtId="0" fontId="26" fillId="0" borderId="21" xfId="69" applyFont="1" applyBorder="1" applyAlignment="1" applyProtection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66" xfId="76" applyFont="1" applyBorder="1" applyAlignment="1" applyProtection="1">
      <alignment horizontal="left" vertical="center"/>
    </xf>
    <xf numFmtId="0" fontId="2" fillId="0" borderId="67" xfId="76" applyFont="1" applyBorder="1" applyAlignment="1" applyProtection="1">
      <alignment horizontal="left" vertical="center"/>
    </xf>
    <xf numFmtId="0" fontId="2" fillId="0" borderId="79" xfId="76" applyFont="1" applyBorder="1" applyAlignment="1" applyProtection="1">
      <alignment horizontal="left" vertical="center"/>
    </xf>
    <xf numFmtId="0" fontId="2" fillId="0" borderId="72" xfId="76" applyFont="1" applyBorder="1" applyAlignment="1" applyProtection="1">
      <alignment horizontal="left" vertical="center"/>
    </xf>
    <xf numFmtId="0" fontId="26" fillId="0" borderId="24" xfId="69" applyFont="1" applyBorder="1" applyAlignment="1" applyProtection="1">
      <alignment horizontal="left" vertical="center"/>
    </xf>
    <xf numFmtId="0" fontId="26" fillId="0" borderId="29" xfId="69" applyFont="1" applyBorder="1" applyAlignment="1" applyProtection="1">
      <alignment horizontal="left" vertical="center"/>
    </xf>
    <xf numFmtId="0" fontId="26" fillId="0" borderId="75" xfId="69" applyFont="1" applyBorder="1" applyAlignment="1" applyProtection="1">
      <alignment horizontal="left" vertical="center"/>
    </xf>
    <xf numFmtId="0" fontId="2" fillId="0" borderId="21" xfId="76" applyFont="1" applyBorder="1" applyAlignment="1" applyProtection="1">
      <alignment horizontal="center" vertical="center"/>
    </xf>
    <xf numFmtId="0" fontId="2" fillId="0" borderId="23" xfId="76" applyFont="1" applyBorder="1" applyAlignment="1" applyProtection="1">
      <alignment horizontal="center" vertical="center"/>
    </xf>
    <xf numFmtId="0" fontId="2" fillId="0" borderId="64" xfId="76" applyFont="1" applyBorder="1" applyAlignment="1" applyProtection="1">
      <alignment horizontal="center" vertical="center"/>
    </xf>
    <xf numFmtId="0" fontId="2" fillId="0" borderId="65" xfId="76" applyFont="1" applyBorder="1" applyAlignment="1" applyProtection="1">
      <alignment horizontal="center" vertical="center"/>
    </xf>
    <xf numFmtId="0" fontId="2" fillId="0" borderId="27" xfId="76" applyFont="1" applyBorder="1" applyAlignment="1" applyProtection="1">
      <alignment horizontal="left" vertical="center" wrapText="1"/>
    </xf>
    <xf numFmtId="0" fontId="2" fillId="0" borderId="28" xfId="76" applyFont="1" applyBorder="1" applyAlignment="1" applyProtection="1">
      <alignment horizontal="left" vertical="center" wrapText="1"/>
    </xf>
    <xf numFmtId="0" fontId="2" fillId="0" borderId="30" xfId="76" applyFont="1" applyBorder="1" applyAlignment="1" applyProtection="1">
      <alignment horizontal="left" vertical="center" wrapText="1"/>
    </xf>
    <xf numFmtId="0" fontId="2" fillId="0" borderId="32" xfId="76" applyFont="1" applyBorder="1" applyAlignment="1" applyProtection="1">
      <alignment horizontal="left" vertical="center" wrapText="1"/>
    </xf>
    <xf numFmtId="0" fontId="2" fillId="0" borderId="21" xfId="76" applyFont="1" applyBorder="1" applyAlignment="1" applyProtection="1">
      <alignment horizontal="left" vertical="center"/>
    </xf>
    <xf numFmtId="0" fontId="2" fillId="0" borderId="23" xfId="76" applyFont="1" applyBorder="1" applyAlignment="1" applyProtection="1">
      <alignment horizontal="left" vertical="center"/>
    </xf>
    <xf numFmtId="0" fontId="2" fillId="0" borderId="64" xfId="76" applyFont="1" applyBorder="1" applyAlignment="1" applyProtection="1">
      <alignment horizontal="left" vertical="center"/>
    </xf>
    <xf numFmtId="0" fontId="2" fillId="0" borderId="65" xfId="76" applyFont="1" applyBorder="1" applyAlignment="1" applyProtection="1">
      <alignment horizontal="left" vertical="center"/>
    </xf>
    <xf numFmtId="0" fontId="26" fillId="0" borderId="68" xfId="75" applyFont="1" applyFill="1" applyBorder="1" applyAlignment="1" applyProtection="1">
      <alignment horizontal="left" vertical="center"/>
    </xf>
    <xf numFmtId="0" fontId="26" fillId="0" borderId="44" xfId="75" applyFont="1" applyFill="1" applyBorder="1" applyAlignment="1" applyProtection="1">
      <alignment horizontal="left" vertical="center"/>
    </xf>
    <xf numFmtId="0" fontId="26" fillId="0" borderId="21" xfId="79" applyFont="1" applyFill="1" applyBorder="1" applyAlignment="1" applyProtection="1">
      <alignment horizontal="left" vertical="center"/>
    </xf>
    <xf numFmtId="0" fontId="26" fillId="0" borderId="23" xfId="79" applyFont="1" applyFill="1" applyBorder="1" applyAlignment="1" applyProtection="1">
      <alignment horizontal="left" vertical="center"/>
    </xf>
    <xf numFmtId="0" fontId="26" fillId="0" borderId="27" xfId="79" applyFont="1" applyFill="1" applyBorder="1" applyAlignment="1" applyProtection="1">
      <alignment horizontal="left" vertical="center"/>
    </xf>
    <xf numFmtId="0" fontId="26" fillId="0" borderId="28" xfId="79" applyFont="1" applyFill="1" applyBorder="1" applyAlignment="1" applyProtection="1">
      <alignment horizontal="left" vertical="center"/>
    </xf>
    <xf numFmtId="0" fontId="26" fillId="0" borderId="64" xfId="79" applyFont="1" applyFill="1" applyBorder="1" applyAlignment="1" applyProtection="1">
      <alignment horizontal="left" vertical="center"/>
    </xf>
    <xf numFmtId="0" fontId="26" fillId="0" borderId="65" xfId="79" applyFont="1" applyFill="1" applyBorder="1" applyAlignment="1" applyProtection="1">
      <alignment horizontal="left" vertical="center"/>
    </xf>
    <xf numFmtId="0" fontId="43" fillId="0" borderId="44" xfId="0" applyFont="1" applyBorder="1" applyAlignment="1" applyProtection="1">
      <alignment horizontal="left" vertical="center"/>
    </xf>
    <xf numFmtId="0" fontId="43" fillId="0" borderId="58" xfId="0" applyFont="1" applyBorder="1" applyAlignment="1" applyProtection="1">
      <alignment horizontal="left" vertical="center"/>
    </xf>
    <xf numFmtId="0" fontId="26" fillId="0" borderId="46" xfId="79" applyFont="1" applyBorder="1" applyAlignment="1" applyProtection="1">
      <alignment horizontal="left" vertical="center" wrapText="1"/>
    </xf>
    <xf numFmtId="0" fontId="26" fillId="0" borderId="46" xfId="79" applyFont="1" applyBorder="1" applyAlignment="1" applyProtection="1">
      <alignment horizontal="left" vertical="center"/>
    </xf>
    <xf numFmtId="0" fontId="26" fillId="0" borderId="79" xfId="79" applyFont="1" applyBorder="1" applyAlignment="1" applyProtection="1">
      <alignment horizontal="left" vertical="center"/>
    </xf>
    <xf numFmtId="0" fontId="0" fillId="0" borderId="72" xfId="0" applyBorder="1" applyAlignment="1">
      <alignment horizontal="left" vertical="center"/>
    </xf>
    <xf numFmtId="0" fontId="26" fillId="0" borderId="68" xfId="79" applyFont="1" applyBorder="1" applyAlignment="1" applyProtection="1">
      <alignment horizontal="left" vertical="center"/>
    </xf>
    <xf numFmtId="0" fontId="26" fillId="0" borderId="77" xfId="79" applyFont="1" applyBorder="1" applyAlignment="1" applyProtection="1">
      <alignment horizontal="left" vertical="center"/>
    </xf>
    <xf numFmtId="0" fontId="26" fillId="0" borderId="26" xfId="79" applyFont="1" applyBorder="1" applyAlignment="1" applyProtection="1">
      <alignment horizontal="left" vertical="center"/>
    </xf>
    <xf numFmtId="0" fontId="26" fillId="0" borderId="58" xfId="79" applyFont="1" applyBorder="1" applyAlignment="1" applyProtection="1">
      <alignment horizontal="left" vertical="center" wrapText="1"/>
    </xf>
    <xf numFmtId="0" fontId="26" fillId="0" borderId="52" xfId="82" applyFont="1" applyBorder="1" applyAlignment="1" applyProtection="1">
      <alignment horizontal="center" vertical="center"/>
    </xf>
    <xf numFmtId="0" fontId="26" fillId="0" borderId="53" xfId="82" applyFont="1" applyBorder="1" applyAlignment="1" applyProtection="1">
      <alignment horizontal="center" vertical="center"/>
    </xf>
    <xf numFmtId="0" fontId="26" fillId="0" borderId="54" xfId="82" applyFont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horizontal="center" vertical="center"/>
    </xf>
    <xf numFmtId="0" fontId="2" fillId="0" borderId="75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horizontal="center" vertical="center" wrapText="1"/>
    </xf>
    <xf numFmtId="0" fontId="26" fillId="0" borderId="58" xfId="82" applyFont="1" applyBorder="1" applyAlignment="1" applyProtection="1">
      <alignment horizontal="center" vertical="center"/>
    </xf>
    <xf numFmtId="0" fontId="26" fillId="0" borderId="44" xfId="82" applyFont="1" applyBorder="1" applyAlignment="1" applyProtection="1">
      <alignment horizontal="center" vertical="center" wrapText="1"/>
    </xf>
    <xf numFmtId="0" fontId="26" fillId="0" borderId="17" xfId="82" applyFont="1" applyBorder="1" applyAlignment="1" applyProtection="1">
      <alignment horizontal="center" vertical="center" wrapText="1"/>
    </xf>
    <xf numFmtId="0" fontId="26" fillId="0" borderId="20" xfId="82" applyFont="1" applyBorder="1" applyAlignment="1" applyProtection="1">
      <alignment horizontal="center" vertical="center"/>
    </xf>
    <xf numFmtId="0" fontId="26" fillId="0" borderId="18" xfId="82" applyFont="1" applyBorder="1" applyAlignment="1" applyProtection="1">
      <alignment horizontal="center" vertical="center"/>
    </xf>
    <xf numFmtId="0" fontId="26" fillId="0" borderId="19" xfId="82" applyFont="1" applyBorder="1" applyAlignment="1" applyProtection="1">
      <alignment horizontal="center" vertical="center"/>
    </xf>
    <xf numFmtId="0" fontId="26" fillId="0" borderId="65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vertical="center" wrapText="1"/>
    </xf>
    <xf numFmtId="0" fontId="26" fillId="0" borderId="58" xfId="82" applyFont="1" applyBorder="1" applyAlignment="1" applyProtection="1">
      <alignment vertical="center"/>
    </xf>
    <xf numFmtId="0" fontId="26" fillId="0" borderId="44" xfId="82" applyFont="1" applyBorder="1" applyAlignment="1" applyProtection="1">
      <alignment vertical="center" wrapText="1"/>
    </xf>
    <xf numFmtId="0" fontId="26" fillId="0" borderId="10" xfId="82" applyFont="1" applyBorder="1" applyAlignment="1" applyProtection="1">
      <alignment horizontal="center" vertical="center"/>
    </xf>
    <xf numFmtId="0" fontId="26" fillId="0" borderId="11" xfId="82" applyFont="1" applyBorder="1" applyAlignment="1" applyProtection="1">
      <alignment horizontal="center" vertical="center"/>
    </xf>
    <xf numFmtId="0" fontId="26" fillId="0" borderId="40" xfId="82" applyFont="1" applyBorder="1" applyAlignment="1" applyProtection="1">
      <alignment horizontal="center" vertical="center"/>
    </xf>
    <xf numFmtId="0" fontId="26" fillId="0" borderId="15" xfId="82" applyFont="1" applyBorder="1" applyAlignment="1" applyProtection="1">
      <alignment horizontal="center" vertical="center" wrapText="1"/>
    </xf>
    <xf numFmtId="0" fontId="26" fillId="0" borderId="58" xfId="82" applyFont="1" applyBorder="1" applyAlignment="1" applyProtection="1">
      <alignment horizontal="center" vertical="center" wrapText="1"/>
    </xf>
    <xf numFmtId="0" fontId="2" fillId="0" borderId="21" xfId="82" applyFont="1" applyBorder="1" applyAlignment="1" applyProtection="1">
      <alignment horizontal="center" vertical="center"/>
    </xf>
    <xf numFmtId="0" fontId="2" fillId="0" borderId="23" xfId="82" applyFont="1" applyBorder="1" applyAlignment="1" applyProtection="1">
      <alignment horizontal="center" vertical="center"/>
    </xf>
    <xf numFmtId="0" fontId="2" fillId="0" borderId="64" xfId="82" applyFont="1" applyBorder="1" applyAlignment="1" applyProtection="1">
      <alignment horizontal="center" vertical="center"/>
    </xf>
    <xf numFmtId="0" fontId="2" fillId="0" borderId="65" xfId="82" applyFont="1" applyBorder="1" applyAlignment="1" applyProtection="1">
      <alignment horizontal="center" vertical="center"/>
    </xf>
    <xf numFmtId="1" fontId="26" fillId="0" borderId="21" xfId="68" applyNumberFormat="1" applyFont="1" applyBorder="1" applyAlignment="1" applyProtection="1">
      <alignment horizontal="center" vertical="center" wrapText="1"/>
    </xf>
    <xf numFmtId="1" fontId="26" fillId="0" borderId="22" xfId="68" applyNumberFormat="1" applyFont="1" applyBorder="1" applyAlignment="1" applyProtection="1">
      <alignment horizontal="center" vertical="center" wrapText="1"/>
    </xf>
    <xf numFmtId="1" fontId="26" fillId="0" borderId="86" xfId="68" applyNumberFormat="1" applyFont="1" applyBorder="1" applyAlignment="1" applyProtection="1">
      <alignment horizontal="center" vertical="center" wrapText="1"/>
    </xf>
    <xf numFmtId="1" fontId="26" fillId="0" borderId="27" xfId="68" applyNumberFormat="1" applyFont="1" applyBorder="1" applyAlignment="1" applyProtection="1">
      <alignment horizontal="center" vertical="center" wrapText="1"/>
    </xf>
    <xf numFmtId="1" fontId="26" fillId="0" borderId="0" xfId="68" applyNumberFormat="1" applyFont="1" applyBorder="1" applyAlignment="1" applyProtection="1">
      <alignment horizontal="center" vertical="center" wrapText="1"/>
    </xf>
    <xf numFmtId="1" fontId="26" fillId="0" borderId="17" xfId="68" applyNumberFormat="1" applyFont="1" applyBorder="1" applyAlignment="1" applyProtection="1">
      <alignment horizontal="center" vertical="center" wrapText="1"/>
    </xf>
    <xf numFmtId="1" fontId="26" fillId="0" borderId="30" xfId="68" applyNumberFormat="1" applyFont="1" applyBorder="1" applyAlignment="1" applyProtection="1">
      <alignment horizontal="center" vertical="center" wrapText="1"/>
    </xf>
    <xf numFmtId="1" fontId="26" fillId="0" borderId="31" xfId="68" applyNumberFormat="1" applyFont="1" applyBorder="1" applyAlignment="1" applyProtection="1">
      <alignment horizontal="center" vertical="center" wrapText="1"/>
    </xf>
    <xf numFmtId="1" fontId="26" fillId="0" borderId="74" xfId="68" applyNumberFormat="1" applyFont="1" applyBorder="1" applyAlignment="1" applyProtection="1">
      <alignment horizontal="center" vertical="center" wrapText="1"/>
    </xf>
    <xf numFmtId="1" fontId="26" fillId="0" borderId="51" xfId="68" applyNumberFormat="1" applyFont="1" applyBorder="1" applyAlignment="1" applyProtection="1">
      <alignment horizontal="center" vertical="center" wrapText="1"/>
    </xf>
    <xf numFmtId="1" fontId="26" fillId="0" borderId="62" xfId="68" applyNumberFormat="1" applyFont="1" applyBorder="1" applyAlignment="1" applyProtection="1">
      <alignment horizontal="center" vertical="center" wrapText="1"/>
    </xf>
    <xf numFmtId="1" fontId="26" fillId="0" borderId="63" xfId="68" applyNumberFormat="1" applyFont="1" applyBorder="1" applyAlignment="1" applyProtection="1">
      <alignment horizontal="center" vertical="center" wrapText="1"/>
    </xf>
    <xf numFmtId="1" fontId="26" fillId="0" borderId="52" xfId="68" applyNumberFormat="1" applyFont="1" applyBorder="1" applyAlignment="1" applyProtection="1">
      <alignment horizontal="center" vertical="center" wrapText="1"/>
    </xf>
    <xf numFmtId="1" fontId="26" fillId="0" borderId="54" xfId="68" applyNumberFormat="1" applyFont="1" applyBorder="1" applyAlignment="1" applyProtection="1">
      <alignment horizontal="center" vertical="center" wrapText="1"/>
    </xf>
    <xf numFmtId="0" fontId="20" fillId="0" borderId="10" xfId="0" quotePrefix="1" applyFont="1" applyBorder="1" applyAlignment="1">
      <alignment horizontal="center"/>
    </xf>
    <xf numFmtId="0" fontId="20" fillId="0" borderId="11" xfId="0" quotePrefix="1" applyFont="1" applyBorder="1" applyAlignment="1">
      <alignment horizontal="center"/>
    </xf>
    <xf numFmtId="0" fontId="20" fillId="0" borderId="12" xfId="0" quotePrefix="1" applyFont="1" applyBorder="1" applyAlignment="1">
      <alignment horizontal="center"/>
    </xf>
    <xf numFmtId="0" fontId="22" fillId="0" borderId="10" xfId="0" quotePrefix="1" applyFont="1" applyBorder="1" applyAlignment="1">
      <alignment horizontal="center"/>
    </xf>
    <xf numFmtId="0" fontId="22" fillId="0" borderId="11" xfId="0" quotePrefix="1" applyFont="1" applyBorder="1" applyAlignment="1">
      <alignment horizontal="center"/>
    </xf>
    <xf numFmtId="0" fontId="22" fillId="0" borderId="12" xfId="0" quotePrefix="1" applyFont="1" applyBorder="1" applyAlignment="1">
      <alignment horizontal="center"/>
    </xf>
    <xf numFmtId="0" fontId="30" fillId="0" borderId="0" xfId="0" applyFont="1" applyBorder="1" applyAlignment="1" applyProtection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13" xfId="86" applyFont="1" applyBorder="1" applyAlignment="1">
      <alignment horizontal="center" textRotation="90" wrapText="1"/>
    </xf>
    <xf numFmtId="0" fontId="30" fillId="0" borderId="16" xfId="86" applyFont="1" applyBorder="1" applyAlignment="1">
      <alignment horizontal="center" textRotation="90" wrapText="1"/>
    </xf>
    <xf numFmtId="0" fontId="30" fillId="0" borderId="18" xfId="86" applyFont="1" applyBorder="1" applyAlignment="1">
      <alignment horizontal="center" textRotation="90" wrapText="1"/>
    </xf>
    <xf numFmtId="0" fontId="29" fillId="0" borderId="24" xfId="86" applyFont="1" applyBorder="1" applyAlignment="1">
      <alignment horizontal="center" vertical="center" textRotation="90" wrapText="1"/>
    </xf>
    <xf numFmtId="0" fontId="29" fillId="0" borderId="29" xfId="86" applyFont="1" applyBorder="1" applyAlignment="1">
      <alignment horizontal="center" vertical="center" textRotation="90" wrapText="1"/>
    </xf>
    <xf numFmtId="0" fontId="29" fillId="0" borderId="75" xfId="86" applyFont="1" applyBorder="1" applyAlignment="1">
      <alignment horizontal="center" vertical="center" textRotation="90" wrapText="1"/>
    </xf>
    <xf numFmtId="0" fontId="30" fillId="11" borderId="10" xfId="86" applyFont="1" applyFill="1" applyBorder="1" applyAlignment="1">
      <alignment horizontal="center"/>
    </xf>
    <xf numFmtId="0" fontId="30" fillId="11" borderId="11" xfId="86" applyFont="1" applyFill="1" applyBorder="1" applyAlignment="1">
      <alignment horizontal="center"/>
    </xf>
    <xf numFmtId="0" fontId="30" fillId="11" borderId="12" xfId="86" applyFont="1" applyFill="1" applyBorder="1" applyAlignment="1">
      <alignment horizontal="center"/>
    </xf>
    <xf numFmtId="0" fontId="30" fillId="26" borderId="10" xfId="86" applyFont="1" applyFill="1" applyBorder="1" applyAlignment="1">
      <alignment horizontal="center"/>
    </xf>
    <xf numFmtId="0" fontId="30" fillId="26" borderId="11" xfId="86" applyFont="1" applyFill="1" applyBorder="1" applyAlignment="1">
      <alignment horizontal="center"/>
    </xf>
    <xf numFmtId="0" fontId="30" fillId="26" borderId="12" xfId="86" applyFont="1" applyFill="1" applyBorder="1" applyAlignment="1">
      <alignment horizontal="center"/>
    </xf>
    <xf numFmtId="0" fontId="30" fillId="0" borderId="70" xfId="86" applyFont="1" applyBorder="1" applyAlignment="1">
      <alignment horizontal="center" textRotation="90" wrapText="1"/>
    </xf>
    <xf numFmtId="0" fontId="30" fillId="0" borderId="45" xfId="86" applyFont="1" applyBorder="1" applyAlignment="1">
      <alignment horizontal="center" textRotation="90" wrapText="1"/>
    </xf>
    <xf numFmtId="0" fontId="30" fillId="0" borderId="60" xfId="86" applyFont="1" applyBorder="1" applyAlignment="1">
      <alignment horizontal="center" textRotation="90" wrapText="1"/>
    </xf>
    <xf numFmtId="0" fontId="30" fillId="0" borderId="10" xfId="86" applyFont="1" applyBorder="1" applyAlignment="1">
      <alignment horizontal="center"/>
    </xf>
    <xf numFmtId="0" fontId="30" fillId="0" borderId="11" xfId="86" applyFont="1" applyBorder="1" applyAlignment="1">
      <alignment horizontal="center"/>
    </xf>
    <xf numFmtId="0" fontId="30" fillId="0" borderId="12" xfId="86" applyFont="1" applyBorder="1" applyAlignment="1">
      <alignment horizontal="center"/>
    </xf>
    <xf numFmtId="0" fontId="28" fillId="0" borderId="77" xfId="0" applyFont="1" applyBorder="1" applyAlignment="1" applyProtection="1">
      <alignment horizontal="left" vertical="center" wrapText="1" indent="1"/>
    </xf>
    <xf numFmtId="0" fontId="28" fillId="0" borderId="25" xfId="0" applyFont="1" applyBorder="1" applyAlignment="1" applyProtection="1">
      <alignment horizontal="left" vertical="center" wrapText="1" indent="1"/>
    </xf>
    <xf numFmtId="0" fontId="28" fillId="0" borderId="26" xfId="0" applyFont="1" applyBorder="1" applyAlignment="1" applyProtection="1">
      <alignment horizontal="left" vertical="center" wrapText="1" indent="1"/>
    </xf>
    <xf numFmtId="0" fontId="28" fillId="0" borderId="79" xfId="0" applyFont="1" applyBorder="1" applyAlignment="1" applyProtection="1">
      <alignment horizontal="left" vertical="center"/>
    </xf>
    <xf numFmtId="0" fontId="28" fillId="0" borderId="80" xfId="0" applyFont="1" applyBorder="1" applyAlignment="1" applyProtection="1">
      <alignment horizontal="left" vertical="center"/>
    </xf>
    <xf numFmtId="0" fontId="28" fillId="0" borderId="72" xfId="0" applyFont="1" applyBorder="1" applyAlignment="1" applyProtection="1">
      <alignment horizontal="left" vertical="center"/>
    </xf>
    <xf numFmtId="0" fontId="56" fillId="0" borderId="77" xfId="0" applyFont="1" applyBorder="1" applyAlignment="1">
      <alignment horizontal="left" vertical="center"/>
    </xf>
    <xf numFmtId="0" fontId="56" fillId="0" borderId="25" xfId="0" applyFont="1" applyBorder="1" applyAlignment="1">
      <alignment horizontal="left" vertical="center"/>
    </xf>
    <xf numFmtId="0" fontId="56" fillId="0" borderId="26" xfId="0" applyFont="1" applyBorder="1" applyAlignment="1">
      <alignment horizontal="left" vertical="center"/>
    </xf>
    <xf numFmtId="0" fontId="39" fillId="0" borderId="21" xfId="0" applyFont="1" applyBorder="1" applyAlignment="1" applyProtection="1">
      <alignment horizontal="left" vertical="center"/>
    </xf>
    <xf numFmtId="0" fontId="39" fillId="0" borderId="22" xfId="0" applyFont="1" applyBorder="1" applyAlignment="1" applyProtection="1">
      <alignment horizontal="left" vertical="center"/>
    </xf>
    <xf numFmtId="0" fontId="39" fillId="0" borderId="23" xfId="0" applyFont="1" applyBorder="1" applyAlignment="1" applyProtection="1">
      <alignment horizontal="left" vertical="center"/>
    </xf>
    <xf numFmtId="0" fontId="39" fillId="0" borderId="30" xfId="0" applyFont="1" applyBorder="1" applyAlignment="1" applyProtection="1">
      <alignment horizontal="left" vertical="center"/>
    </xf>
    <xf numFmtId="0" fontId="39" fillId="0" borderId="31" xfId="0" applyFont="1" applyBorder="1" applyAlignment="1" applyProtection="1">
      <alignment horizontal="left" vertical="center"/>
    </xf>
    <xf numFmtId="0" fontId="39" fillId="0" borderId="32" xfId="0" applyFont="1" applyBorder="1" applyAlignment="1" applyProtection="1">
      <alignment horizontal="left" vertical="center"/>
    </xf>
    <xf numFmtId="0" fontId="48" fillId="0" borderId="24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77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left" vertical="center" wrapText="1"/>
    </xf>
    <xf numFmtId="0" fontId="48" fillId="0" borderId="26" xfId="0" applyFont="1" applyBorder="1" applyAlignment="1" applyProtection="1">
      <alignment horizontal="left" vertical="center" wrapText="1"/>
    </xf>
    <xf numFmtId="0" fontId="48" fillId="0" borderId="77" xfId="0" applyFont="1" applyBorder="1" applyAlignment="1">
      <alignment horizontal="left" vertical="center"/>
    </xf>
    <xf numFmtId="0" fontId="48" fillId="0" borderId="25" xfId="0" applyFont="1" applyBorder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0" fontId="56" fillId="0" borderId="21" xfId="0" applyFont="1" applyFill="1" applyBorder="1" applyAlignment="1" applyProtection="1">
      <alignment horizontal="center" vertical="center"/>
    </xf>
    <xf numFmtId="0" fontId="56" fillId="0" borderId="22" xfId="0" applyFont="1" applyFill="1" applyBorder="1" applyAlignment="1" applyProtection="1">
      <alignment horizontal="center" vertical="center"/>
    </xf>
    <xf numFmtId="0" fontId="56" fillId="0" borderId="23" xfId="0" applyFont="1" applyFill="1" applyBorder="1" applyAlignment="1" applyProtection="1">
      <alignment horizontal="center" vertical="center"/>
    </xf>
    <xf numFmtId="0" fontId="56" fillId="0" borderId="30" xfId="0" applyFont="1" applyFill="1" applyBorder="1" applyAlignment="1" applyProtection="1">
      <alignment horizontal="center" vertical="center"/>
    </xf>
    <xf numFmtId="0" fontId="56" fillId="0" borderId="31" xfId="0" applyFont="1" applyFill="1" applyBorder="1" applyAlignment="1" applyProtection="1">
      <alignment horizontal="center" vertical="center"/>
    </xf>
    <xf numFmtId="0" fontId="56" fillId="0" borderId="32" xfId="0" applyFont="1" applyFill="1" applyBorder="1" applyAlignment="1" applyProtection="1">
      <alignment horizontal="center" vertical="center"/>
    </xf>
    <xf numFmtId="0" fontId="28" fillId="0" borderId="52" xfId="0" applyFont="1" applyBorder="1" applyAlignment="1" applyProtection="1">
      <alignment horizontal="left" vertical="center"/>
    </xf>
    <xf numFmtId="0" fontId="28" fillId="0" borderId="53" xfId="0" applyFont="1" applyBorder="1" applyAlignment="1" applyProtection="1">
      <alignment horizontal="left" vertical="center"/>
    </xf>
    <xf numFmtId="0" fontId="28" fillId="0" borderId="54" xfId="0" applyFont="1" applyBorder="1" applyAlignment="1" applyProtection="1">
      <alignment horizontal="left" vertical="center"/>
    </xf>
    <xf numFmtId="0" fontId="56" fillId="0" borderId="41" xfId="0" applyFont="1" applyBorder="1" applyAlignment="1">
      <alignment horizontal="center" vertical="center"/>
    </xf>
    <xf numFmtId="0" fontId="56" fillId="0" borderId="44" xfId="0" applyFont="1" applyBorder="1" applyAlignment="1">
      <alignment horizontal="center" vertical="center"/>
    </xf>
    <xf numFmtId="0" fontId="56" fillId="0" borderId="48" xfId="0" applyFont="1" applyBorder="1" applyAlignment="1">
      <alignment horizontal="center" vertical="center"/>
    </xf>
    <xf numFmtId="0" fontId="28" fillId="0" borderId="87" xfId="0" applyFont="1" applyFill="1" applyBorder="1" applyAlignment="1" applyProtection="1">
      <alignment horizontal="left" vertical="center"/>
    </xf>
    <xf numFmtId="0" fontId="28" fillId="0" borderId="54" xfId="0" applyFont="1" applyFill="1" applyBorder="1" applyAlignment="1" applyProtection="1">
      <alignment horizontal="left" vertical="center"/>
    </xf>
    <xf numFmtId="0" fontId="28" fillId="0" borderId="37" xfId="0" applyFont="1" applyFill="1" applyBorder="1" applyAlignment="1" applyProtection="1">
      <alignment horizontal="left" vertical="center"/>
    </xf>
    <xf numFmtId="0" fontId="28" fillId="0" borderId="72" xfId="0" applyFont="1" applyFill="1" applyBorder="1" applyAlignment="1" applyProtection="1">
      <alignment horizontal="left" vertical="center"/>
    </xf>
    <xf numFmtId="0" fontId="56" fillId="0" borderId="68" xfId="0" applyFont="1" applyBorder="1" applyAlignment="1">
      <alignment horizontal="center" vertical="center"/>
    </xf>
    <xf numFmtId="0" fontId="28" fillId="0" borderId="10" xfId="0" applyFont="1" applyFill="1" applyBorder="1" applyAlignment="1" applyProtection="1">
      <alignment horizontal="left" vertical="center" wrapText="1"/>
    </xf>
    <xf numFmtId="0" fontId="28" fillId="0" borderId="40" xfId="0" applyFont="1" applyFill="1" applyBorder="1" applyAlignment="1" applyProtection="1">
      <alignment horizontal="left" vertical="center" wrapText="1"/>
    </xf>
    <xf numFmtId="0" fontId="56" fillId="0" borderId="68" xfId="0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8" fillId="0" borderId="10" xfId="0" applyFont="1" applyFill="1" applyBorder="1" applyAlignment="1" applyProtection="1">
      <alignment horizontal="left" vertical="center"/>
    </xf>
    <xf numFmtId="0" fontId="28" fillId="0" borderId="40" xfId="0" applyFont="1" applyFill="1" applyBorder="1" applyAlignment="1" applyProtection="1">
      <alignment horizontal="left" vertical="center"/>
    </xf>
    <xf numFmtId="175" fontId="49" fillId="21" borderId="73" xfId="0" applyNumberFormat="1" applyFont="1" applyFill="1" applyBorder="1" applyAlignment="1" applyProtection="1">
      <alignment horizontal="right" vertical="center"/>
      <protection locked="0"/>
    </xf>
    <xf numFmtId="175" fontId="49" fillId="21" borderId="29" xfId="0" applyNumberFormat="1" applyFont="1" applyFill="1" applyBorder="1" applyAlignment="1" applyProtection="1">
      <alignment horizontal="right" vertical="center"/>
      <protection locked="0"/>
    </xf>
    <xf numFmtId="175" fontId="49" fillId="21" borderId="75" xfId="0" applyNumberFormat="1" applyFont="1" applyFill="1" applyBorder="1" applyAlignment="1" applyProtection="1">
      <alignment horizontal="right" vertical="center"/>
      <protection locked="0"/>
    </xf>
    <xf numFmtId="175" fontId="28" fillId="28" borderId="73" xfId="0" applyNumberFormat="1" applyFont="1" applyFill="1" applyBorder="1" applyAlignment="1">
      <alignment horizontal="right" vertical="center"/>
    </xf>
    <xf numFmtId="175" fontId="28" fillId="28" borderId="29" xfId="0" applyNumberFormat="1" applyFont="1" applyFill="1" applyBorder="1" applyAlignment="1">
      <alignment horizontal="right" vertical="center"/>
    </xf>
    <xf numFmtId="175" fontId="28" fillId="28" borderId="75" xfId="0" applyNumberFormat="1" applyFont="1" applyFill="1" applyBorder="1" applyAlignment="1">
      <alignment horizontal="right" vertical="center"/>
    </xf>
    <xf numFmtId="0" fontId="56" fillId="0" borderId="41" xfId="0" applyFont="1" applyBorder="1" applyAlignment="1">
      <alignment horizontal="center" vertical="center" wrapText="1"/>
    </xf>
    <xf numFmtId="175" fontId="49" fillId="21" borderId="24" xfId="0" applyNumberFormat="1" applyFont="1" applyFill="1" applyBorder="1" applyAlignment="1" applyProtection="1">
      <alignment horizontal="right" vertical="center"/>
      <protection locked="0"/>
    </xf>
    <xf numFmtId="175" fontId="28" fillId="28" borderId="24" xfId="0" applyNumberFormat="1" applyFont="1" applyFill="1" applyBorder="1" applyAlignment="1">
      <alignment horizontal="right" vertical="center"/>
    </xf>
    <xf numFmtId="0" fontId="48" fillId="27" borderId="77" xfId="0" applyFont="1" applyFill="1" applyBorder="1" applyAlignment="1" applyProtection="1">
      <alignment horizontal="center" vertical="center"/>
    </xf>
    <xf numFmtId="0" fontId="48" fillId="27" borderId="25" xfId="0" applyFont="1" applyFill="1" applyBorder="1" applyAlignment="1" applyProtection="1">
      <alignment horizontal="center" vertical="center"/>
    </xf>
    <xf numFmtId="0" fontId="48" fillId="27" borderId="26" xfId="0" applyFont="1" applyFill="1" applyBorder="1" applyAlignment="1" applyProtection="1">
      <alignment horizontal="center" vertical="center"/>
    </xf>
    <xf numFmtId="0" fontId="29" fillId="26" borderId="77" xfId="0" applyFont="1" applyFill="1" applyBorder="1" applyAlignment="1" applyProtection="1">
      <alignment horizontal="center" vertical="center"/>
    </xf>
    <xf numFmtId="0" fontId="29" fillId="26" borderId="25" xfId="0" applyFont="1" applyFill="1" applyBorder="1" applyAlignment="1" applyProtection="1">
      <alignment horizontal="center" vertical="center"/>
    </xf>
    <xf numFmtId="0" fontId="29" fillId="26" borderId="26" xfId="0" applyFont="1" applyFill="1" applyBorder="1" applyAlignment="1" applyProtection="1">
      <alignment horizontal="center" vertical="center"/>
    </xf>
    <xf numFmtId="0" fontId="29" fillId="11" borderId="77" xfId="0" applyFont="1" applyFill="1" applyBorder="1" applyAlignment="1" applyProtection="1">
      <alignment horizontal="center" vertical="center"/>
    </xf>
    <xf numFmtId="0" fontId="29" fillId="11" borderId="25" xfId="0" applyFont="1" applyFill="1" applyBorder="1" applyAlignment="1" applyProtection="1">
      <alignment horizontal="center" vertical="center"/>
    </xf>
    <xf numFmtId="0" fontId="29" fillId="11" borderId="26" xfId="0" applyFont="1" applyFill="1" applyBorder="1" applyAlignment="1" applyProtection="1">
      <alignment horizontal="center" vertical="center"/>
    </xf>
    <xf numFmtId="0" fontId="48" fillId="0" borderId="21" xfId="0" applyFont="1" applyBorder="1" applyAlignment="1" applyProtection="1">
      <alignment horizontal="center" vertical="center" wrapText="1"/>
    </xf>
    <xf numFmtId="0" fontId="48" fillId="0" borderId="22" xfId="0" applyFont="1" applyBorder="1" applyAlignment="1" applyProtection="1">
      <alignment horizontal="center" vertical="center" wrapText="1"/>
    </xf>
    <xf numFmtId="0" fontId="48" fillId="0" borderId="23" xfId="0" applyFont="1" applyBorder="1" applyAlignment="1" applyProtection="1">
      <alignment horizontal="center" vertical="center" wrapText="1"/>
    </xf>
    <xf numFmtId="0" fontId="48" fillId="0" borderId="30" xfId="0" applyFont="1" applyBorder="1" applyAlignment="1" applyProtection="1">
      <alignment horizontal="center" vertical="center" wrapText="1"/>
    </xf>
    <xf numFmtId="0" fontId="48" fillId="0" borderId="31" xfId="0" applyFont="1" applyBorder="1" applyAlignment="1" applyProtection="1">
      <alignment horizontal="center" vertical="center" wrapText="1"/>
    </xf>
    <xf numFmtId="0" fontId="48" fillId="0" borderId="32" xfId="0" applyFont="1" applyBorder="1" applyAlignment="1" applyProtection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56" fillId="0" borderId="21" xfId="0" applyFont="1" applyBorder="1" applyAlignment="1">
      <alignment horizontal="left" vertical="center" indent="1"/>
    </xf>
    <xf numFmtId="0" fontId="56" fillId="0" borderId="22" xfId="0" applyFont="1" applyBorder="1" applyAlignment="1">
      <alignment horizontal="left" vertical="center" indent="1"/>
    </xf>
    <xf numFmtId="0" fontId="56" fillId="0" borderId="23" xfId="0" applyFont="1" applyBorder="1" applyAlignment="1">
      <alignment horizontal="left" vertical="center" indent="1"/>
    </xf>
    <xf numFmtId="0" fontId="56" fillId="0" borderId="30" xfId="0" applyFont="1" applyBorder="1" applyAlignment="1">
      <alignment horizontal="left" vertical="center" indent="1"/>
    </xf>
    <xf numFmtId="0" fontId="56" fillId="0" borderId="31" xfId="0" applyFont="1" applyBorder="1" applyAlignment="1">
      <alignment horizontal="left" vertical="center" indent="1"/>
    </xf>
    <xf numFmtId="0" fontId="56" fillId="0" borderId="32" xfId="0" applyFont="1" applyBorder="1" applyAlignment="1">
      <alignment horizontal="left" vertical="center" indent="1"/>
    </xf>
    <xf numFmtId="0" fontId="28" fillId="0" borderId="71" xfId="0" applyFont="1" applyBorder="1" applyAlignment="1" applyProtection="1">
      <alignment horizontal="left" indent="1"/>
    </xf>
    <xf numFmtId="0" fontId="0" fillId="0" borderId="40" xfId="0" applyBorder="1" applyAlignment="1">
      <alignment horizontal="left" indent="1"/>
    </xf>
    <xf numFmtId="0" fontId="28" fillId="0" borderId="79" xfId="0" applyFont="1" applyBorder="1" applyAlignment="1" applyProtection="1">
      <alignment horizontal="left" indent="1"/>
    </xf>
    <xf numFmtId="0" fontId="0" fillId="0" borderId="72" xfId="0" applyBorder="1" applyAlignment="1">
      <alignment horizontal="left" indent="1"/>
    </xf>
    <xf numFmtId="0" fontId="48" fillId="0" borderId="77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48" fillId="0" borderId="77" xfId="0" applyFont="1" applyBorder="1" applyAlignment="1" applyProtection="1">
      <alignment horizontal="left"/>
    </xf>
    <xf numFmtId="0" fontId="25" fillId="0" borderId="26" xfId="0" applyFont="1" applyBorder="1" applyAlignment="1">
      <alignment horizontal="left"/>
    </xf>
    <xf numFmtId="0" fontId="56" fillId="0" borderId="21" xfId="0" applyFont="1" applyFill="1" applyBorder="1" applyAlignment="1">
      <alignment horizontal="left" vertical="center"/>
    </xf>
    <xf numFmtId="0" fontId="56" fillId="0" borderId="23" xfId="0" applyFont="1" applyFill="1" applyBorder="1" applyAlignment="1">
      <alignment horizontal="left" vertical="center"/>
    </xf>
    <xf numFmtId="0" fontId="56" fillId="0" borderId="30" xfId="0" applyFont="1" applyFill="1" applyBorder="1" applyAlignment="1">
      <alignment horizontal="left" vertical="center"/>
    </xf>
    <xf numFmtId="0" fontId="56" fillId="0" borderId="32" xfId="0" applyFont="1" applyFill="1" applyBorder="1" applyAlignment="1">
      <alignment horizontal="left" vertical="center"/>
    </xf>
    <xf numFmtId="0" fontId="28" fillId="0" borderId="52" xfId="0" applyFont="1" applyBorder="1" applyAlignment="1" applyProtection="1">
      <alignment horizontal="left" indent="1"/>
    </xf>
    <xf numFmtId="0" fontId="0" fillId="0" borderId="54" xfId="0" applyBorder="1" applyAlignment="1">
      <alignment horizontal="left" indent="1"/>
    </xf>
    <xf numFmtId="0" fontId="25" fillId="0" borderId="40" xfId="0" applyFont="1" applyBorder="1" applyAlignment="1">
      <alignment horizontal="left" indent="1"/>
    </xf>
    <xf numFmtId="0" fontId="25" fillId="0" borderId="72" xfId="0" applyFont="1" applyBorder="1" applyAlignment="1">
      <alignment horizontal="left" indent="1"/>
    </xf>
    <xf numFmtId="0" fontId="28" fillId="0" borderId="77" xfId="0" applyFont="1" applyBorder="1" applyAlignment="1">
      <alignment horizontal="left" indent="1"/>
    </xf>
    <xf numFmtId="0" fontId="25" fillId="0" borderId="26" xfId="0" applyFont="1" applyBorder="1" applyAlignment="1">
      <alignment horizontal="left" indent="1"/>
    </xf>
    <xf numFmtId="0" fontId="48" fillId="0" borderId="41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26" xfId="0" applyFont="1" applyBorder="1" applyAlignment="1">
      <alignment horizontal="left"/>
    </xf>
    <xf numFmtId="0" fontId="40" fillId="0" borderId="77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28" fillId="0" borderId="54" xfId="0" applyFont="1" applyBorder="1" applyAlignment="1" applyProtection="1">
      <alignment horizontal="left" indent="1"/>
    </xf>
    <xf numFmtId="0" fontId="48" fillId="26" borderId="30" xfId="0" applyFont="1" applyFill="1" applyBorder="1" applyAlignment="1" applyProtection="1">
      <alignment horizontal="center" vertical="center" wrapText="1"/>
    </xf>
    <xf numFmtId="0" fontId="48" fillId="26" borderId="32" xfId="0" applyFont="1" applyFill="1" applyBorder="1" applyAlignment="1" applyProtection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wrapText="1"/>
    </xf>
    <xf numFmtId="0" fontId="48" fillId="0" borderId="71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28" fillId="0" borderId="79" xfId="0" applyFont="1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26" xfId="0" applyBorder="1" applyAlignment="1">
      <alignment horizontal="left" vertical="center"/>
    </xf>
    <xf numFmtId="0" fontId="56" fillId="0" borderId="21" xfId="0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/>
    </xf>
    <xf numFmtId="0" fontId="56" fillId="0" borderId="27" xfId="0" applyFont="1" applyBorder="1" applyAlignment="1">
      <alignment horizontal="left" vertical="center"/>
    </xf>
    <xf numFmtId="0" fontId="56" fillId="0" borderId="28" xfId="0" applyFont="1" applyBorder="1" applyAlignment="1">
      <alignment horizontal="left" vertical="center"/>
    </xf>
    <xf numFmtId="0" fontId="56" fillId="0" borderId="30" xfId="0" applyFont="1" applyBorder="1" applyAlignment="1">
      <alignment horizontal="left" vertical="center"/>
    </xf>
    <xf numFmtId="0" fontId="56" fillId="0" borderId="32" xfId="0" applyFont="1" applyBorder="1" applyAlignment="1">
      <alignment horizontal="left" vertical="center"/>
    </xf>
    <xf numFmtId="0" fontId="48" fillId="0" borderId="52" xfId="0" applyFont="1" applyBorder="1" applyAlignment="1">
      <alignment horizontal="left" vertical="center"/>
    </xf>
    <xf numFmtId="0" fontId="48" fillId="0" borderId="54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 inden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8" xfId="0" applyFont="1" applyFill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29" fillId="0" borderId="0" xfId="0" applyFont="1" applyFill="1" applyBorder="1" applyAlignment="1">
      <alignment horizontal="right" vertical="center"/>
    </xf>
    <xf numFmtId="0" fontId="29" fillId="0" borderId="28" xfId="0" applyFont="1" applyFill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9" fillId="0" borderId="0" xfId="0" applyFont="1" applyBorder="1" applyAlignment="1" applyProtection="1">
      <alignment horizontal="right" vertical="center"/>
    </xf>
    <xf numFmtId="0" fontId="0" fillId="0" borderId="28" xfId="0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176" fontId="59" fillId="21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left" vertical="center"/>
    </xf>
    <xf numFmtId="171" fontId="29" fillId="28" borderId="16" xfId="0" applyNumberFormat="1" applyFont="1" applyFill="1" applyBorder="1" applyAlignment="1">
      <alignment horizontal="left" vertical="center"/>
    </xf>
    <xf numFmtId="176" fontId="29" fillId="0" borderId="47" xfId="0" applyNumberFormat="1" applyFont="1" applyBorder="1" applyAlignment="1">
      <alignment horizontal="left" vertical="center"/>
    </xf>
    <xf numFmtId="176" fontId="59" fillId="21" borderId="17" xfId="0" applyNumberFormat="1" applyFont="1" applyFill="1" applyBorder="1" applyAlignment="1" applyProtection="1">
      <alignment horizontal="left" vertical="center"/>
      <protection locked="0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28" xfId="0" applyFont="1" applyFill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/>
    </xf>
    <xf numFmtId="0" fontId="30" fillId="0" borderId="2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 applyProtection="1">
      <alignment horizontal="right" vertical="center"/>
    </xf>
    <xf numFmtId="176" fontId="29" fillId="0" borderId="47" xfId="0" applyNumberFormat="1" applyFont="1" applyBorder="1" applyAlignment="1">
      <alignment horizontal="center" vertical="center"/>
    </xf>
    <xf numFmtId="0" fontId="30" fillId="0" borderId="28" xfId="0" applyFont="1" applyBorder="1" applyAlignment="1" applyProtection="1">
      <alignment horizontal="left" vertical="center" wrapText="1"/>
    </xf>
    <xf numFmtId="0" fontId="29" fillId="0" borderId="0" xfId="0" applyFont="1" applyFill="1" applyBorder="1" applyAlignment="1">
      <alignment horizontal="left" vertical="center"/>
    </xf>
    <xf numFmtId="0" fontId="29" fillId="0" borderId="28" xfId="0" applyFont="1" applyFill="1" applyBorder="1" applyAlignment="1">
      <alignment horizontal="left" vertical="center"/>
    </xf>
    <xf numFmtId="0" fontId="30" fillId="0" borderId="0" xfId="0" applyFont="1" applyFill="1" applyBorder="1" applyAlignment="1" applyProtection="1">
      <alignment horizontal="left" vertical="center"/>
    </xf>
    <xf numFmtId="0" fontId="39" fillId="0" borderId="0" xfId="0" applyFont="1" applyAlignment="1" applyProtection="1">
      <alignment horizontal="left"/>
    </xf>
    <xf numFmtId="0" fontId="28" fillId="0" borderId="52" xfId="75" applyFont="1" applyFill="1" applyBorder="1" applyAlignment="1" applyProtection="1">
      <alignment horizontal="center" vertical="center"/>
    </xf>
    <xf numFmtId="0" fontId="28" fillId="0" borderId="53" xfId="75" applyFont="1" applyFill="1" applyBorder="1" applyAlignment="1" applyProtection="1">
      <alignment horizontal="center" vertical="center"/>
    </xf>
    <xf numFmtId="0" fontId="28" fillId="0" borderId="54" xfId="75" applyFont="1" applyFill="1" applyBorder="1" applyAlignment="1" applyProtection="1">
      <alignment horizontal="center" vertical="center"/>
    </xf>
    <xf numFmtId="0" fontId="28" fillId="0" borderId="22" xfId="75" applyFont="1" applyFill="1" applyBorder="1" applyAlignment="1" applyProtection="1">
      <alignment horizontal="center" vertical="center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6" xfId="0" quotePrefix="1" applyFont="1" applyBorder="1" applyAlignment="1">
      <alignment horizontal="center" wrapText="1"/>
    </xf>
    <xf numFmtId="0" fontId="22" fillId="0" borderId="17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3" xfId="0" quotePrefix="1" applyFont="1" applyBorder="1" applyAlignment="1">
      <alignment horizontal="center" wrapText="1"/>
    </xf>
    <xf numFmtId="0" fontId="22" fillId="0" borderId="15" xfId="0" quotePrefix="1" applyFont="1" applyBorder="1" applyAlignment="1">
      <alignment horizontal="center" wrapText="1"/>
    </xf>
    <xf numFmtId="0" fontId="22" fillId="0" borderId="14" xfId="0" quotePrefix="1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0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88">
    <cellStyle name="Bad" xfId="11" builtinId="27" hidden="1"/>
    <cellStyle name="Calculation" xfId="15" builtinId="22" hidden="1"/>
    <cellStyle name="Check Cell" xfId="17" builtinId="23" hidden="1"/>
    <cellStyle name="Comma" xfId="2" builtinId="3"/>
    <cellStyle name="Comma [0]" xfId="3" builtinId="6" hidden="1"/>
    <cellStyle name="Currency [0]" xfId="4" builtinId="7" hidden="1"/>
    <cellStyle name="Explanatory Text" xfId="20" builtinId="53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Good" xfId="10" builtinId="26" hidden="1"/>
    <cellStyle name="Heading 1" xfId="6" builtinId="16" hidden="1"/>
    <cellStyle name="Heading 2" xfId="7" builtinId="17" hidden="1"/>
    <cellStyle name="Heading 3" xfId="8" builtinId="18" hidden="1"/>
    <cellStyle name="Heading 4" xfId="9" builtinId="19" hidden="1"/>
    <cellStyle name="Hyperlink" xfId="22" builtinId="8" hidden="1"/>
    <cellStyle name="Hyperlink" xfId="67" builtinId="8"/>
    <cellStyle name="Input" xfId="13" builtinId="20" hidden="1"/>
    <cellStyle name="Linked Cell" xfId="16" builtinId="24" hidden="1"/>
    <cellStyle name="Neutral" xfId="12" builtinId="28" hidden="1"/>
    <cellStyle name="Normal" xfId="0" builtinId="0"/>
    <cellStyle name="Normal 2" xfId="87"/>
    <cellStyle name="Normal 2 2" xfId="76"/>
    <cellStyle name="Normal 2_EDFE_SPN_Main_FBPQ (v030909) v4.7" xfId="82"/>
    <cellStyle name="Normal 3" xfId="69"/>
    <cellStyle name="Normal 3_EDFE_SPN_Main_FBPQ (v030909) v4.7" xfId="83"/>
    <cellStyle name="Normal 3_EPN FBPQ Connections Aug v 5 0 (opt3) Rounded" xfId="73"/>
    <cellStyle name="Normal 3_SPN FBPQ Connections Aug v 5 0 (opt3) Rounded" xfId="72"/>
    <cellStyle name="Normal_07-08 RRP - Section 5" xfId="70"/>
    <cellStyle name="Normal_CE-NEDL_0607_RRP_RAV_Draft HLFBPQ1" xfId="79"/>
    <cellStyle name="Normal_EDFE_SPN_Main_FBPQ (v030909) v4.7" xfId="81"/>
    <cellStyle name="Normal_Network Tables 07_08" xfId="68"/>
    <cellStyle name="Normal_Network Tables 07_08 2" xfId="78"/>
    <cellStyle name="Normal_Opex Tables" xfId="85"/>
    <cellStyle name="Normal_risk table" xfId="75"/>
    <cellStyle name="Normal_risk table_EDFE_SPN_Main_FBPQ (v030909) v4.7" xfId="84"/>
    <cellStyle name="Normal_RRP table 4_3 update" xfId="74"/>
    <cellStyle name="Normal_SPN FBPQ Connections Aug v 5 0 (opt3) Rounded" xfId="71"/>
    <cellStyle name="Normal_Tables for 2005-06 Cost report (linked data v2)" xfId="86"/>
    <cellStyle name="Note" xfId="19" builtinId="10" hidden="1"/>
    <cellStyle name="Output" xfId="14" builtinId="21" hidden="1"/>
    <cellStyle name="Percent" xfId="1" builtinId="5"/>
    <cellStyle name="Percent 2 2" xfId="77"/>
    <cellStyle name="Percent 4" xfId="80"/>
    <cellStyle name="Title" xfId="5" builtinId="15" hidden="1"/>
    <cellStyle name="Total" xfId="21" builtinId="25" hidden="1"/>
    <cellStyle name="Warning Text" xfId="18" builtinId="11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12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11</xdr:row>
          <xdr:rowOff>47625</xdr:rowOff>
        </xdr:from>
        <xdr:to>
          <xdr:col>1</xdr:col>
          <xdr:colOff>1095375</xdr:colOff>
          <xdr:row>11</xdr:row>
          <xdr:rowOff>381000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47625</xdr:rowOff>
        </xdr:from>
        <xdr:to>
          <xdr:col>2</xdr:col>
          <xdr:colOff>1343025</xdr:colOff>
          <xdr:row>11</xdr:row>
          <xdr:rowOff>381000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 opt 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333375</xdr:rowOff>
    </xdr:from>
    <xdr:to>
      <xdr:col>4</xdr:col>
      <xdr:colOff>47625</xdr:colOff>
      <xdr:row>2</xdr:row>
      <xdr:rowOff>123825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267575" y="333375"/>
          <a:ext cx="1209675" cy="35242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1238250</xdr:colOff>
      <xdr:row>2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5238750" y="333375"/>
          <a:ext cx="1000125" cy="33337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37"/>
  <sheetViews>
    <sheetView showGridLines="0" workbookViewId="0"/>
  </sheetViews>
  <sheetFormatPr defaultColWidth="22.28515625" defaultRowHeight="15"/>
  <cols>
    <col min="1" max="1" width="32.85546875" style="2" customWidth="1"/>
    <col min="2" max="2" width="115.42578125" style="2" customWidth="1"/>
    <col min="3" max="16384" width="22.28515625" style="2"/>
  </cols>
  <sheetData>
    <row r="1" spans="1:2" ht="19.5">
      <c r="A1" s="4" t="str">
        <f>"Index for Method M ("&amp;'Calc-Net capex'!B5&amp;") for "&amp;Inputs!B6&amp;" in "&amp;Inputs!C6&amp;"  Status: "&amp;Inputs!D6&amp;""</f>
        <v>Index for Method M (LR1) for South West in April 17  Status: Final</v>
      </c>
    </row>
    <row r="3" spans="1:2">
      <c r="A3" s="2" t="s">
        <v>978</v>
      </c>
    </row>
    <row r="4" spans="1:2">
      <c r="A4" s="2" t="s">
        <v>979</v>
      </c>
    </row>
    <row r="5" spans="1:2">
      <c r="A5" s="2" t="s">
        <v>980</v>
      </c>
    </row>
    <row r="7" spans="1:2">
      <c r="A7" s="14" t="s">
        <v>971</v>
      </c>
      <c r="B7" s="14" t="s">
        <v>0</v>
      </c>
    </row>
    <row r="8" spans="1:2">
      <c r="A8" s="2" t="s">
        <v>1</v>
      </c>
      <c r="B8" s="2" t="s">
        <v>2</v>
      </c>
    </row>
    <row r="9" spans="1:2">
      <c r="A9" s="2" t="s">
        <v>3</v>
      </c>
      <c r="B9" s="2" t="s">
        <v>4</v>
      </c>
    </row>
    <row r="10" spans="1:2">
      <c r="A10" s="2" t="s">
        <v>5</v>
      </c>
      <c r="B10" s="2" t="s">
        <v>4</v>
      </c>
    </row>
    <row r="11" spans="1:2">
      <c r="A11" s="2" t="s">
        <v>6</v>
      </c>
      <c r="B11" s="2" t="s">
        <v>975</v>
      </c>
    </row>
    <row r="12" spans="1:2">
      <c r="A12" s="2" t="s">
        <v>7</v>
      </c>
      <c r="B12" s="2" t="s">
        <v>975</v>
      </c>
    </row>
    <row r="13" spans="1:2">
      <c r="A13" s="2" t="s">
        <v>8</v>
      </c>
      <c r="B13" s="2" t="s">
        <v>4</v>
      </c>
    </row>
    <row r="14" spans="1:2">
      <c r="A14" s="2" t="s">
        <v>9</v>
      </c>
      <c r="B14" s="2" t="s">
        <v>4</v>
      </c>
    </row>
    <row r="15" spans="1:2">
      <c r="A15" s="2" t="s">
        <v>10</v>
      </c>
      <c r="B15" s="2" t="s">
        <v>4</v>
      </c>
    </row>
    <row r="16" spans="1:2">
      <c r="A16" s="2" t="s">
        <v>11</v>
      </c>
      <c r="B16" s="2" t="s">
        <v>4</v>
      </c>
    </row>
    <row r="17" spans="1:2">
      <c r="A17" s="2" t="s">
        <v>12</v>
      </c>
      <c r="B17" s="2" t="s">
        <v>4</v>
      </c>
    </row>
    <row r="18" spans="1:2">
      <c r="A18" s="2" t="s">
        <v>13</v>
      </c>
      <c r="B18" s="2" t="s">
        <v>977</v>
      </c>
    </row>
    <row r="19" spans="1:2">
      <c r="A19" s="2" t="s">
        <v>14</v>
      </c>
      <c r="B19" s="2" t="s">
        <v>4</v>
      </c>
    </row>
    <row r="20" spans="1:2">
      <c r="A20" s="2" t="s">
        <v>15</v>
      </c>
      <c r="B20" s="2" t="s">
        <v>4</v>
      </c>
    </row>
    <row r="21" spans="1:2">
      <c r="A21" s="2" t="s">
        <v>16</v>
      </c>
      <c r="B21" s="2" t="s">
        <v>4</v>
      </c>
    </row>
    <row r="22" spans="1:2">
      <c r="A22" s="2" t="s">
        <v>17</v>
      </c>
      <c r="B22" s="2" t="s">
        <v>4</v>
      </c>
    </row>
    <row r="23" spans="1:2">
      <c r="A23" s="2" t="s">
        <v>18</v>
      </c>
      <c r="B23" s="2" t="s">
        <v>4</v>
      </c>
    </row>
    <row r="24" spans="1:2">
      <c r="A24" s="2" t="s">
        <v>19</v>
      </c>
      <c r="B24" s="2" t="s">
        <v>4</v>
      </c>
    </row>
    <row r="25" spans="1:2">
      <c r="A25" s="2" t="s">
        <v>20</v>
      </c>
      <c r="B25" s="2" t="s">
        <v>4</v>
      </c>
    </row>
    <row r="27" spans="1:2">
      <c r="A27" s="14" t="s">
        <v>972</v>
      </c>
      <c r="B27" s="14" t="s">
        <v>0</v>
      </c>
    </row>
    <row r="28" spans="1:2">
      <c r="A28" s="2" t="s">
        <v>21</v>
      </c>
      <c r="B28" s="2" t="s">
        <v>22</v>
      </c>
    </row>
    <row r="29" spans="1:2">
      <c r="A29" s="2" t="s">
        <v>23</v>
      </c>
      <c r="B29" s="2" t="s">
        <v>22</v>
      </c>
    </row>
    <row r="30" spans="1:2">
      <c r="A30" s="2" t="s">
        <v>24</v>
      </c>
      <c r="B30" s="2" t="s">
        <v>22</v>
      </c>
    </row>
    <row r="31" spans="1:2">
      <c r="A31" s="42" t="s">
        <v>965</v>
      </c>
      <c r="B31" s="2" t="s">
        <v>22</v>
      </c>
    </row>
    <row r="32" spans="1:2">
      <c r="A32" s="42" t="s">
        <v>25</v>
      </c>
      <c r="B32" s="2" t="s">
        <v>22</v>
      </c>
    </row>
    <row r="33" spans="1:2">
      <c r="A33" s="42" t="s">
        <v>966</v>
      </c>
      <c r="B33" s="2" t="s">
        <v>22</v>
      </c>
    </row>
    <row r="34" spans="1:2">
      <c r="A34" s="42" t="s">
        <v>967</v>
      </c>
      <c r="B34" s="2" t="s">
        <v>22</v>
      </c>
    </row>
    <row r="35" spans="1:2">
      <c r="A35" s="42"/>
    </row>
    <row r="36" spans="1:2">
      <c r="A36" s="43" t="s">
        <v>973</v>
      </c>
      <c r="B36" s="14" t="s">
        <v>0</v>
      </c>
    </row>
    <row r="37" spans="1:2">
      <c r="A37" s="42" t="s">
        <v>968</v>
      </c>
      <c r="B37" s="2" t="s">
        <v>964</v>
      </c>
    </row>
  </sheetData>
  <sheetProtection sheet="1" objects="1" scenarios="1"/>
  <phoneticPr fontId="1" type="noConversion"/>
  <pageMargins left="0.75" right="0.75" top="1" bottom="1" header="0.5" footer="0.5"/>
  <pageSetup paperSize="9" scale="5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C5FFFF"/>
    <pageSetUpPr fitToPage="1"/>
  </sheetPr>
  <dimension ref="A1:X137"/>
  <sheetViews>
    <sheetView zoomScaleSheetLayoutView="85" workbookViewId="0">
      <selection sqref="A1:XFD1048576"/>
    </sheetView>
  </sheetViews>
  <sheetFormatPr defaultColWidth="10.28515625" defaultRowHeight="12.75"/>
  <cols>
    <col min="1" max="1" width="3.28515625" style="833" customWidth="1"/>
    <col min="2" max="2" width="30.85546875" style="833" customWidth="1"/>
    <col min="3" max="3" width="14.42578125" style="833" customWidth="1"/>
    <col min="4" max="25" width="15" style="833" customWidth="1"/>
    <col min="26" max="16384" width="10.28515625" style="833"/>
  </cols>
  <sheetData>
    <row r="1" spans="1:13" s="828" customFormat="1" ht="26.25">
      <c r="A1" s="824" t="s">
        <v>340</v>
      </c>
      <c r="B1" s="825"/>
      <c r="C1" s="826"/>
      <c r="D1" s="826"/>
      <c r="E1" s="826"/>
      <c r="F1" s="826"/>
      <c r="G1" s="827"/>
    </row>
    <row r="2" spans="1:13" s="828" customFormat="1" ht="18">
      <c r="A2" s="825" t="s">
        <v>988</v>
      </c>
      <c r="B2" s="829"/>
    </row>
    <row r="3" spans="1:13" s="832" customFormat="1" ht="27" thickBot="1">
      <c r="A3" s="830" t="s">
        <v>463</v>
      </c>
      <c r="B3" s="831"/>
    </row>
    <row r="5" spans="1:13">
      <c r="B5" s="834" t="s">
        <v>464</v>
      </c>
    </row>
    <row r="6" spans="1:13" ht="13.5" thickBot="1"/>
    <row r="7" spans="1:13">
      <c r="B7" s="1549"/>
      <c r="C7" s="1550"/>
      <c r="D7" s="835" t="s">
        <v>191</v>
      </c>
      <c r="E7" s="836"/>
      <c r="F7" s="836"/>
      <c r="G7" s="836"/>
      <c r="H7" s="837"/>
      <c r="I7" s="835" t="s">
        <v>192</v>
      </c>
      <c r="J7" s="838"/>
      <c r="K7" s="838"/>
      <c r="L7" s="838"/>
      <c r="M7" s="837"/>
    </row>
    <row r="8" spans="1:13">
      <c r="B8" s="1551"/>
      <c r="C8" s="1552"/>
      <c r="D8" s="839" t="s">
        <v>79</v>
      </c>
      <c r="E8" s="840" t="s">
        <v>80</v>
      </c>
      <c r="F8" s="840" t="s">
        <v>81</v>
      </c>
      <c r="G8" s="840" t="s">
        <v>82</v>
      </c>
      <c r="H8" s="841" t="s">
        <v>44</v>
      </c>
      <c r="I8" s="839" t="s">
        <v>193</v>
      </c>
      <c r="J8" s="840" t="s">
        <v>194</v>
      </c>
      <c r="K8" s="840" t="s">
        <v>195</v>
      </c>
      <c r="L8" s="840" t="s">
        <v>196</v>
      </c>
      <c r="M8" s="841" t="s">
        <v>197</v>
      </c>
    </row>
    <row r="9" spans="1:13" ht="15" customHeight="1">
      <c r="B9" s="842" t="s">
        <v>465</v>
      </c>
      <c r="C9" s="843"/>
      <c r="D9" s="844"/>
      <c r="E9" s="845"/>
      <c r="F9" s="845"/>
      <c r="G9" s="845"/>
      <c r="H9" s="846"/>
      <c r="I9" s="844"/>
      <c r="J9" s="845"/>
      <c r="K9" s="845"/>
      <c r="L9" s="845"/>
      <c r="M9" s="846"/>
    </row>
    <row r="10" spans="1:13" ht="15" customHeight="1">
      <c r="B10" s="847" t="s">
        <v>466</v>
      </c>
      <c r="C10" s="843" t="s">
        <v>203</v>
      </c>
      <c r="D10" s="848"/>
      <c r="E10" s="849"/>
      <c r="F10" s="849"/>
      <c r="G10" s="849"/>
      <c r="H10" s="846"/>
      <c r="I10" s="848"/>
      <c r="J10" s="850"/>
      <c r="K10" s="850"/>
      <c r="L10" s="850"/>
      <c r="M10" s="851"/>
    </row>
    <row r="11" spans="1:13" ht="15" customHeight="1">
      <c r="B11" s="847" t="s">
        <v>467</v>
      </c>
      <c r="C11" s="843" t="s">
        <v>203</v>
      </c>
      <c r="D11" s="852"/>
      <c r="E11" s="852"/>
      <c r="F11" s="852"/>
      <c r="G11" s="852"/>
      <c r="H11" s="853"/>
      <c r="I11" s="854"/>
      <c r="J11" s="855"/>
      <c r="K11" s="855"/>
      <c r="L11" s="855"/>
      <c r="M11" s="856"/>
    </row>
    <row r="12" spans="1:13" ht="15" customHeight="1">
      <c r="B12" s="847" t="s">
        <v>468</v>
      </c>
      <c r="C12" s="843" t="s">
        <v>203</v>
      </c>
      <c r="D12" s="852"/>
      <c r="E12" s="852"/>
      <c r="F12" s="852"/>
      <c r="G12" s="852"/>
      <c r="H12" s="853"/>
      <c r="I12" s="854"/>
      <c r="J12" s="855"/>
      <c r="K12" s="855"/>
      <c r="L12" s="855"/>
      <c r="M12" s="856"/>
    </row>
    <row r="13" spans="1:13" ht="15" customHeight="1">
      <c r="B13" s="842" t="s">
        <v>469</v>
      </c>
      <c r="C13" s="843"/>
      <c r="D13" s="844"/>
      <c r="E13" s="845"/>
      <c r="F13" s="845"/>
      <c r="G13" s="845"/>
      <c r="H13" s="846"/>
      <c r="I13" s="844"/>
      <c r="J13" s="845"/>
      <c r="K13" s="845"/>
      <c r="L13" s="845"/>
      <c r="M13" s="846"/>
    </row>
    <row r="14" spans="1:13" ht="15" customHeight="1">
      <c r="B14" s="847" t="s">
        <v>470</v>
      </c>
      <c r="C14" s="843" t="s">
        <v>203</v>
      </c>
      <c r="D14" s="852"/>
      <c r="E14" s="852"/>
      <c r="F14" s="852"/>
      <c r="G14" s="852"/>
      <c r="H14" s="853"/>
      <c r="I14" s="854"/>
      <c r="J14" s="855"/>
      <c r="K14" s="855"/>
      <c r="L14" s="855"/>
      <c r="M14" s="856"/>
    </row>
    <row r="15" spans="1:13" ht="15" customHeight="1">
      <c r="B15" s="847" t="s">
        <v>471</v>
      </c>
      <c r="C15" s="843" t="s">
        <v>203</v>
      </c>
      <c r="D15" s="852"/>
      <c r="E15" s="852"/>
      <c r="F15" s="852"/>
      <c r="G15" s="852"/>
      <c r="H15" s="853"/>
      <c r="I15" s="854"/>
      <c r="J15" s="855"/>
      <c r="K15" s="855"/>
      <c r="L15" s="855"/>
      <c r="M15" s="856"/>
    </row>
    <row r="16" spans="1:13" ht="15" customHeight="1">
      <c r="B16" s="847" t="s">
        <v>472</v>
      </c>
      <c r="C16" s="843" t="s">
        <v>203</v>
      </c>
      <c r="D16" s="852"/>
      <c r="E16" s="852"/>
      <c r="F16" s="852"/>
      <c r="G16" s="852"/>
      <c r="H16" s="853"/>
      <c r="I16" s="854"/>
      <c r="J16" s="855"/>
      <c r="K16" s="855"/>
      <c r="L16" s="855"/>
      <c r="M16" s="856"/>
    </row>
    <row r="17" spans="2:13" ht="15" customHeight="1">
      <c r="B17" s="842" t="s">
        <v>410</v>
      </c>
      <c r="C17" s="843"/>
      <c r="D17" s="844"/>
      <c r="E17" s="845"/>
      <c r="F17" s="845"/>
      <c r="G17" s="845"/>
      <c r="H17" s="846"/>
      <c r="I17" s="844"/>
      <c r="J17" s="845"/>
      <c r="K17" s="845"/>
      <c r="L17" s="845"/>
      <c r="M17" s="846"/>
    </row>
    <row r="18" spans="2:13" ht="15" customHeight="1">
      <c r="B18" s="847" t="s">
        <v>473</v>
      </c>
      <c r="C18" s="843" t="s">
        <v>203</v>
      </c>
      <c r="D18" s="852"/>
      <c r="E18" s="852"/>
      <c r="F18" s="852"/>
      <c r="G18" s="852"/>
      <c r="H18" s="853"/>
      <c r="I18" s="854"/>
      <c r="J18" s="855"/>
      <c r="K18" s="855"/>
      <c r="L18" s="855"/>
      <c r="M18" s="856"/>
    </row>
    <row r="19" spans="2:13" ht="15" customHeight="1">
      <c r="B19" s="847" t="s">
        <v>474</v>
      </c>
      <c r="C19" s="843" t="s">
        <v>203</v>
      </c>
      <c r="D19" s="852"/>
      <c r="E19" s="852"/>
      <c r="F19" s="852"/>
      <c r="G19" s="852"/>
      <c r="H19" s="853"/>
      <c r="I19" s="854"/>
      <c r="J19" s="855"/>
      <c r="K19" s="855"/>
      <c r="L19" s="855"/>
      <c r="M19" s="856"/>
    </row>
    <row r="20" spans="2:13" ht="15" customHeight="1">
      <c r="B20" s="847" t="s">
        <v>475</v>
      </c>
      <c r="C20" s="843" t="s">
        <v>203</v>
      </c>
      <c r="D20" s="852"/>
      <c r="E20" s="852"/>
      <c r="F20" s="852"/>
      <c r="G20" s="852"/>
      <c r="H20" s="853"/>
      <c r="I20" s="854"/>
      <c r="J20" s="855"/>
      <c r="K20" s="855"/>
      <c r="L20" s="855"/>
      <c r="M20" s="856"/>
    </row>
    <row r="21" spans="2:13" ht="15" customHeight="1">
      <c r="B21" s="847" t="s">
        <v>476</v>
      </c>
      <c r="C21" s="843" t="s">
        <v>203</v>
      </c>
      <c r="D21" s="852"/>
      <c r="E21" s="852"/>
      <c r="F21" s="852"/>
      <c r="G21" s="852"/>
      <c r="H21" s="853"/>
      <c r="I21" s="854"/>
      <c r="J21" s="855"/>
      <c r="K21" s="855"/>
      <c r="L21" s="855"/>
      <c r="M21" s="856"/>
    </row>
    <row r="22" spans="2:13" s="859" customFormat="1" ht="15" customHeight="1">
      <c r="B22" s="857"/>
      <c r="C22" s="858" t="s">
        <v>203</v>
      </c>
      <c r="D22" s="852"/>
      <c r="E22" s="852"/>
      <c r="F22" s="852"/>
      <c r="G22" s="852"/>
      <c r="H22" s="853"/>
      <c r="I22" s="854"/>
      <c r="J22" s="855"/>
      <c r="K22" s="855"/>
      <c r="L22" s="855"/>
      <c r="M22" s="856"/>
    </row>
    <row r="23" spans="2:13" s="859" customFormat="1" ht="15" customHeight="1">
      <c r="B23" s="857" t="s">
        <v>477</v>
      </c>
      <c r="C23" s="858" t="s">
        <v>203</v>
      </c>
      <c r="D23" s="860"/>
      <c r="E23" s="860"/>
      <c r="F23" s="860"/>
      <c r="G23" s="860"/>
      <c r="H23" s="861"/>
      <c r="I23" s="862"/>
      <c r="J23" s="863"/>
      <c r="K23" s="863"/>
      <c r="L23" s="863"/>
      <c r="M23" s="864"/>
    </row>
    <row r="24" spans="2:13" s="859" customFormat="1" ht="15" customHeight="1">
      <c r="B24" s="857" t="s">
        <v>478</v>
      </c>
      <c r="C24" s="858" t="s">
        <v>203</v>
      </c>
      <c r="D24" s="860"/>
      <c r="E24" s="860"/>
      <c r="F24" s="860"/>
      <c r="G24" s="860"/>
      <c r="H24" s="861"/>
      <c r="I24" s="862"/>
      <c r="J24" s="863"/>
      <c r="K24" s="863"/>
      <c r="L24" s="863"/>
      <c r="M24" s="864"/>
    </row>
    <row r="25" spans="2:13" s="859" customFormat="1" ht="15" customHeight="1" thickBot="1">
      <c r="B25" s="865" t="s">
        <v>200</v>
      </c>
      <c r="C25" s="866" t="s">
        <v>203</v>
      </c>
      <c r="D25" s="867">
        <f t="shared" ref="D25:M25" si="0">SUM(D10:D24)</f>
        <v>0</v>
      </c>
      <c r="E25" s="868">
        <f t="shared" si="0"/>
        <v>0</v>
      </c>
      <c r="F25" s="868">
        <f t="shared" si="0"/>
        <v>0</v>
      </c>
      <c r="G25" s="868">
        <f t="shared" si="0"/>
        <v>0</v>
      </c>
      <c r="H25" s="868">
        <f t="shared" si="0"/>
        <v>0</v>
      </c>
      <c r="I25" s="867">
        <f t="shared" si="0"/>
        <v>0</v>
      </c>
      <c r="J25" s="868">
        <f t="shared" si="0"/>
        <v>0</v>
      </c>
      <c r="K25" s="868">
        <f t="shared" si="0"/>
        <v>0</v>
      </c>
      <c r="L25" s="868">
        <f t="shared" si="0"/>
        <v>0</v>
      </c>
      <c r="M25" s="869">
        <f t="shared" si="0"/>
        <v>0</v>
      </c>
    </row>
    <row r="26" spans="2:13" ht="15" customHeight="1">
      <c r="B26" s="870"/>
      <c r="C26" s="871"/>
      <c r="D26" s="872"/>
      <c r="E26" s="872"/>
      <c r="F26" s="872"/>
    </row>
    <row r="27" spans="2:13" ht="15" customHeight="1"/>
    <row r="28" spans="2:13" ht="15" customHeight="1">
      <c r="B28" s="834" t="s">
        <v>479</v>
      </c>
      <c r="C28" s="834"/>
      <c r="D28" s="834"/>
      <c r="E28" s="834"/>
      <c r="F28" s="834"/>
      <c r="G28" s="834"/>
      <c r="H28" s="834"/>
      <c r="I28" s="834"/>
      <c r="J28" s="834"/>
      <c r="K28" s="834"/>
    </row>
    <row r="29" spans="2:13" ht="15" customHeight="1">
      <c r="B29" s="834"/>
      <c r="C29" s="834"/>
      <c r="D29" s="834"/>
      <c r="E29" s="834"/>
      <c r="F29" s="834"/>
      <c r="G29" s="834"/>
      <c r="H29" s="834"/>
      <c r="I29" s="834"/>
      <c r="J29" s="834"/>
      <c r="K29" s="834"/>
    </row>
    <row r="30" spans="2:13" ht="15" customHeight="1" thickBot="1">
      <c r="B30" s="873" t="s">
        <v>480</v>
      </c>
      <c r="C30" s="834"/>
      <c r="D30" s="834"/>
      <c r="E30" s="834"/>
      <c r="F30" s="834"/>
      <c r="G30" s="834"/>
      <c r="H30" s="834"/>
      <c r="I30" s="834"/>
      <c r="J30" s="834"/>
      <c r="K30" s="834"/>
    </row>
    <row r="31" spans="2:13" ht="15" customHeight="1">
      <c r="B31" s="1549"/>
      <c r="C31" s="1550"/>
      <c r="D31" s="836" t="s">
        <v>191</v>
      </c>
      <c r="E31" s="836"/>
      <c r="F31" s="836"/>
      <c r="G31" s="836"/>
      <c r="H31" s="837"/>
      <c r="I31" s="835" t="s">
        <v>192</v>
      </c>
      <c r="J31" s="838"/>
      <c r="K31" s="838"/>
      <c r="L31" s="838"/>
      <c r="M31" s="837"/>
    </row>
    <row r="32" spans="2:13" ht="15" customHeight="1">
      <c r="B32" s="1551"/>
      <c r="C32" s="1552"/>
      <c r="D32" s="874" t="s">
        <v>79</v>
      </c>
      <c r="E32" s="840" t="s">
        <v>80</v>
      </c>
      <c r="F32" s="840" t="s">
        <v>81</v>
      </c>
      <c r="G32" s="840" t="s">
        <v>82</v>
      </c>
      <c r="H32" s="841" t="s">
        <v>44</v>
      </c>
      <c r="I32" s="839" t="s">
        <v>193</v>
      </c>
      <c r="J32" s="840" t="s">
        <v>194</v>
      </c>
      <c r="K32" s="840" t="s">
        <v>195</v>
      </c>
      <c r="L32" s="840" t="s">
        <v>196</v>
      </c>
      <c r="M32" s="841" t="s">
        <v>197</v>
      </c>
    </row>
    <row r="33" spans="2:13" ht="15" customHeight="1">
      <c r="B33" s="847" t="s">
        <v>413</v>
      </c>
      <c r="C33" s="843" t="s">
        <v>203</v>
      </c>
      <c r="D33" s="852"/>
      <c r="E33" s="852"/>
      <c r="F33" s="852"/>
      <c r="G33" s="852"/>
      <c r="H33" s="853"/>
      <c r="I33" s="854"/>
      <c r="J33" s="855"/>
      <c r="K33" s="855"/>
      <c r="L33" s="855"/>
      <c r="M33" s="856"/>
    </row>
    <row r="34" spans="2:13" ht="15" customHeight="1">
      <c r="B34" s="847" t="s">
        <v>223</v>
      </c>
      <c r="C34" s="843" t="s">
        <v>203</v>
      </c>
      <c r="D34" s="852"/>
      <c r="E34" s="852"/>
      <c r="F34" s="852"/>
      <c r="G34" s="852"/>
      <c r="H34" s="853"/>
      <c r="I34" s="854"/>
      <c r="J34" s="855"/>
      <c r="K34" s="855"/>
      <c r="L34" s="855"/>
      <c r="M34" s="856"/>
    </row>
    <row r="35" spans="2:13" ht="15" customHeight="1">
      <c r="B35" s="847" t="s">
        <v>402</v>
      </c>
      <c r="C35" s="843" t="s">
        <v>203</v>
      </c>
      <c r="D35" s="852"/>
      <c r="E35" s="852"/>
      <c r="F35" s="852"/>
      <c r="G35" s="852"/>
      <c r="H35" s="853"/>
      <c r="I35" s="854"/>
      <c r="J35" s="855"/>
      <c r="K35" s="855"/>
      <c r="L35" s="855"/>
      <c r="M35" s="856"/>
    </row>
    <row r="36" spans="2:13" ht="15" customHeight="1">
      <c r="B36" s="847" t="s">
        <v>481</v>
      </c>
      <c r="C36" s="875" t="s">
        <v>203</v>
      </c>
      <c r="D36" s="852"/>
      <c r="E36" s="852"/>
      <c r="F36" s="852"/>
      <c r="G36" s="852"/>
      <c r="H36" s="853"/>
      <c r="I36" s="854"/>
      <c r="J36" s="855"/>
      <c r="K36" s="855"/>
      <c r="L36" s="855"/>
      <c r="M36" s="856"/>
    </row>
    <row r="37" spans="2:13" ht="15" customHeight="1" thickBot="1">
      <c r="B37" s="876" t="s">
        <v>200</v>
      </c>
      <c r="C37" s="877" t="s">
        <v>203</v>
      </c>
      <c r="D37" s="878">
        <f t="shared" ref="D37:M37" si="1">SUM(D33:D36)</f>
        <v>0</v>
      </c>
      <c r="E37" s="879">
        <f t="shared" si="1"/>
        <v>0</v>
      </c>
      <c r="F37" s="879">
        <f t="shared" si="1"/>
        <v>0</v>
      </c>
      <c r="G37" s="879">
        <f t="shared" si="1"/>
        <v>0</v>
      </c>
      <c r="H37" s="880">
        <f t="shared" si="1"/>
        <v>0</v>
      </c>
      <c r="I37" s="881">
        <f t="shared" si="1"/>
        <v>0</v>
      </c>
      <c r="J37" s="879">
        <f t="shared" si="1"/>
        <v>0</v>
      </c>
      <c r="K37" s="879">
        <f t="shared" si="1"/>
        <v>0</v>
      </c>
      <c r="L37" s="879">
        <f t="shared" si="1"/>
        <v>0</v>
      </c>
      <c r="M37" s="880">
        <f t="shared" si="1"/>
        <v>0</v>
      </c>
    </row>
    <row r="38" spans="2:13" ht="15" customHeight="1"/>
    <row r="39" spans="2:13" ht="15" customHeight="1" thickBot="1">
      <c r="B39" s="873" t="s">
        <v>482</v>
      </c>
      <c r="C39" s="834"/>
      <c r="D39" s="834"/>
      <c r="E39" s="834"/>
      <c r="F39" s="834"/>
      <c r="G39" s="834"/>
      <c r="H39" s="834"/>
      <c r="I39" s="834"/>
      <c r="J39" s="834"/>
      <c r="K39" s="834"/>
    </row>
    <row r="40" spans="2:13" ht="15" customHeight="1">
      <c r="B40" s="1549"/>
      <c r="C40" s="1550"/>
      <c r="D40" s="836" t="s">
        <v>191</v>
      </c>
      <c r="E40" s="836"/>
      <c r="F40" s="836"/>
      <c r="G40" s="836"/>
      <c r="H40" s="837"/>
      <c r="I40" s="835" t="s">
        <v>192</v>
      </c>
      <c r="J40" s="838"/>
      <c r="K40" s="838"/>
      <c r="L40" s="838"/>
      <c r="M40" s="837"/>
    </row>
    <row r="41" spans="2:13" ht="15" customHeight="1">
      <c r="B41" s="1551"/>
      <c r="C41" s="1552"/>
      <c r="D41" s="874" t="s">
        <v>79</v>
      </c>
      <c r="E41" s="840" t="s">
        <v>80</v>
      </c>
      <c r="F41" s="840" t="s">
        <v>81</v>
      </c>
      <c r="G41" s="840" t="s">
        <v>82</v>
      </c>
      <c r="H41" s="841" t="s">
        <v>44</v>
      </c>
      <c r="I41" s="839" t="s">
        <v>193</v>
      </c>
      <c r="J41" s="840" t="s">
        <v>194</v>
      </c>
      <c r="K41" s="840" t="s">
        <v>195</v>
      </c>
      <c r="L41" s="840" t="s">
        <v>196</v>
      </c>
      <c r="M41" s="841" t="s">
        <v>197</v>
      </c>
    </row>
    <row r="42" spans="2:13" ht="15" customHeight="1">
      <c r="B42" s="847" t="s">
        <v>413</v>
      </c>
      <c r="C42" s="843" t="s">
        <v>203</v>
      </c>
      <c r="D42" s="882"/>
      <c r="E42" s="883"/>
      <c r="F42" s="852"/>
      <c r="G42" s="852"/>
      <c r="H42" s="853"/>
      <c r="I42" s="854"/>
      <c r="J42" s="855"/>
      <c r="K42" s="855"/>
      <c r="L42" s="855"/>
      <c r="M42" s="856"/>
    </row>
    <row r="43" spans="2:13" ht="15" customHeight="1">
      <c r="B43" s="847" t="s">
        <v>223</v>
      </c>
      <c r="C43" s="843" t="s">
        <v>203</v>
      </c>
      <c r="D43" s="882"/>
      <c r="E43" s="883"/>
      <c r="F43" s="852"/>
      <c r="G43" s="852"/>
      <c r="H43" s="853"/>
      <c r="I43" s="854"/>
      <c r="J43" s="855"/>
      <c r="K43" s="855"/>
      <c r="L43" s="855"/>
      <c r="M43" s="856"/>
    </row>
    <row r="44" spans="2:13" ht="15" customHeight="1">
      <c r="B44" s="847" t="s">
        <v>402</v>
      </c>
      <c r="C44" s="843" t="s">
        <v>203</v>
      </c>
      <c r="D44" s="882"/>
      <c r="E44" s="883"/>
      <c r="F44" s="852"/>
      <c r="G44" s="852"/>
      <c r="H44" s="853"/>
      <c r="I44" s="854"/>
      <c r="J44" s="855"/>
      <c r="K44" s="855"/>
      <c r="L44" s="855"/>
      <c r="M44" s="856"/>
    </row>
    <row r="45" spans="2:13" ht="15" customHeight="1">
      <c r="B45" s="847" t="s">
        <v>481</v>
      </c>
      <c r="C45" s="875" t="s">
        <v>203</v>
      </c>
      <c r="D45" s="882"/>
      <c r="E45" s="883"/>
      <c r="F45" s="852"/>
      <c r="G45" s="852"/>
      <c r="H45" s="853"/>
      <c r="I45" s="854"/>
      <c r="J45" s="855"/>
      <c r="K45" s="855"/>
      <c r="L45" s="855"/>
      <c r="M45" s="856"/>
    </row>
    <row r="46" spans="2:13" ht="15" customHeight="1" thickBot="1">
      <c r="B46" s="876" t="s">
        <v>200</v>
      </c>
      <c r="C46" s="877" t="s">
        <v>203</v>
      </c>
      <c r="D46" s="878">
        <f t="shared" ref="D46:M46" si="2">SUM(D42:D45)</f>
        <v>0</v>
      </c>
      <c r="E46" s="879">
        <f t="shared" si="2"/>
        <v>0</v>
      </c>
      <c r="F46" s="879">
        <f t="shared" si="2"/>
        <v>0</v>
      </c>
      <c r="G46" s="879">
        <f t="shared" si="2"/>
        <v>0</v>
      </c>
      <c r="H46" s="880">
        <f t="shared" si="2"/>
        <v>0</v>
      </c>
      <c r="I46" s="881">
        <f t="shared" si="2"/>
        <v>0</v>
      </c>
      <c r="J46" s="879">
        <f t="shared" si="2"/>
        <v>0</v>
      </c>
      <c r="K46" s="879">
        <f t="shared" si="2"/>
        <v>0</v>
      </c>
      <c r="L46" s="879">
        <f t="shared" si="2"/>
        <v>0</v>
      </c>
      <c r="M46" s="880">
        <f t="shared" si="2"/>
        <v>0</v>
      </c>
    </row>
    <row r="47" spans="2:13" ht="15" customHeight="1"/>
    <row r="48" spans="2:13" ht="15" customHeight="1">
      <c r="B48" s="834" t="s">
        <v>483</v>
      </c>
      <c r="C48" s="834"/>
      <c r="D48" s="834"/>
      <c r="E48" s="834"/>
      <c r="F48" s="834"/>
      <c r="G48" s="834"/>
      <c r="H48" s="834"/>
      <c r="I48" s="834"/>
      <c r="J48" s="834"/>
      <c r="K48" s="834"/>
      <c r="L48" s="834"/>
    </row>
    <row r="49" spans="2:24" ht="15" customHeight="1" thickBot="1">
      <c r="B49" s="873"/>
      <c r="C49" s="834"/>
      <c r="D49" s="834"/>
      <c r="E49" s="834"/>
      <c r="F49" s="834"/>
      <c r="G49" s="834"/>
      <c r="H49" s="834"/>
      <c r="I49" s="834"/>
      <c r="J49" s="834"/>
      <c r="K49" s="834"/>
      <c r="L49" s="834"/>
    </row>
    <row r="50" spans="2:24" ht="15" customHeight="1">
      <c r="B50" s="884"/>
      <c r="C50" s="885" t="s">
        <v>484</v>
      </c>
      <c r="D50" s="886" t="s">
        <v>485</v>
      </c>
      <c r="E50" s="886" t="s">
        <v>486</v>
      </c>
      <c r="F50" s="886" t="s">
        <v>487</v>
      </c>
      <c r="G50" s="886" t="s">
        <v>488</v>
      </c>
      <c r="H50" s="887" t="s">
        <v>489</v>
      </c>
      <c r="I50" s="834"/>
    </row>
    <row r="51" spans="2:24" ht="15" customHeight="1">
      <c r="B51" s="888" t="s">
        <v>413</v>
      </c>
      <c r="C51" s="889">
        <f>D51+E51</f>
        <v>0</v>
      </c>
      <c r="D51" s="890">
        <f>C61</f>
        <v>0</v>
      </c>
      <c r="E51" s="891"/>
      <c r="F51" s="890">
        <f>K61</f>
        <v>0</v>
      </c>
      <c r="G51" s="890">
        <f>S61</f>
        <v>0</v>
      </c>
      <c r="H51" s="892">
        <f>E51-SUM(F51:G51)</f>
        <v>0</v>
      </c>
      <c r="I51" s="834"/>
    </row>
    <row r="52" spans="2:24" ht="15" customHeight="1">
      <c r="B52" s="888" t="s">
        <v>223</v>
      </c>
      <c r="C52" s="889">
        <f>D52+E52</f>
        <v>0</v>
      </c>
      <c r="D52" s="890">
        <f>C62</f>
        <v>0</v>
      </c>
      <c r="E52" s="891"/>
      <c r="F52" s="890">
        <f>K62</f>
        <v>0</v>
      </c>
      <c r="G52" s="890">
        <f>S62</f>
        <v>0</v>
      </c>
      <c r="H52" s="892">
        <f>E52-SUM(F52:G52)</f>
        <v>0</v>
      </c>
      <c r="I52" s="834"/>
    </row>
    <row r="53" spans="2:24" ht="15" customHeight="1">
      <c r="B53" s="888" t="s">
        <v>402</v>
      </c>
      <c r="C53" s="889">
        <f>D53+E53</f>
        <v>0</v>
      </c>
      <c r="D53" s="890">
        <f>C63</f>
        <v>0</v>
      </c>
      <c r="E53" s="891"/>
      <c r="F53" s="890">
        <f>K63</f>
        <v>0</v>
      </c>
      <c r="G53" s="890">
        <f>S63</f>
        <v>0</v>
      </c>
      <c r="H53" s="892">
        <f>E53-SUM(F53:G53)</f>
        <v>0</v>
      </c>
      <c r="I53" s="834"/>
    </row>
    <row r="54" spans="2:24" ht="15" customHeight="1">
      <c r="B54" s="888" t="s">
        <v>481</v>
      </c>
      <c r="C54" s="889">
        <f>D54+E54</f>
        <v>0</v>
      </c>
      <c r="D54" s="890">
        <f>C64</f>
        <v>0</v>
      </c>
      <c r="E54" s="891"/>
      <c r="F54" s="890">
        <f>K64</f>
        <v>0</v>
      </c>
      <c r="G54" s="890">
        <f>S64</f>
        <v>0</v>
      </c>
      <c r="H54" s="892">
        <f>E54-SUM(F54:G54)</f>
        <v>0</v>
      </c>
      <c r="I54" s="834"/>
    </row>
    <row r="55" spans="2:24" ht="15" customHeight="1" thickBot="1">
      <c r="B55" s="893" t="s">
        <v>200</v>
      </c>
      <c r="C55" s="894">
        <f t="shared" ref="C55:H55" si="3">SUM(C51:C54)</f>
        <v>0</v>
      </c>
      <c r="D55" s="895">
        <f t="shared" si="3"/>
        <v>0</v>
      </c>
      <c r="E55" s="895">
        <f t="shared" si="3"/>
        <v>0</v>
      </c>
      <c r="F55" s="895">
        <f t="shared" si="3"/>
        <v>0</v>
      </c>
      <c r="G55" s="895">
        <f t="shared" si="3"/>
        <v>0</v>
      </c>
      <c r="H55" s="896">
        <f t="shared" si="3"/>
        <v>0</v>
      </c>
      <c r="I55" s="834"/>
    </row>
    <row r="56" spans="2:24" ht="15" customHeight="1">
      <c r="B56" s="834"/>
      <c r="C56" s="834"/>
      <c r="D56" s="834"/>
      <c r="E56" s="834"/>
      <c r="F56" s="834"/>
      <c r="G56" s="834"/>
      <c r="H56" s="834"/>
      <c r="I56" s="834"/>
    </row>
    <row r="57" spans="2:24" ht="15" customHeight="1" thickBot="1"/>
    <row r="58" spans="2:24" ht="15" customHeight="1">
      <c r="B58" s="1528" t="s">
        <v>490</v>
      </c>
      <c r="C58" s="1529"/>
      <c r="D58" s="1529"/>
      <c r="E58" s="1529"/>
      <c r="F58" s="1529"/>
      <c r="G58" s="1529"/>
      <c r="H58" s="1530"/>
      <c r="I58" s="897"/>
      <c r="J58" s="1528" t="s">
        <v>491</v>
      </c>
      <c r="K58" s="1529"/>
      <c r="L58" s="1529"/>
      <c r="M58" s="1529"/>
      <c r="N58" s="1529"/>
      <c r="O58" s="1529"/>
      <c r="P58" s="1530"/>
      <c r="R58" s="1528" t="s">
        <v>192</v>
      </c>
      <c r="S58" s="1529"/>
      <c r="T58" s="1529"/>
      <c r="U58" s="1529"/>
      <c r="V58" s="1529"/>
      <c r="W58" s="1529"/>
      <c r="X58" s="1530"/>
    </row>
    <row r="59" spans="2:24" ht="15" customHeight="1">
      <c r="B59" s="1531"/>
      <c r="C59" s="1533" t="s">
        <v>492</v>
      </c>
      <c r="D59" s="1544" t="s">
        <v>493</v>
      </c>
      <c r="E59" s="1545"/>
      <c r="F59" s="1545"/>
      <c r="G59" s="1545"/>
      <c r="H59" s="1546"/>
      <c r="J59" s="898"/>
      <c r="K59" s="1533" t="s">
        <v>492</v>
      </c>
      <c r="L59" s="899" t="s">
        <v>494</v>
      </c>
      <c r="M59" s="900"/>
      <c r="N59" s="900"/>
      <c r="O59" s="900"/>
      <c r="P59" s="901"/>
      <c r="R59" s="1531"/>
      <c r="S59" s="1533" t="s">
        <v>492</v>
      </c>
      <c r="T59" s="1544" t="s">
        <v>494</v>
      </c>
      <c r="U59" s="1545"/>
      <c r="V59" s="1545"/>
      <c r="W59" s="1545"/>
      <c r="X59" s="1546"/>
    </row>
    <row r="60" spans="2:24" ht="25.5">
      <c r="B60" s="1532"/>
      <c r="C60" s="1534"/>
      <c r="D60" s="902" t="s">
        <v>495</v>
      </c>
      <c r="E60" s="902" t="s">
        <v>496</v>
      </c>
      <c r="F60" s="902" t="s">
        <v>497</v>
      </c>
      <c r="G60" s="903" t="s">
        <v>498</v>
      </c>
      <c r="H60" s="904" t="s">
        <v>499</v>
      </c>
      <c r="I60" s="905"/>
      <c r="J60" s="906"/>
      <c r="K60" s="1548"/>
      <c r="L60" s="903" t="s">
        <v>495</v>
      </c>
      <c r="M60" s="903" t="s">
        <v>496</v>
      </c>
      <c r="N60" s="903" t="s">
        <v>497</v>
      </c>
      <c r="O60" s="903" t="s">
        <v>498</v>
      </c>
      <c r="P60" s="904" t="s">
        <v>499</v>
      </c>
      <c r="R60" s="1532"/>
      <c r="S60" s="1548"/>
      <c r="T60" s="903" t="s">
        <v>495</v>
      </c>
      <c r="U60" s="903" t="s">
        <v>496</v>
      </c>
      <c r="V60" s="903" t="s">
        <v>497</v>
      </c>
      <c r="W60" s="903" t="s">
        <v>498</v>
      </c>
      <c r="X60" s="904" t="s">
        <v>499</v>
      </c>
    </row>
    <row r="61" spans="2:24" ht="15" customHeight="1">
      <c r="B61" s="888" t="s">
        <v>413</v>
      </c>
      <c r="C61" s="889">
        <f>SUM(D61:H61)</f>
        <v>0</v>
      </c>
      <c r="D61" s="907"/>
      <c r="E61" s="907"/>
      <c r="F61" s="907"/>
      <c r="G61" s="891"/>
      <c r="H61" s="908"/>
      <c r="I61" s="905"/>
      <c r="J61" s="909" t="s">
        <v>413</v>
      </c>
      <c r="K61" s="910">
        <f>SUM(L61:P61)</f>
        <v>0</v>
      </c>
      <c r="L61" s="911"/>
      <c r="M61" s="911"/>
      <c r="N61" s="911"/>
      <c r="O61" s="912"/>
      <c r="P61" s="913"/>
      <c r="R61" s="909" t="s">
        <v>413</v>
      </c>
      <c r="S61" s="910">
        <f>SUM(T61:X61)</f>
        <v>0</v>
      </c>
      <c r="T61" s="911"/>
      <c r="U61" s="911"/>
      <c r="V61" s="911"/>
      <c r="W61" s="912"/>
      <c r="X61" s="913"/>
    </row>
    <row r="62" spans="2:24" ht="15" customHeight="1">
      <c r="B62" s="888" t="s">
        <v>223</v>
      </c>
      <c r="C62" s="910">
        <f>SUM(D62:H62)</f>
        <v>0</v>
      </c>
      <c r="D62" s="907"/>
      <c r="E62" s="907"/>
      <c r="F62" s="907"/>
      <c r="G62" s="891"/>
      <c r="H62" s="908"/>
      <c r="I62" s="905"/>
      <c r="J62" s="888" t="s">
        <v>223</v>
      </c>
      <c r="K62" s="910">
        <f>SUM(L62:P62)</f>
        <v>0</v>
      </c>
      <c r="L62" s="907"/>
      <c r="M62" s="907"/>
      <c r="N62" s="907"/>
      <c r="O62" s="891"/>
      <c r="P62" s="908"/>
      <c r="R62" s="888" t="s">
        <v>223</v>
      </c>
      <c r="S62" s="910">
        <f>SUM(T62:X62)</f>
        <v>0</v>
      </c>
      <c r="T62" s="907"/>
      <c r="U62" s="907"/>
      <c r="V62" s="907"/>
      <c r="W62" s="891"/>
      <c r="X62" s="908"/>
    </row>
    <row r="63" spans="2:24" ht="15" customHeight="1">
      <c r="B63" s="888" t="s">
        <v>402</v>
      </c>
      <c r="C63" s="910">
        <f>SUM(D63:H63)</f>
        <v>0</v>
      </c>
      <c r="D63" s="907"/>
      <c r="E63" s="907"/>
      <c r="F63" s="907"/>
      <c r="G63" s="891"/>
      <c r="H63" s="908"/>
      <c r="I63" s="905"/>
      <c r="J63" s="888" t="s">
        <v>402</v>
      </c>
      <c r="K63" s="910">
        <f>SUM(L63:P63)</f>
        <v>0</v>
      </c>
      <c r="L63" s="907"/>
      <c r="M63" s="907"/>
      <c r="N63" s="907"/>
      <c r="O63" s="891"/>
      <c r="P63" s="908"/>
      <c r="R63" s="888" t="s">
        <v>402</v>
      </c>
      <c r="S63" s="910">
        <f>SUM(T63:X63)</f>
        <v>0</v>
      </c>
      <c r="T63" s="907"/>
      <c r="U63" s="907"/>
      <c r="V63" s="907"/>
      <c r="W63" s="891"/>
      <c r="X63" s="908"/>
    </row>
    <row r="64" spans="2:24" ht="15" customHeight="1">
      <c r="B64" s="888" t="s">
        <v>481</v>
      </c>
      <c r="C64" s="910">
        <f>SUM(D64:H64)</f>
        <v>0</v>
      </c>
      <c r="D64" s="907"/>
      <c r="E64" s="907"/>
      <c r="F64" s="907"/>
      <c r="G64" s="891"/>
      <c r="H64" s="908"/>
      <c r="I64" s="905"/>
      <c r="J64" s="888" t="s">
        <v>481</v>
      </c>
      <c r="K64" s="910">
        <f>SUM(L64:P64)</f>
        <v>0</v>
      </c>
      <c r="L64" s="907"/>
      <c r="M64" s="907"/>
      <c r="N64" s="907"/>
      <c r="O64" s="891"/>
      <c r="P64" s="908"/>
      <c r="R64" s="888" t="s">
        <v>481</v>
      </c>
      <c r="S64" s="910">
        <f>SUM(T64:X64)</f>
        <v>0</v>
      </c>
      <c r="T64" s="907"/>
      <c r="U64" s="907"/>
      <c r="V64" s="907"/>
      <c r="W64" s="891"/>
      <c r="X64" s="908"/>
    </row>
    <row r="65" spans="2:24" ht="15" customHeight="1" thickBot="1">
      <c r="B65" s="893" t="s">
        <v>200</v>
      </c>
      <c r="C65" s="894">
        <f t="shared" ref="C65:H65" si="4">SUM(C61:C64)</f>
        <v>0</v>
      </c>
      <c r="D65" s="895">
        <f t="shared" si="4"/>
        <v>0</v>
      </c>
      <c r="E65" s="895">
        <f t="shared" si="4"/>
        <v>0</v>
      </c>
      <c r="F65" s="895">
        <f t="shared" si="4"/>
        <v>0</v>
      </c>
      <c r="G65" s="895">
        <f t="shared" si="4"/>
        <v>0</v>
      </c>
      <c r="H65" s="896">
        <f t="shared" si="4"/>
        <v>0</v>
      </c>
      <c r="I65" s="905"/>
      <c r="J65" s="893" t="s">
        <v>200</v>
      </c>
      <c r="K65" s="894">
        <f t="shared" ref="K65:P65" si="5">SUM(K61:K64)</f>
        <v>0</v>
      </c>
      <c r="L65" s="895">
        <f t="shared" si="5"/>
        <v>0</v>
      </c>
      <c r="M65" s="895">
        <f t="shared" si="5"/>
        <v>0</v>
      </c>
      <c r="N65" s="895">
        <f t="shared" si="5"/>
        <v>0</v>
      </c>
      <c r="O65" s="895">
        <f t="shared" si="5"/>
        <v>0</v>
      </c>
      <c r="P65" s="896">
        <f t="shared" si="5"/>
        <v>0</v>
      </c>
      <c r="R65" s="893" t="s">
        <v>200</v>
      </c>
      <c r="S65" s="894">
        <f t="shared" ref="S65:X65" si="6">SUM(S61:S64)</f>
        <v>0</v>
      </c>
      <c r="T65" s="895">
        <f t="shared" si="6"/>
        <v>0</v>
      </c>
      <c r="U65" s="895">
        <f t="shared" si="6"/>
        <v>0</v>
      </c>
      <c r="V65" s="895">
        <f t="shared" si="6"/>
        <v>0</v>
      </c>
      <c r="W65" s="895">
        <f t="shared" si="6"/>
        <v>0</v>
      </c>
      <c r="X65" s="896">
        <f t="shared" si="6"/>
        <v>0</v>
      </c>
    </row>
    <row r="66" spans="2:24" ht="15" customHeight="1" thickBot="1">
      <c r="B66" s="914"/>
      <c r="C66" s="915"/>
      <c r="D66" s="915"/>
      <c r="E66" s="915"/>
      <c r="F66" s="915"/>
      <c r="G66" s="915"/>
      <c r="H66" s="915"/>
      <c r="I66" s="905"/>
      <c r="J66" s="914"/>
      <c r="K66" s="915"/>
      <c r="L66" s="915"/>
      <c r="M66" s="915"/>
      <c r="N66" s="915"/>
      <c r="O66" s="915"/>
      <c r="P66" s="915"/>
      <c r="R66" s="914"/>
      <c r="S66" s="915"/>
      <c r="T66" s="915"/>
      <c r="U66" s="915"/>
      <c r="V66" s="915"/>
      <c r="W66" s="915"/>
      <c r="X66" s="915"/>
    </row>
    <row r="67" spans="2:24" ht="15" customHeight="1">
      <c r="B67" s="1528" t="s">
        <v>490</v>
      </c>
      <c r="C67" s="1529"/>
      <c r="D67" s="1529"/>
      <c r="E67" s="1529"/>
      <c r="F67" s="1529"/>
      <c r="G67" s="1529"/>
      <c r="H67" s="1530"/>
      <c r="I67" s="897"/>
      <c r="J67" s="1528" t="s">
        <v>491</v>
      </c>
      <c r="K67" s="1529"/>
      <c r="L67" s="1529"/>
      <c r="M67" s="1529"/>
      <c r="N67" s="1529"/>
      <c r="O67" s="1529"/>
      <c r="P67" s="1530"/>
      <c r="R67" s="1528" t="s">
        <v>192</v>
      </c>
      <c r="S67" s="1529"/>
      <c r="T67" s="1529"/>
      <c r="U67" s="1529"/>
      <c r="V67" s="1529"/>
      <c r="W67" s="1529"/>
      <c r="X67" s="1530"/>
    </row>
    <row r="68" spans="2:24" ht="15" customHeight="1">
      <c r="B68" s="1531"/>
      <c r="C68" s="1547" t="s">
        <v>500</v>
      </c>
      <c r="D68" s="916" t="s">
        <v>493</v>
      </c>
      <c r="E68" s="917"/>
      <c r="F68" s="917"/>
      <c r="G68" s="917"/>
      <c r="H68" s="918"/>
      <c r="J68" s="919"/>
      <c r="K68" s="1533" t="s">
        <v>500</v>
      </c>
      <c r="L68" s="920" t="s">
        <v>494</v>
      </c>
      <c r="M68" s="921"/>
      <c r="N68" s="921"/>
      <c r="O68" s="921"/>
      <c r="P68" s="922"/>
      <c r="R68" s="1531"/>
      <c r="S68" s="1533" t="s">
        <v>500</v>
      </c>
      <c r="T68" s="916" t="s">
        <v>494</v>
      </c>
      <c r="U68" s="917"/>
      <c r="V68" s="917"/>
      <c r="W68" s="917"/>
      <c r="X68" s="918"/>
    </row>
    <row r="69" spans="2:24" ht="25.5">
      <c r="B69" s="1532"/>
      <c r="C69" s="1537"/>
      <c r="D69" s="903" t="s">
        <v>495</v>
      </c>
      <c r="E69" s="903" t="s">
        <v>496</v>
      </c>
      <c r="F69" s="903" t="s">
        <v>497</v>
      </c>
      <c r="G69" s="903" t="s">
        <v>498</v>
      </c>
      <c r="H69" s="923" t="s">
        <v>499</v>
      </c>
      <c r="I69" s="905"/>
      <c r="J69" s="924"/>
      <c r="K69" s="1534"/>
      <c r="L69" s="903" t="s">
        <v>495</v>
      </c>
      <c r="M69" s="903" t="s">
        <v>496</v>
      </c>
      <c r="N69" s="903" t="s">
        <v>497</v>
      </c>
      <c r="O69" s="903" t="s">
        <v>498</v>
      </c>
      <c r="P69" s="923" t="s">
        <v>499</v>
      </c>
      <c r="R69" s="1532"/>
      <c r="S69" s="1534"/>
      <c r="T69" s="903" t="s">
        <v>495</v>
      </c>
      <c r="U69" s="903" t="s">
        <v>496</v>
      </c>
      <c r="V69" s="903" t="s">
        <v>497</v>
      </c>
      <c r="W69" s="903" t="s">
        <v>498</v>
      </c>
      <c r="X69" s="923" t="s">
        <v>499</v>
      </c>
    </row>
    <row r="70" spans="2:24" ht="15" customHeight="1">
      <c r="B70" s="925" t="s">
        <v>413</v>
      </c>
      <c r="C70" s="911"/>
      <c r="D70" s="911"/>
      <c r="E70" s="911"/>
      <c r="F70" s="911"/>
      <c r="G70" s="912"/>
      <c r="H70" s="926"/>
      <c r="I70" s="905"/>
      <c r="J70" s="909" t="s">
        <v>413</v>
      </c>
      <c r="K70" s="927"/>
      <c r="L70" s="911"/>
      <c r="M70" s="911"/>
      <c r="N70" s="911"/>
      <c r="O70" s="912"/>
      <c r="P70" s="928"/>
      <c r="R70" s="909" t="s">
        <v>413</v>
      </c>
      <c r="S70" s="927"/>
      <c r="T70" s="911"/>
      <c r="U70" s="911"/>
      <c r="V70" s="911"/>
      <c r="W70" s="912"/>
      <c r="X70" s="928"/>
    </row>
    <row r="71" spans="2:24" ht="15" customHeight="1">
      <c r="B71" s="929" t="s">
        <v>223</v>
      </c>
      <c r="C71" s="907"/>
      <c r="D71" s="907"/>
      <c r="E71" s="907"/>
      <c r="F71" s="907"/>
      <c r="G71" s="891"/>
      <c r="H71" s="930"/>
      <c r="I71" s="905"/>
      <c r="J71" s="888" t="s">
        <v>223</v>
      </c>
      <c r="K71" s="931"/>
      <c r="L71" s="907"/>
      <c r="M71" s="907"/>
      <c r="N71" s="907"/>
      <c r="O71" s="891"/>
      <c r="P71" s="932"/>
      <c r="R71" s="888" t="s">
        <v>223</v>
      </c>
      <c r="S71" s="931"/>
      <c r="T71" s="907"/>
      <c r="U71" s="907"/>
      <c r="V71" s="907"/>
      <c r="W71" s="891"/>
      <c r="X71" s="932"/>
    </row>
    <row r="72" spans="2:24" ht="15" customHeight="1">
      <c r="B72" s="929" t="s">
        <v>402</v>
      </c>
      <c r="C72" s="907"/>
      <c r="D72" s="907"/>
      <c r="E72" s="907"/>
      <c r="F72" s="907"/>
      <c r="G72" s="891"/>
      <c r="H72" s="930"/>
      <c r="I72" s="905"/>
      <c r="J72" s="888" t="s">
        <v>402</v>
      </c>
      <c r="K72" s="931"/>
      <c r="L72" s="907"/>
      <c r="M72" s="907"/>
      <c r="N72" s="907"/>
      <c r="O72" s="891"/>
      <c r="P72" s="932"/>
      <c r="R72" s="888" t="s">
        <v>402</v>
      </c>
      <c r="S72" s="931"/>
      <c r="T72" s="907"/>
      <c r="U72" s="907"/>
      <c r="V72" s="907"/>
      <c r="W72" s="891"/>
      <c r="X72" s="932"/>
    </row>
    <row r="73" spans="2:24" ht="15" customHeight="1">
      <c r="B73" s="929" t="s">
        <v>481</v>
      </c>
      <c r="C73" s="907"/>
      <c r="D73" s="907"/>
      <c r="E73" s="907"/>
      <c r="F73" s="907"/>
      <c r="G73" s="891"/>
      <c r="H73" s="930"/>
      <c r="I73" s="905"/>
      <c r="J73" s="888" t="s">
        <v>481</v>
      </c>
      <c r="K73" s="931"/>
      <c r="L73" s="907"/>
      <c r="M73" s="907"/>
      <c r="N73" s="907"/>
      <c r="O73" s="891"/>
      <c r="P73" s="932"/>
      <c r="R73" s="888" t="s">
        <v>481</v>
      </c>
      <c r="S73" s="931"/>
      <c r="T73" s="907"/>
      <c r="U73" s="907"/>
      <c r="V73" s="907"/>
      <c r="W73" s="891"/>
      <c r="X73" s="932"/>
    </row>
    <row r="74" spans="2:24" ht="15" customHeight="1" thickBot="1">
      <c r="B74" s="933" t="s">
        <v>200</v>
      </c>
      <c r="C74" s="934">
        <f t="shared" ref="C74:H74" si="7">SUM(C70:C73)</f>
        <v>0</v>
      </c>
      <c r="D74" s="895">
        <f t="shared" si="7"/>
        <v>0</v>
      </c>
      <c r="E74" s="895">
        <f t="shared" si="7"/>
        <v>0</v>
      </c>
      <c r="F74" s="895">
        <f t="shared" si="7"/>
        <v>0</v>
      </c>
      <c r="G74" s="895">
        <f t="shared" si="7"/>
        <v>0</v>
      </c>
      <c r="H74" s="935">
        <f t="shared" si="7"/>
        <v>0</v>
      </c>
      <c r="I74" s="905"/>
      <c r="J74" s="893" t="s">
        <v>200</v>
      </c>
      <c r="K74" s="894">
        <f t="shared" ref="K74:P74" si="8">SUM(K70:K73)</f>
        <v>0</v>
      </c>
      <c r="L74" s="895">
        <f t="shared" si="8"/>
        <v>0</v>
      </c>
      <c r="M74" s="895">
        <f t="shared" si="8"/>
        <v>0</v>
      </c>
      <c r="N74" s="895">
        <f t="shared" si="8"/>
        <v>0</v>
      </c>
      <c r="O74" s="895">
        <f t="shared" si="8"/>
        <v>0</v>
      </c>
      <c r="P74" s="935">
        <f t="shared" si="8"/>
        <v>0</v>
      </c>
      <c r="R74" s="893" t="s">
        <v>200</v>
      </c>
      <c r="S74" s="894">
        <f t="shared" ref="S74:X74" si="9">SUM(S70:S73)</f>
        <v>0</v>
      </c>
      <c r="T74" s="895">
        <f t="shared" si="9"/>
        <v>0</v>
      </c>
      <c r="U74" s="895">
        <f t="shared" si="9"/>
        <v>0</v>
      </c>
      <c r="V74" s="895">
        <f t="shared" si="9"/>
        <v>0</v>
      </c>
      <c r="W74" s="895">
        <f t="shared" si="9"/>
        <v>0</v>
      </c>
      <c r="X74" s="935">
        <f t="shared" si="9"/>
        <v>0</v>
      </c>
    </row>
    <row r="75" spans="2:24" ht="15" customHeight="1" thickBot="1">
      <c r="B75" s="914"/>
      <c r="C75" s="915"/>
      <c r="D75" s="915"/>
      <c r="E75" s="915"/>
      <c r="F75" s="915"/>
      <c r="G75" s="915"/>
      <c r="H75" s="915"/>
      <c r="I75" s="905"/>
      <c r="J75" s="936"/>
      <c r="K75" s="937"/>
      <c r="L75" s="937"/>
      <c r="M75" s="937"/>
      <c r="N75" s="937"/>
      <c r="O75" s="937"/>
      <c r="P75" s="937"/>
      <c r="R75" s="914"/>
      <c r="S75" s="915"/>
      <c r="T75" s="915"/>
      <c r="U75" s="915"/>
      <c r="V75" s="915"/>
      <c r="W75" s="915"/>
      <c r="X75" s="915"/>
    </row>
    <row r="76" spans="2:24" ht="15" customHeight="1">
      <c r="B76" s="1528" t="s">
        <v>490</v>
      </c>
      <c r="C76" s="1529"/>
      <c r="D76" s="1529"/>
      <c r="E76" s="1529"/>
      <c r="F76" s="1529"/>
      <c r="G76" s="1529"/>
      <c r="H76" s="1530"/>
      <c r="J76" s="1528" t="s">
        <v>491</v>
      </c>
      <c r="K76" s="1529"/>
      <c r="L76" s="1529"/>
      <c r="M76" s="1529"/>
      <c r="N76" s="1529"/>
      <c r="O76" s="1529"/>
      <c r="P76" s="1530"/>
      <c r="R76" s="1528" t="s">
        <v>192</v>
      </c>
      <c r="S76" s="1529"/>
      <c r="T76" s="1529"/>
      <c r="U76" s="1529"/>
      <c r="V76" s="1529"/>
      <c r="W76" s="1529"/>
      <c r="X76" s="1530"/>
    </row>
    <row r="77" spans="2:24" ht="15" customHeight="1">
      <c r="B77" s="1531"/>
      <c r="C77" s="1535" t="s">
        <v>501</v>
      </c>
      <c r="D77" s="920" t="s">
        <v>502</v>
      </c>
      <c r="E77" s="921"/>
      <c r="F77" s="921"/>
      <c r="G77" s="921"/>
      <c r="H77" s="922"/>
      <c r="J77" s="898"/>
      <c r="K77" s="1535" t="s">
        <v>501</v>
      </c>
      <c r="L77" s="920" t="s">
        <v>503</v>
      </c>
      <c r="M77" s="921"/>
      <c r="N77" s="921"/>
      <c r="O77" s="921"/>
      <c r="P77" s="922"/>
      <c r="R77" s="1531"/>
      <c r="S77" s="1535" t="s">
        <v>501</v>
      </c>
      <c r="T77" s="920" t="s">
        <v>503</v>
      </c>
      <c r="U77" s="921"/>
      <c r="V77" s="921"/>
      <c r="W77" s="921"/>
      <c r="X77" s="922"/>
    </row>
    <row r="78" spans="2:24" ht="25.5">
      <c r="B78" s="1532"/>
      <c r="C78" s="1534"/>
      <c r="D78" s="903" t="s">
        <v>495</v>
      </c>
      <c r="E78" s="903" t="s">
        <v>496</v>
      </c>
      <c r="F78" s="903" t="s">
        <v>497</v>
      </c>
      <c r="G78" s="903" t="s">
        <v>498</v>
      </c>
      <c r="H78" s="923" t="s">
        <v>499</v>
      </c>
      <c r="J78" s="938"/>
      <c r="K78" s="1534"/>
      <c r="L78" s="903" t="s">
        <v>495</v>
      </c>
      <c r="M78" s="903" t="s">
        <v>496</v>
      </c>
      <c r="N78" s="903" t="s">
        <v>497</v>
      </c>
      <c r="O78" s="903" t="s">
        <v>498</v>
      </c>
      <c r="P78" s="923" t="s">
        <v>499</v>
      </c>
      <c r="R78" s="1532"/>
      <c r="S78" s="1534"/>
      <c r="T78" s="903" t="s">
        <v>495</v>
      </c>
      <c r="U78" s="903" t="s">
        <v>496</v>
      </c>
      <c r="V78" s="903" t="s">
        <v>497</v>
      </c>
      <c r="W78" s="903" t="s">
        <v>498</v>
      </c>
      <c r="X78" s="923" t="s">
        <v>499</v>
      </c>
    </row>
    <row r="79" spans="2:24" ht="15" customHeight="1">
      <c r="B79" s="909" t="s">
        <v>413</v>
      </c>
      <c r="C79" s="939"/>
      <c r="D79" s="940"/>
      <c r="E79" s="940"/>
      <c r="F79" s="940"/>
      <c r="G79" s="855"/>
      <c r="H79" s="941"/>
      <c r="J79" s="909" t="s">
        <v>413</v>
      </c>
      <c r="K79" s="939">
        <f>SUM(G33:H33)</f>
        <v>0</v>
      </c>
      <c r="L79" s="940"/>
      <c r="M79" s="940"/>
      <c r="N79" s="940"/>
      <c r="O79" s="942"/>
      <c r="P79" s="943"/>
      <c r="R79" s="909" t="s">
        <v>413</v>
      </c>
      <c r="S79" s="939">
        <f>SUM(I33:M33)</f>
        <v>0</v>
      </c>
      <c r="T79" s="940"/>
      <c r="U79" s="940"/>
      <c r="V79" s="940"/>
      <c r="W79" s="942"/>
      <c r="X79" s="943"/>
    </row>
    <row r="80" spans="2:24" ht="15" customHeight="1">
      <c r="B80" s="888" t="s">
        <v>223</v>
      </c>
      <c r="C80" s="939"/>
      <c r="D80" s="852"/>
      <c r="E80" s="852"/>
      <c r="F80" s="852"/>
      <c r="G80" s="855"/>
      <c r="H80" s="941"/>
      <c r="J80" s="888" t="s">
        <v>223</v>
      </c>
      <c r="K80" s="939">
        <f>SUM(G34:H34)</f>
        <v>0</v>
      </c>
      <c r="L80" s="852"/>
      <c r="M80" s="852"/>
      <c r="N80" s="852"/>
      <c r="O80" s="855"/>
      <c r="P80" s="941"/>
      <c r="R80" s="888" t="s">
        <v>223</v>
      </c>
      <c r="S80" s="939">
        <f>SUM(I34:M34)</f>
        <v>0</v>
      </c>
      <c r="T80" s="852"/>
      <c r="U80" s="852"/>
      <c r="V80" s="852"/>
      <c r="W80" s="855"/>
      <c r="X80" s="941"/>
    </row>
    <row r="81" spans="2:24" ht="15" customHeight="1">
      <c r="B81" s="888" t="s">
        <v>402</v>
      </c>
      <c r="C81" s="939"/>
      <c r="D81" s="852"/>
      <c r="E81" s="852"/>
      <c r="F81" s="852"/>
      <c r="G81" s="855"/>
      <c r="H81" s="941"/>
      <c r="J81" s="888" t="s">
        <v>402</v>
      </c>
      <c r="K81" s="939">
        <f>SUM(G35:H35)</f>
        <v>0</v>
      </c>
      <c r="L81" s="852"/>
      <c r="M81" s="852"/>
      <c r="N81" s="852"/>
      <c r="O81" s="855"/>
      <c r="P81" s="941"/>
      <c r="R81" s="888" t="s">
        <v>402</v>
      </c>
      <c r="S81" s="939">
        <f>SUM(I35:M35)</f>
        <v>0</v>
      </c>
      <c r="T81" s="852"/>
      <c r="U81" s="852"/>
      <c r="V81" s="852"/>
      <c r="W81" s="855"/>
      <c r="X81" s="941"/>
    </row>
    <row r="82" spans="2:24" ht="15" customHeight="1">
      <c r="B82" s="888" t="s">
        <v>481</v>
      </c>
      <c r="C82" s="939"/>
      <c r="D82" s="852"/>
      <c r="E82" s="852"/>
      <c r="F82" s="852"/>
      <c r="G82" s="855"/>
      <c r="H82" s="941"/>
      <c r="J82" s="888" t="s">
        <v>481</v>
      </c>
      <c r="K82" s="939">
        <f>SUM(G36:H36)</f>
        <v>0</v>
      </c>
      <c r="L82" s="852"/>
      <c r="M82" s="852"/>
      <c r="N82" s="852"/>
      <c r="O82" s="855"/>
      <c r="P82" s="941"/>
      <c r="R82" s="888" t="s">
        <v>481</v>
      </c>
      <c r="S82" s="939">
        <f>SUM(I36:M36)</f>
        <v>0</v>
      </c>
      <c r="T82" s="852"/>
      <c r="U82" s="852"/>
      <c r="V82" s="852"/>
      <c r="W82" s="855"/>
      <c r="X82" s="941"/>
    </row>
    <row r="83" spans="2:24" ht="15" customHeight="1" thickBot="1">
      <c r="B83" s="893" t="s">
        <v>200</v>
      </c>
      <c r="C83" s="944">
        <f t="shared" ref="C83:H83" si="10">SUM(C79:C82)</f>
        <v>0</v>
      </c>
      <c r="D83" s="945">
        <f t="shared" si="10"/>
        <v>0</v>
      </c>
      <c r="E83" s="945">
        <f t="shared" si="10"/>
        <v>0</v>
      </c>
      <c r="F83" s="945">
        <f t="shared" si="10"/>
        <v>0</v>
      </c>
      <c r="G83" s="945">
        <f t="shared" si="10"/>
        <v>0</v>
      </c>
      <c r="H83" s="935">
        <f t="shared" si="10"/>
        <v>0</v>
      </c>
      <c r="J83" s="893" t="s">
        <v>200</v>
      </c>
      <c r="K83" s="944">
        <f t="shared" ref="K83:P83" si="11">SUM(K79:K82)</f>
        <v>0</v>
      </c>
      <c r="L83" s="945">
        <f t="shared" si="11"/>
        <v>0</v>
      </c>
      <c r="M83" s="945">
        <f t="shared" si="11"/>
        <v>0</v>
      </c>
      <c r="N83" s="945">
        <f t="shared" si="11"/>
        <v>0</v>
      </c>
      <c r="O83" s="945">
        <f t="shared" si="11"/>
        <v>0</v>
      </c>
      <c r="P83" s="935">
        <f t="shared" si="11"/>
        <v>0</v>
      </c>
      <c r="R83" s="893" t="s">
        <v>200</v>
      </c>
      <c r="S83" s="944">
        <f t="shared" ref="S83:X83" si="12">SUM(S79:S82)</f>
        <v>0</v>
      </c>
      <c r="T83" s="945">
        <f t="shared" si="12"/>
        <v>0</v>
      </c>
      <c r="U83" s="945">
        <f t="shared" si="12"/>
        <v>0</v>
      </c>
      <c r="V83" s="945">
        <f t="shared" si="12"/>
        <v>0</v>
      </c>
      <c r="W83" s="945">
        <f t="shared" si="12"/>
        <v>0</v>
      </c>
      <c r="X83" s="935">
        <f t="shared" si="12"/>
        <v>0</v>
      </c>
    </row>
    <row r="84" spans="2:24" ht="15" customHeight="1" thickBot="1">
      <c r="J84" s="946"/>
      <c r="K84" s="946"/>
      <c r="L84" s="946"/>
      <c r="M84" s="946"/>
      <c r="N84" s="946"/>
      <c r="O84" s="946"/>
      <c r="P84" s="946"/>
    </row>
    <row r="85" spans="2:24" ht="15" customHeight="1">
      <c r="B85" s="1528" t="s">
        <v>490</v>
      </c>
      <c r="C85" s="1529"/>
      <c r="D85" s="1529"/>
      <c r="E85" s="1529"/>
      <c r="F85" s="1529"/>
      <c r="G85" s="1529"/>
      <c r="H85" s="1530"/>
      <c r="J85" s="1528" t="s">
        <v>491</v>
      </c>
      <c r="K85" s="1529"/>
      <c r="L85" s="1529"/>
      <c r="M85" s="1529"/>
      <c r="N85" s="1529"/>
      <c r="O85" s="1529"/>
      <c r="P85" s="1530"/>
      <c r="R85" s="1528" t="s">
        <v>192</v>
      </c>
      <c r="S85" s="1529"/>
      <c r="T85" s="1529"/>
      <c r="U85" s="1529"/>
      <c r="V85" s="1529"/>
      <c r="W85" s="1529"/>
      <c r="X85" s="1530"/>
    </row>
    <row r="86" spans="2:24" ht="15" customHeight="1">
      <c r="B86" s="1531"/>
      <c r="C86" s="1535" t="s">
        <v>504</v>
      </c>
      <c r="D86" s="1544" t="s">
        <v>505</v>
      </c>
      <c r="E86" s="1545"/>
      <c r="F86" s="1545"/>
      <c r="G86" s="1545"/>
      <c r="H86" s="1546"/>
      <c r="J86" s="898"/>
      <c r="K86" s="1535" t="s">
        <v>504</v>
      </c>
      <c r="L86" s="920" t="s">
        <v>506</v>
      </c>
      <c r="M86" s="921"/>
      <c r="N86" s="921"/>
      <c r="O86" s="921"/>
      <c r="P86" s="922"/>
      <c r="R86" s="1531"/>
      <c r="S86" s="1535" t="s">
        <v>504</v>
      </c>
      <c r="T86" s="920" t="s">
        <v>506</v>
      </c>
      <c r="U86" s="921"/>
      <c r="V86" s="921"/>
      <c r="W86" s="921"/>
      <c r="X86" s="922"/>
    </row>
    <row r="87" spans="2:24" ht="26.25" thickBot="1">
      <c r="B87" s="1532"/>
      <c r="C87" s="1534"/>
      <c r="D87" s="903" t="s">
        <v>495</v>
      </c>
      <c r="E87" s="903" t="s">
        <v>496</v>
      </c>
      <c r="F87" s="903" t="s">
        <v>497</v>
      </c>
      <c r="G87" s="903" t="s">
        <v>498</v>
      </c>
      <c r="H87" s="947" t="s">
        <v>499</v>
      </c>
      <c r="J87" s="938"/>
      <c r="K87" s="1534"/>
      <c r="L87" s="903" t="s">
        <v>495</v>
      </c>
      <c r="M87" s="903" t="s">
        <v>496</v>
      </c>
      <c r="N87" s="903" t="s">
        <v>497</v>
      </c>
      <c r="O87" s="903" t="s">
        <v>498</v>
      </c>
      <c r="P87" s="923"/>
      <c r="R87" s="1532"/>
      <c r="S87" s="1534"/>
      <c r="T87" s="903" t="s">
        <v>495</v>
      </c>
      <c r="U87" s="903" t="s">
        <v>496</v>
      </c>
      <c r="V87" s="903" t="s">
        <v>497</v>
      </c>
      <c r="W87" s="903" t="s">
        <v>498</v>
      </c>
      <c r="X87" s="923"/>
    </row>
    <row r="88" spans="2:24" ht="15" customHeight="1">
      <c r="B88" s="909" t="s">
        <v>413</v>
      </c>
      <c r="C88" s="939">
        <f t="shared" ref="C88:G91" si="13">IF(C70&gt;0,C79*1000/C70,0)</f>
        <v>0</v>
      </c>
      <c r="D88" s="948">
        <f t="shared" si="13"/>
        <v>0</v>
      </c>
      <c r="E88" s="948">
        <f t="shared" si="13"/>
        <v>0</v>
      </c>
      <c r="F88" s="948">
        <f t="shared" si="13"/>
        <v>0</v>
      </c>
      <c r="G88" s="948">
        <f t="shared" si="13"/>
        <v>0</v>
      </c>
      <c r="H88" s="949"/>
      <c r="J88" s="909" t="s">
        <v>413</v>
      </c>
      <c r="K88" s="939">
        <f t="shared" ref="K88:O91" si="14">IF(K70&gt;0,K79*1000/K70,0)</f>
        <v>0</v>
      </c>
      <c r="L88" s="948">
        <f t="shared" si="14"/>
        <v>0</v>
      </c>
      <c r="M88" s="948">
        <f t="shared" si="14"/>
        <v>0</v>
      </c>
      <c r="N88" s="948">
        <f t="shared" si="14"/>
        <v>0</v>
      </c>
      <c r="O88" s="948">
        <f t="shared" si="14"/>
        <v>0</v>
      </c>
      <c r="P88" s="943"/>
      <c r="R88" s="909" t="s">
        <v>413</v>
      </c>
      <c r="S88" s="939">
        <f t="shared" ref="S88:W91" si="15">IF(S70&gt;0,S79*1000/S70,0)</f>
        <v>0</v>
      </c>
      <c r="T88" s="948">
        <f t="shared" si="15"/>
        <v>0</v>
      </c>
      <c r="U88" s="948">
        <f t="shared" si="15"/>
        <v>0</v>
      </c>
      <c r="V88" s="948">
        <f t="shared" si="15"/>
        <v>0</v>
      </c>
      <c r="W88" s="948">
        <f t="shared" si="15"/>
        <v>0</v>
      </c>
      <c r="X88" s="943"/>
    </row>
    <row r="89" spans="2:24" ht="15" customHeight="1">
      <c r="B89" s="888" t="s">
        <v>223</v>
      </c>
      <c r="C89" s="950">
        <f t="shared" si="13"/>
        <v>0</v>
      </c>
      <c r="D89" s="951">
        <f t="shared" si="13"/>
        <v>0</v>
      </c>
      <c r="E89" s="951">
        <f t="shared" si="13"/>
        <v>0</v>
      </c>
      <c r="F89" s="951">
        <f t="shared" si="13"/>
        <v>0</v>
      </c>
      <c r="G89" s="951">
        <f t="shared" si="13"/>
        <v>0</v>
      </c>
      <c r="H89" s="941"/>
      <c r="J89" s="888" t="s">
        <v>223</v>
      </c>
      <c r="K89" s="950">
        <f t="shared" si="14"/>
        <v>0</v>
      </c>
      <c r="L89" s="951">
        <f t="shared" si="14"/>
        <v>0</v>
      </c>
      <c r="M89" s="951">
        <f t="shared" si="14"/>
        <v>0</v>
      </c>
      <c r="N89" s="951">
        <f t="shared" si="14"/>
        <v>0</v>
      </c>
      <c r="O89" s="951">
        <f t="shared" si="14"/>
        <v>0</v>
      </c>
      <c r="P89" s="941"/>
      <c r="R89" s="888" t="s">
        <v>223</v>
      </c>
      <c r="S89" s="950">
        <f t="shared" si="15"/>
        <v>0</v>
      </c>
      <c r="T89" s="951">
        <f t="shared" si="15"/>
        <v>0</v>
      </c>
      <c r="U89" s="951">
        <f t="shared" si="15"/>
        <v>0</v>
      </c>
      <c r="V89" s="951">
        <f t="shared" si="15"/>
        <v>0</v>
      </c>
      <c r="W89" s="951">
        <f t="shared" si="15"/>
        <v>0</v>
      </c>
      <c r="X89" s="941"/>
    </row>
    <row r="90" spans="2:24" ht="15" customHeight="1">
      <c r="B90" s="888" t="s">
        <v>402</v>
      </c>
      <c r="C90" s="950">
        <f t="shared" si="13"/>
        <v>0</v>
      </c>
      <c r="D90" s="951">
        <f t="shared" si="13"/>
        <v>0</v>
      </c>
      <c r="E90" s="951">
        <f t="shared" si="13"/>
        <v>0</v>
      </c>
      <c r="F90" s="951">
        <f t="shared" si="13"/>
        <v>0</v>
      </c>
      <c r="G90" s="951">
        <f t="shared" si="13"/>
        <v>0</v>
      </c>
      <c r="H90" s="941"/>
      <c r="J90" s="888" t="s">
        <v>402</v>
      </c>
      <c r="K90" s="950">
        <f t="shared" si="14"/>
        <v>0</v>
      </c>
      <c r="L90" s="951">
        <f t="shared" si="14"/>
        <v>0</v>
      </c>
      <c r="M90" s="951">
        <f t="shared" si="14"/>
        <v>0</v>
      </c>
      <c r="N90" s="951">
        <f t="shared" si="14"/>
        <v>0</v>
      </c>
      <c r="O90" s="951">
        <f t="shared" si="14"/>
        <v>0</v>
      </c>
      <c r="P90" s="941"/>
      <c r="R90" s="888" t="s">
        <v>402</v>
      </c>
      <c r="S90" s="950">
        <f t="shared" si="15"/>
        <v>0</v>
      </c>
      <c r="T90" s="951">
        <f t="shared" si="15"/>
        <v>0</v>
      </c>
      <c r="U90" s="951">
        <f t="shared" si="15"/>
        <v>0</v>
      </c>
      <c r="V90" s="951">
        <f t="shared" si="15"/>
        <v>0</v>
      </c>
      <c r="W90" s="951">
        <f t="shared" si="15"/>
        <v>0</v>
      </c>
      <c r="X90" s="941"/>
    </row>
    <row r="91" spans="2:24" ht="15" customHeight="1" thickBot="1">
      <c r="B91" s="952" t="s">
        <v>481</v>
      </c>
      <c r="C91" s="953">
        <f t="shared" si="13"/>
        <v>0</v>
      </c>
      <c r="D91" s="954">
        <f t="shared" si="13"/>
        <v>0</v>
      </c>
      <c r="E91" s="954">
        <f t="shared" si="13"/>
        <v>0</v>
      </c>
      <c r="F91" s="954">
        <f t="shared" si="13"/>
        <v>0</v>
      </c>
      <c r="G91" s="954">
        <f t="shared" si="13"/>
        <v>0</v>
      </c>
      <c r="H91" s="955"/>
      <c r="J91" s="952" t="s">
        <v>481</v>
      </c>
      <c r="K91" s="953">
        <f t="shared" si="14"/>
        <v>0</v>
      </c>
      <c r="L91" s="954">
        <f t="shared" si="14"/>
        <v>0</v>
      </c>
      <c r="M91" s="954">
        <f t="shared" si="14"/>
        <v>0</v>
      </c>
      <c r="N91" s="954">
        <f t="shared" si="14"/>
        <v>0</v>
      </c>
      <c r="O91" s="954">
        <f t="shared" si="14"/>
        <v>0</v>
      </c>
      <c r="P91" s="955"/>
      <c r="R91" s="952" t="s">
        <v>481</v>
      </c>
      <c r="S91" s="953">
        <f t="shared" si="15"/>
        <v>0</v>
      </c>
      <c r="T91" s="954">
        <f t="shared" si="15"/>
        <v>0</v>
      </c>
      <c r="U91" s="954">
        <f t="shared" si="15"/>
        <v>0</v>
      </c>
      <c r="V91" s="954">
        <f t="shared" si="15"/>
        <v>0</v>
      </c>
      <c r="W91" s="954">
        <f t="shared" si="15"/>
        <v>0</v>
      </c>
      <c r="X91" s="955"/>
    </row>
    <row r="92" spans="2:24" ht="15" customHeight="1"/>
    <row r="93" spans="2:24" ht="15" customHeight="1"/>
    <row r="94" spans="2:24" ht="15" customHeight="1">
      <c r="B94" s="834" t="s">
        <v>507</v>
      </c>
    </row>
    <row r="95" spans="2:24" ht="15" customHeight="1" thickBot="1"/>
    <row r="96" spans="2:24" ht="15" customHeight="1">
      <c r="B96" s="956"/>
      <c r="C96" s="885" t="s">
        <v>484</v>
      </c>
      <c r="D96" s="886" t="s">
        <v>485</v>
      </c>
      <c r="E96" s="886" t="s">
        <v>486</v>
      </c>
      <c r="F96" s="886" t="s">
        <v>487</v>
      </c>
      <c r="G96" s="886" t="s">
        <v>488</v>
      </c>
      <c r="H96" s="887" t="s">
        <v>489</v>
      </c>
      <c r="I96" s="834"/>
    </row>
    <row r="97" spans="2:24" ht="15" customHeight="1">
      <c r="B97" s="909" t="s">
        <v>413</v>
      </c>
      <c r="C97" s="910">
        <f>D97+E97</f>
        <v>0</v>
      </c>
      <c r="D97" s="957">
        <f>C107</f>
        <v>0</v>
      </c>
      <c r="E97" s="912"/>
      <c r="F97" s="957">
        <f>K107</f>
        <v>0</v>
      </c>
      <c r="G97" s="957">
        <f>S107</f>
        <v>0</v>
      </c>
      <c r="H97" s="958">
        <f>E97-SUM(F97:G97)</f>
        <v>0</v>
      </c>
      <c r="I97" s="834"/>
    </row>
    <row r="98" spans="2:24" ht="15" customHeight="1">
      <c r="B98" s="888" t="s">
        <v>223</v>
      </c>
      <c r="C98" s="910">
        <f>D98+E98</f>
        <v>0</v>
      </c>
      <c r="D98" s="957">
        <f>C108</f>
        <v>0</v>
      </c>
      <c r="E98" s="912"/>
      <c r="F98" s="957">
        <f>K108</f>
        <v>0</v>
      </c>
      <c r="G98" s="957">
        <f>S108</f>
        <v>0</v>
      </c>
      <c r="H98" s="958">
        <f>E98-SUM(F98:G98)</f>
        <v>0</v>
      </c>
      <c r="I98" s="834"/>
    </row>
    <row r="99" spans="2:24" ht="15" customHeight="1">
      <c r="B99" s="888" t="s">
        <v>402</v>
      </c>
      <c r="C99" s="910">
        <f>D99+E99</f>
        <v>0</v>
      </c>
      <c r="D99" s="957">
        <f>C109</f>
        <v>0</v>
      </c>
      <c r="E99" s="912"/>
      <c r="F99" s="957">
        <f>K109</f>
        <v>0</v>
      </c>
      <c r="G99" s="957">
        <f>S109</f>
        <v>0</v>
      </c>
      <c r="H99" s="958">
        <f>E99-SUM(F99:G99)</f>
        <v>0</v>
      </c>
      <c r="I99" s="834"/>
    </row>
    <row r="100" spans="2:24" ht="15" customHeight="1">
      <c r="B100" s="888" t="s">
        <v>481</v>
      </c>
      <c r="C100" s="910">
        <f>D100+E100</f>
        <v>0</v>
      </c>
      <c r="D100" s="957">
        <f>C110</f>
        <v>0</v>
      </c>
      <c r="E100" s="912"/>
      <c r="F100" s="957">
        <f>K110</f>
        <v>0</v>
      </c>
      <c r="G100" s="957">
        <f>S110</f>
        <v>0</v>
      </c>
      <c r="H100" s="958">
        <f>E100-SUM(F100:G100)</f>
        <v>0</v>
      </c>
      <c r="I100" s="834"/>
    </row>
    <row r="101" spans="2:24" ht="15" customHeight="1" thickBot="1">
      <c r="B101" s="893" t="s">
        <v>200</v>
      </c>
      <c r="C101" s="894">
        <f t="shared" ref="C101:H101" si="16">SUM(C97:C100)</f>
        <v>0</v>
      </c>
      <c r="D101" s="895">
        <f t="shared" si="16"/>
        <v>0</v>
      </c>
      <c r="E101" s="895">
        <f t="shared" si="16"/>
        <v>0</v>
      </c>
      <c r="F101" s="895">
        <f t="shared" si="16"/>
        <v>0</v>
      </c>
      <c r="G101" s="895">
        <f t="shared" si="16"/>
        <v>0</v>
      </c>
      <c r="H101" s="896">
        <f t="shared" si="16"/>
        <v>0</v>
      </c>
      <c r="I101" s="834"/>
    </row>
    <row r="102" spans="2:24" ht="15" customHeight="1">
      <c r="B102" s="834"/>
      <c r="C102" s="834"/>
      <c r="D102" s="834"/>
      <c r="E102" s="834"/>
      <c r="F102" s="834"/>
      <c r="G102" s="834"/>
      <c r="H102" s="834"/>
      <c r="I102" s="834"/>
    </row>
    <row r="103" spans="2:24" ht="15" customHeight="1" thickBot="1"/>
    <row r="104" spans="2:24" ht="15" customHeight="1">
      <c r="B104" s="1528" t="s">
        <v>490</v>
      </c>
      <c r="C104" s="1529"/>
      <c r="D104" s="1529"/>
      <c r="E104" s="1529"/>
      <c r="F104" s="1529"/>
      <c r="G104" s="1529"/>
      <c r="H104" s="1530"/>
      <c r="I104" s="897"/>
      <c r="J104" s="1528" t="s">
        <v>491</v>
      </c>
      <c r="K104" s="1529"/>
      <c r="L104" s="1529"/>
      <c r="M104" s="1529"/>
      <c r="N104" s="1529"/>
      <c r="O104" s="1529"/>
      <c r="P104" s="1530"/>
      <c r="R104" s="1528" t="s">
        <v>192</v>
      </c>
      <c r="S104" s="1529"/>
      <c r="T104" s="1529"/>
      <c r="U104" s="1529"/>
      <c r="V104" s="1529"/>
      <c r="W104" s="1529"/>
      <c r="X104" s="1530"/>
    </row>
    <row r="105" spans="2:24" ht="15" customHeight="1">
      <c r="B105" s="1531"/>
      <c r="C105" s="1535" t="s">
        <v>492</v>
      </c>
      <c r="D105" s="1538" t="s">
        <v>493</v>
      </c>
      <c r="E105" s="1539"/>
      <c r="F105" s="1539"/>
      <c r="G105" s="1539"/>
      <c r="H105" s="1540"/>
      <c r="J105" s="959"/>
      <c r="K105" s="1541" t="s">
        <v>492</v>
      </c>
      <c r="L105" s="916" t="s">
        <v>494</v>
      </c>
      <c r="M105" s="917"/>
      <c r="N105" s="917"/>
      <c r="O105" s="917"/>
      <c r="P105" s="918"/>
      <c r="R105" s="898"/>
      <c r="S105" s="1543" t="s">
        <v>492</v>
      </c>
      <c r="T105" s="920" t="s">
        <v>494</v>
      </c>
      <c r="U105" s="921"/>
      <c r="V105" s="921"/>
      <c r="W105" s="921"/>
      <c r="X105" s="922"/>
    </row>
    <row r="106" spans="2:24" ht="25.5">
      <c r="B106" s="1532"/>
      <c r="C106" s="1534"/>
      <c r="D106" s="903" t="s">
        <v>508</v>
      </c>
      <c r="E106" s="903" t="s">
        <v>497</v>
      </c>
      <c r="F106" s="903" t="s">
        <v>410</v>
      </c>
      <c r="G106" s="903" t="s">
        <v>509</v>
      </c>
      <c r="H106" s="904" t="s">
        <v>499</v>
      </c>
      <c r="I106" s="905"/>
      <c r="J106" s="906"/>
      <c r="K106" s="1542"/>
      <c r="L106" s="903" t="s">
        <v>508</v>
      </c>
      <c r="M106" s="903" t="s">
        <v>497</v>
      </c>
      <c r="N106" s="903" t="s">
        <v>410</v>
      </c>
      <c r="O106" s="903" t="s">
        <v>509</v>
      </c>
      <c r="P106" s="904" t="s">
        <v>499</v>
      </c>
      <c r="R106" s="906"/>
      <c r="S106" s="1542"/>
      <c r="T106" s="960" t="s">
        <v>508</v>
      </c>
      <c r="U106" s="960" t="s">
        <v>497</v>
      </c>
      <c r="V106" s="960" t="s">
        <v>410</v>
      </c>
      <c r="W106" s="960" t="s">
        <v>509</v>
      </c>
      <c r="X106" s="961" t="s">
        <v>499</v>
      </c>
    </row>
    <row r="107" spans="2:24" ht="15" customHeight="1">
      <c r="B107" s="909" t="s">
        <v>413</v>
      </c>
      <c r="C107" s="910">
        <f>SUM(D107:H107)</f>
        <v>0</v>
      </c>
      <c r="D107" s="911"/>
      <c r="E107" s="911"/>
      <c r="F107" s="911"/>
      <c r="G107" s="912"/>
      <c r="H107" s="913"/>
      <c r="I107" s="905"/>
      <c r="J107" s="909" t="s">
        <v>413</v>
      </c>
      <c r="K107" s="910">
        <f>SUM(L107:P107)</f>
        <v>0</v>
      </c>
      <c r="L107" s="911"/>
      <c r="M107" s="911"/>
      <c r="N107" s="911"/>
      <c r="O107" s="912"/>
      <c r="P107" s="913"/>
      <c r="R107" s="909" t="s">
        <v>413</v>
      </c>
      <c r="S107" s="910">
        <f>SUM(T107:X107)</f>
        <v>0</v>
      </c>
      <c r="T107" s="911"/>
      <c r="U107" s="911"/>
      <c r="V107" s="911"/>
      <c r="W107" s="912"/>
      <c r="X107" s="913"/>
    </row>
    <row r="108" spans="2:24" ht="15" customHeight="1">
      <c r="B108" s="888" t="s">
        <v>223</v>
      </c>
      <c r="C108" s="910">
        <f>SUM(D108:H108)</f>
        <v>0</v>
      </c>
      <c r="D108" s="907"/>
      <c r="E108" s="907"/>
      <c r="F108" s="907"/>
      <c r="G108" s="891"/>
      <c r="H108" s="908"/>
      <c r="I108" s="905"/>
      <c r="J108" s="888" t="s">
        <v>223</v>
      </c>
      <c r="K108" s="910">
        <f>SUM(L108:P108)</f>
        <v>0</v>
      </c>
      <c r="L108" s="907"/>
      <c r="M108" s="907"/>
      <c r="N108" s="907"/>
      <c r="O108" s="891"/>
      <c r="P108" s="908"/>
      <c r="R108" s="888" t="s">
        <v>223</v>
      </c>
      <c r="S108" s="910">
        <f>SUM(T108:X108)</f>
        <v>0</v>
      </c>
      <c r="T108" s="907"/>
      <c r="U108" s="907"/>
      <c r="V108" s="907"/>
      <c r="W108" s="891"/>
      <c r="X108" s="908"/>
    </row>
    <row r="109" spans="2:24" ht="15" customHeight="1">
      <c r="B109" s="888" t="s">
        <v>402</v>
      </c>
      <c r="C109" s="910">
        <f>SUM(D109:H109)</f>
        <v>0</v>
      </c>
      <c r="D109" s="907"/>
      <c r="E109" s="907"/>
      <c r="F109" s="907"/>
      <c r="G109" s="891"/>
      <c r="H109" s="908"/>
      <c r="I109" s="905"/>
      <c r="J109" s="888" t="s">
        <v>402</v>
      </c>
      <c r="K109" s="910">
        <f>SUM(L109:P109)</f>
        <v>0</v>
      </c>
      <c r="L109" s="907"/>
      <c r="M109" s="907"/>
      <c r="N109" s="907"/>
      <c r="O109" s="891"/>
      <c r="P109" s="908"/>
      <c r="R109" s="888" t="s">
        <v>402</v>
      </c>
      <c r="S109" s="910">
        <f>SUM(T109:X109)</f>
        <v>0</v>
      </c>
      <c r="T109" s="907"/>
      <c r="U109" s="907"/>
      <c r="V109" s="907"/>
      <c r="W109" s="891"/>
      <c r="X109" s="908"/>
    </row>
    <row r="110" spans="2:24" ht="15" customHeight="1">
      <c r="B110" s="888" t="s">
        <v>481</v>
      </c>
      <c r="C110" s="910">
        <f>SUM(D110:H110)</f>
        <v>0</v>
      </c>
      <c r="D110" s="907"/>
      <c r="E110" s="907"/>
      <c r="F110" s="907"/>
      <c r="G110" s="891"/>
      <c r="H110" s="908"/>
      <c r="I110" s="905"/>
      <c r="J110" s="888" t="s">
        <v>481</v>
      </c>
      <c r="K110" s="910">
        <f>SUM(L110:P110)</f>
        <v>0</v>
      </c>
      <c r="L110" s="907"/>
      <c r="M110" s="907"/>
      <c r="N110" s="907"/>
      <c r="O110" s="891"/>
      <c r="P110" s="908"/>
      <c r="R110" s="888" t="s">
        <v>481</v>
      </c>
      <c r="S110" s="910">
        <f>SUM(T110:X110)</f>
        <v>0</v>
      </c>
      <c r="T110" s="907"/>
      <c r="U110" s="907"/>
      <c r="V110" s="907"/>
      <c r="W110" s="891"/>
      <c r="X110" s="908"/>
    </row>
    <row r="111" spans="2:24" ht="15" customHeight="1" thickBot="1">
      <c r="B111" s="893" t="s">
        <v>200</v>
      </c>
      <c r="C111" s="894">
        <f t="shared" ref="C111:H111" si="17">SUM(C107:C110)</f>
        <v>0</v>
      </c>
      <c r="D111" s="895">
        <f t="shared" si="17"/>
        <v>0</v>
      </c>
      <c r="E111" s="895">
        <f t="shared" si="17"/>
        <v>0</v>
      </c>
      <c r="F111" s="895">
        <f t="shared" si="17"/>
        <v>0</v>
      </c>
      <c r="G111" s="895">
        <f t="shared" si="17"/>
        <v>0</v>
      </c>
      <c r="H111" s="896">
        <f t="shared" si="17"/>
        <v>0</v>
      </c>
      <c r="I111" s="905"/>
      <c r="J111" s="893" t="s">
        <v>200</v>
      </c>
      <c r="K111" s="894">
        <f t="shared" ref="K111:P111" si="18">SUM(K107:K110)</f>
        <v>0</v>
      </c>
      <c r="L111" s="895">
        <f t="shared" si="18"/>
        <v>0</v>
      </c>
      <c r="M111" s="895">
        <f t="shared" si="18"/>
        <v>0</v>
      </c>
      <c r="N111" s="895">
        <f t="shared" si="18"/>
        <v>0</v>
      </c>
      <c r="O111" s="895">
        <f t="shared" si="18"/>
        <v>0</v>
      </c>
      <c r="P111" s="896">
        <f t="shared" si="18"/>
        <v>0</v>
      </c>
      <c r="R111" s="893" t="s">
        <v>200</v>
      </c>
      <c r="S111" s="894">
        <f t="shared" ref="S111:X111" si="19">SUM(S107:S110)</f>
        <v>0</v>
      </c>
      <c r="T111" s="895">
        <f t="shared" si="19"/>
        <v>0</v>
      </c>
      <c r="U111" s="895">
        <f t="shared" si="19"/>
        <v>0</v>
      </c>
      <c r="V111" s="895">
        <f t="shared" si="19"/>
        <v>0</v>
      </c>
      <c r="W111" s="895">
        <f t="shared" si="19"/>
        <v>0</v>
      </c>
      <c r="X111" s="896">
        <f t="shared" si="19"/>
        <v>0</v>
      </c>
    </row>
    <row r="112" spans="2:24" ht="15" customHeight="1" thickBot="1">
      <c r="B112" s="914"/>
      <c r="C112" s="915"/>
      <c r="D112" s="915"/>
      <c r="E112" s="915"/>
      <c r="F112" s="915"/>
      <c r="G112" s="915"/>
      <c r="H112" s="915"/>
      <c r="I112" s="905"/>
      <c r="J112" s="914"/>
      <c r="K112" s="915"/>
      <c r="L112" s="915"/>
      <c r="M112" s="915"/>
      <c r="N112" s="915"/>
      <c r="O112" s="915"/>
      <c r="P112" s="915"/>
      <c r="R112" s="914"/>
      <c r="S112" s="915"/>
      <c r="T112" s="915"/>
      <c r="U112" s="915"/>
      <c r="V112" s="915"/>
      <c r="W112" s="915"/>
      <c r="X112" s="915"/>
    </row>
    <row r="113" spans="2:24" ht="15" customHeight="1">
      <c r="B113" s="1528" t="s">
        <v>490</v>
      </c>
      <c r="C113" s="1529"/>
      <c r="D113" s="1529"/>
      <c r="E113" s="1529"/>
      <c r="F113" s="1529"/>
      <c r="G113" s="1529"/>
      <c r="H113" s="1530"/>
      <c r="I113" s="897"/>
      <c r="J113" s="1528" t="s">
        <v>491</v>
      </c>
      <c r="K113" s="1529"/>
      <c r="L113" s="1529"/>
      <c r="M113" s="1529"/>
      <c r="N113" s="1529"/>
      <c r="O113" s="1529"/>
      <c r="P113" s="1530"/>
      <c r="R113" s="1528" t="s">
        <v>192</v>
      </c>
      <c r="S113" s="1529"/>
      <c r="T113" s="1529"/>
      <c r="U113" s="1529"/>
      <c r="V113" s="1529"/>
      <c r="W113" s="1529"/>
      <c r="X113" s="1530"/>
    </row>
    <row r="114" spans="2:24" ht="15" customHeight="1">
      <c r="B114" s="1531"/>
      <c r="C114" s="1536" t="s">
        <v>500</v>
      </c>
      <c r="D114" s="920" t="s">
        <v>493</v>
      </c>
      <c r="E114" s="921"/>
      <c r="F114" s="921"/>
      <c r="G114" s="921"/>
      <c r="H114" s="922"/>
      <c r="J114" s="962"/>
      <c r="K114" s="1533" t="s">
        <v>500</v>
      </c>
      <c r="L114" s="916" t="s">
        <v>494</v>
      </c>
      <c r="M114" s="917"/>
      <c r="N114" s="917"/>
      <c r="O114" s="917"/>
      <c r="P114" s="918"/>
      <c r="R114" s="919"/>
      <c r="S114" s="1533" t="s">
        <v>500</v>
      </c>
      <c r="T114" s="916" t="s">
        <v>494</v>
      </c>
      <c r="U114" s="917"/>
      <c r="V114" s="917"/>
      <c r="W114" s="917"/>
      <c r="X114" s="918"/>
    </row>
    <row r="115" spans="2:24" ht="25.5">
      <c r="B115" s="1532"/>
      <c r="C115" s="1537"/>
      <c r="D115" s="903" t="s">
        <v>508</v>
      </c>
      <c r="E115" s="903" t="s">
        <v>497</v>
      </c>
      <c r="F115" s="903" t="s">
        <v>410</v>
      </c>
      <c r="G115" s="903" t="s">
        <v>509</v>
      </c>
      <c r="H115" s="904" t="s">
        <v>499</v>
      </c>
      <c r="I115" s="905"/>
      <c r="J115" s="924"/>
      <c r="K115" s="1534"/>
      <c r="L115" s="903" t="s">
        <v>508</v>
      </c>
      <c r="M115" s="903" t="s">
        <v>497</v>
      </c>
      <c r="N115" s="903" t="s">
        <v>410</v>
      </c>
      <c r="O115" s="903" t="s">
        <v>509</v>
      </c>
      <c r="P115" s="904" t="s">
        <v>499</v>
      </c>
      <c r="R115" s="924"/>
      <c r="S115" s="1534"/>
      <c r="T115" s="960" t="s">
        <v>508</v>
      </c>
      <c r="U115" s="960" t="s">
        <v>497</v>
      </c>
      <c r="V115" s="960" t="s">
        <v>410</v>
      </c>
      <c r="W115" s="960" t="s">
        <v>509</v>
      </c>
      <c r="X115" s="961" t="s">
        <v>499</v>
      </c>
    </row>
    <row r="116" spans="2:24" ht="15" customHeight="1">
      <c r="B116" s="925" t="s">
        <v>413</v>
      </c>
      <c r="C116" s="911"/>
      <c r="D116" s="911"/>
      <c r="E116" s="911"/>
      <c r="F116" s="911"/>
      <c r="G116" s="928"/>
      <c r="H116" s="926"/>
      <c r="I116" s="905"/>
      <c r="J116" s="909" t="s">
        <v>413</v>
      </c>
      <c r="K116" s="927"/>
      <c r="L116" s="911"/>
      <c r="M116" s="911"/>
      <c r="N116" s="911"/>
      <c r="O116" s="912"/>
      <c r="P116" s="928"/>
      <c r="R116" s="909" t="s">
        <v>413</v>
      </c>
      <c r="S116" s="927"/>
      <c r="T116" s="911"/>
      <c r="U116" s="911"/>
      <c r="V116" s="911"/>
      <c r="W116" s="912"/>
      <c r="X116" s="928"/>
    </row>
    <row r="117" spans="2:24" ht="15" customHeight="1">
      <c r="B117" s="929" t="s">
        <v>223</v>
      </c>
      <c r="C117" s="907"/>
      <c r="D117" s="907"/>
      <c r="E117" s="907"/>
      <c r="F117" s="907"/>
      <c r="G117" s="932"/>
      <c r="H117" s="930"/>
      <c r="I117" s="905"/>
      <c r="J117" s="888" t="s">
        <v>223</v>
      </c>
      <c r="K117" s="931"/>
      <c r="L117" s="907"/>
      <c r="M117" s="907"/>
      <c r="N117" s="907"/>
      <c r="O117" s="891"/>
      <c r="P117" s="932"/>
      <c r="R117" s="888" t="s">
        <v>223</v>
      </c>
      <c r="S117" s="931"/>
      <c r="T117" s="907"/>
      <c r="U117" s="907"/>
      <c r="V117" s="907"/>
      <c r="W117" s="891"/>
      <c r="X117" s="932"/>
    </row>
    <row r="118" spans="2:24" ht="15" customHeight="1">
      <c r="B118" s="929" t="s">
        <v>402</v>
      </c>
      <c r="C118" s="907"/>
      <c r="D118" s="907"/>
      <c r="E118" s="907"/>
      <c r="F118" s="907"/>
      <c r="G118" s="932"/>
      <c r="H118" s="930"/>
      <c r="I118" s="905"/>
      <c r="J118" s="888" t="s">
        <v>402</v>
      </c>
      <c r="K118" s="931"/>
      <c r="L118" s="907"/>
      <c r="M118" s="907"/>
      <c r="N118" s="907"/>
      <c r="O118" s="891"/>
      <c r="P118" s="932"/>
      <c r="R118" s="888" t="s">
        <v>402</v>
      </c>
      <c r="S118" s="931"/>
      <c r="T118" s="907"/>
      <c r="U118" s="907"/>
      <c r="V118" s="907"/>
      <c r="W118" s="891"/>
      <c r="X118" s="932"/>
    </row>
    <row r="119" spans="2:24" ht="15" customHeight="1">
      <c r="B119" s="929" t="s">
        <v>481</v>
      </c>
      <c r="C119" s="907"/>
      <c r="D119" s="907"/>
      <c r="E119" s="907"/>
      <c r="F119" s="907"/>
      <c r="G119" s="932"/>
      <c r="H119" s="930"/>
      <c r="I119" s="905"/>
      <c r="J119" s="888" t="s">
        <v>481</v>
      </c>
      <c r="K119" s="931"/>
      <c r="L119" s="907"/>
      <c r="M119" s="907"/>
      <c r="N119" s="907"/>
      <c r="O119" s="891"/>
      <c r="P119" s="932"/>
      <c r="R119" s="888" t="s">
        <v>481</v>
      </c>
      <c r="S119" s="931"/>
      <c r="T119" s="907"/>
      <c r="U119" s="907"/>
      <c r="V119" s="907"/>
      <c r="W119" s="891"/>
      <c r="X119" s="932"/>
    </row>
    <row r="120" spans="2:24" ht="15" customHeight="1" thickBot="1">
      <c r="B120" s="933" t="s">
        <v>200</v>
      </c>
      <c r="C120" s="934">
        <f>SUM(C116:C119)</f>
        <v>0</v>
      </c>
      <c r="D120" s="895">
        <f>SUM(D116:D119)</f>
        <v>0</v>
      </c>
      <c r="E120" s="895">
        <f>SUM(E116:E119)</f>
        <v>0</v>
      </c>
      <c r="F120" s="895">
        <f>SUM(F116:F119)</f>
        <v>0</v>
      </c>
      <c r="G120" s="963"/>
      <c r="H120" s="935">
        <f>SUM(H116:H119)</f>
        <v>0</v>
      </c>
      <c r="I120" s="905"/>
      <c r="J120" s="893" t="s">
        <v>200</v>
      </c>
      <c r="K120" s="894">
        <f t="shared" ref="K120:P120" si="20">SUM(K116:K119)</f>
        <v>0</v>
      </c>
      <c r="L120" s="895">
        <f t="shared" si="20"/>
        <v>0</v>
      </c>
      <c r="M120" s="895">
        <f t="shared" si="20"/>
        <v>0</v>
      </c>
      <c r="N120" s="895">
        <f t="shared" si="20"/>
        <v>0</v>
      </c>
      <c r="O120" s="895">
        <f t="shared" si="20"/>
        <v>0</v>
      </c>
      <c r="P120" s="935">
        <f t="shared" si="20"/>
        <v>0</v>
      </c>
      <c r="R120" s="893" t="s">
        <v>200</v>
      </c>
      <c r="S120" s="894">
        <f t="shared" ref="S120:X120" si="21">SUM(S116:S119)</f>
        <v>0</v>
      </c>
      <c r="T120" s="895">
        <f t="shared" si="21"/>
        <v>0</v>
      </c>
      <c r="U120" s="895">
        <f t="shared" si="21"/>
        <v>0</v>
      </c>
      <c r="V120" s="895">
        <f t="shared" si="21"/>
        <v>0</v>
      </c>
      <c r="W120" s="895">
        <f t="shared" si="21"/>
        <v>0</v>
      </c>
      <c r="X120" s="935">
        <f t="shared" si="21"/>
        <v>0</v>
      </c>
    </row>
    <row r="121" spans="2:24" ht="15" customHeight="1" thickBot="1">
      <c r="B121" s="914"/>
      <c r="C121" s="915"/>
      <c r="D121" s="915"/>
      <c r="E121" s="915"/>
      <c r="F121" s="915"/>
      <c r="G121" s="915"/>
      <c r="H121" s="915"/>
      <c r="I121" s="905"/>
      <c r="J121" s="914"/>
      <c r="K121" s="915"/>
      <c r="L121" s="915"/>
      <c r="M121" s="915"/>
      <c r="N121" s="915"/>
      <c r="O121" s="915"/>
      <c r="P121" s="915"/>
      <c r="R121" s="914"/>
      <c r="S121" s="915"/>
      <c r="T121" s="915"/>
      <c r="U121" s="915"/>
      <c r="V121" s="915"/>
      <c r="W121" s="915"/>
      <c r="X121" s="915"/>
    </row>
    <row r="122" spans="2:24" ht="15" customHeight="1">
      <c r="B122" s="1528" t="s">
        <v>490</v>
      </c>
      <c r="C122" s="1529"/>
      <c r="D122" s="1529"/>
      <c r="E122" s="1529"/>
      <c r="F122" s="1529"/>
      <c r="G122" s="1529"/>
      <c r="H122" s="1530"/>
      <c r="J122" s="1528" t="s">
        <v>491</v>
      </c>
      <c r="K122" s="1529"/>
      <c r="L122" s="1529"/>
      <c r="M122" s="1529"/>
      <c r="N122" s="1529"/>
      <c r="O122" s="1529"/>
      <c r="P122" s="1530"/>
      <c r="R122" s="1528" t="s">
        <v>192</v>
      </c>
      <c r="S122" s="1529"/>
      <c r="T122" s="1529"/>
      <c r="U122" s="1529"/>
      <c r="V122" s="1529"/>
      <c r="W122" s="1529"/>
      <c r="X122" s="1530"/>
    </row>
    <row r="123" spans="2:24" ht="15" customHeight="1">
      <c r="B123" s="1531"/>
      <c r="C123" s="1533" t="s">
        <v>501</v>
      </c>
      <c r="D123" s="916" t="s">
        <v>502</v>
      </c>
      <c r="E123" s="917"/>
      <c r="F123" s="917"/>
      <c r="G123" s="917"/>
      <c r="H123" s="918"/>
      <c r="J123" s="898"/>
      <c r="K123" s="1535" t="s">
        <v>501</v>
      </c>
      <c r="L123" s="920" t="s">
        <v>503</v>
      </c>
      <c r="M123" s="921"/>
      <c r="N123" s="921"/>
      <c r="O123" s="921"/>
      <c r="P123" s="922"/>
      <c r="R123" s="959"/>
      <c r="S123" s="1533" t="s">
        <v>501</v>
      </c>
      <c r="T123" s="916" t="s">
        <v>503</v>
      </c>
      <c r="U123" s="917"/>
      <c r="V123" s="917"/>
      <c r="W123" s="917"/>
      <c r="X123" s="918"/>
    </row>
    <row r="124" spans="2:24" ht="25.5">
      <c r="B124" s="1532"/>
      <c r="C124" s="1534"/>
      <c r="D124" s="903" t="s">
        <v>508</v>
      </c>
      <c r="E124" s="903" t="s">
        <v>497</v>
      </c>
      <c r="F124" s="903" t="s">
        <v>410</v>
      </c>
      <c r="G124" s="903" t="s">
        <v>509</v>
      </c>
      <c r="H124" s="904" t="s">
        <v>499</v>
      </c>
      <c r="J124" s="938"/>
      <c r="K124" s="1534"/>
      <c r="L124" s="903" t="s">
        <v>508</v>
      </c>
      <c r="M124" s="903" t="s">
        <v>497</v>
      </c>
      <c r="N124" s="903" t="s">
        <v>410</v>
      </c>
      <c r="O124" s="903" t="s">
        <v>509</v>
      </c>
      <c r="P124" s="904" t="s">
        <v>499</v>
      </c>
      <c r="R124" s="938"/>
      <c r="S124" s="1534"/>
      <c r="T124" s="960" t="s">
        <v>508</v>
      </c>
      <c r="U124" s="960" t="s">
        <v>497</v>
      </c>
      <c r="V124" s="960" t="s">
        <v>410</v>
      </c>
      <c r="W124" s="960" t="s">
        <v>509</v>
      </c>
      <c r="X124" s="961" t="s">
        <v>499</v>
      </c>
    </row>
    <row r="125" spans="2:24" ht="15" customHeight="1">
      <c r="B125" s="909" t="s">
        <v>413</v>
      </c>
      <c r="C125" s="939">
        <f>SUM(D42:F42)</f>
        <v>0</v>
      </c>
      <c r="D125" s="940"/>
      <c r="E125" s="940"/>
      <c r="F125" s="940"/>
      <c r="G125" s="928"/>
      <c r="H125" s="943"/>
      <c r="J125" s="909" t="s">
        <v>413</v>
      </c>
      <c r="K125" s="939">
        <f>SUM(G42:H42)</f>
        <v>0</v>
      </c>
      <c r="L125" s="940"/>
      <c r="M125" s="940"/>
      <c r="N125" s="940"/>
      <c r="O125" s="928"/>
      <c r="P125" s="943"/>
      <c r="R125" s="909" t="s">
        <v>413</v>
      </c>
      <c r="S125" s="939">
        <f>SUM(I42:M42)</f>
        <v>0</v>
      </c>
      <c r="T125" s="940"/>
      <c r="U125" s="940"/>
      <c r="V125" s="940"/>
      <c r="W125" s="928"/>
      <c r="X125" s="943"/>
    </row>
    <row r="126" spans="2:24" ht="15" customHeight="1">
      <c r="B126" s="888" t="s">
        <v>223</v>
      </c>
      <c r="C126" s="939">
        <f>SUM(D43:F43)</f>
        <v>0</v>
      </c>
      <c r="D126" s="852"/>
      <c r="E126" s="852"/>
      <c r="F126" s="852"/>
      <c r="G126" s="932"/>
      <c r="H126" s="941"/>
      <c r="J126" s="888" t="s">
        <v>223</v>
      </c>
      <c r="K126" s="939">
        <f>SUM(G43:H43)</f>
        <v>0</v>
      </c>
      <c r="L126" s="852"/>
      <c r="M126" s="852"/>
      <c r="N126" s="852"/>
      <c r="O126" s="932"/>
      <c r="P126" s="941"/>
      <c r="R126" s="888" t="s">
        <v>223</v>
      </c>
      <c r="S126" s="939">
        <f>SUM(I43:M43)</f>
        <v>0</v>
      </c>
      <c r="T126" s="852"/>
      <c r="U126" s="852"/>
      <c r="V126" s="852"/>
      <c r="W126" s="932"/>
      <c r="X126" s="941"/>
    </row>
    <row r="127" spans="2:24" ht="15" customHeight="1">
      <c r="B127" s="888" t="s">
        <v>402</v>
      </c>
      <c r="C127" s="939">
        <f>SUM(D44:F44)</f>
        <v>0</v>
      </c>
      <c r="D127" s="852"/>
      <c r="E127" s="852"/>
      <c r="F127" s="852"/>
      <c r="G127" s="932"/>
      <c r="H127" s="941"/>
      <c r="J127" s="888" t="s">
        <v>402</v>
      </c>
      <c r="K127" s="939">
        <f>SUM(G44:H44)</f>
        <v>0</v>
      </c>
      <c r="L127" s="852"/>
      <c r="M127" s="852"/>
      <c r="N127" s="852"/>
      <c r="O127" s="932"/>
      <c r="P127" s="941"/>
      <c r="R127" s="888" t="s">
        <v>402</v>
      </c>
      <c r="S127" s="939">
        <f>SUM(I44:M44)</f>
        <v>0</v>
      </c>
      <c r="T127" s="852"/>
      <c r="U127" s="852"/>
      <c r="V127" s="852"/>
      <c r="W127" s="932"/>
      <c r="X127" s="941"/>
    </row>
    <row r="128" spans="2:24" ht="15" customHeight="1">
      <c r="B128" s="888" t="s">
        <v>481</v>
      </c>
      <c r="C128" s="939">
        <f>SUM(D45:F45)</f>
        <v>0</v>
      </c>
      <c r="D128" s="852"/>
      <c r="E128" s="852"/>
      <c r="F128" s="852"/>
      <c r="G128" s="932"/>
      <c r="H128" s="941"/>
      <c r="J128" s="888" t="s">
        <v>481</v>
      </c>
      <c r="K128" s="939">
        <f>SUM(G45:H45)</f>
        <v>0</v>
      </c>
      <c r="L128" s="852"/>
      <c r="M128" s="852"/>
      <c r="N128" s="852"/>
      <c r="O128" s="932"/>
      <c r="P128" s="941"/>
      <c r="R128" s="888" t="s">
        <v>481</v>
      </c>
      <c r="S128" s="939">
        <f>SUM(I45:M45)</f>
        <v>0</v>
      </c>
      <c r="T128" s="852"/>
      <c r="U128" s="852"/>
      <c r="V128" s="852"/>
      <c r="W128" s="932"/>
      <c r="X128" s="941"/>
    </row>
    <row r="129" spans="2:24" ht="15" customHeight="1" thickBot="1">
      <c r="B129" s="893" t="s">
        <v>200</v>
      </c>
      <c r="C129" s="944">
        <f>SUM(C125:C128)</f>
        <v>0</v>
      </c>
      <c r="D129" s="945">
        <f>SUM(D125:D128)</f>
        <v>0</v>
      </c>
      <c r="E129" s="945">
        <f>SUM(E125:E128)</f>
        <v>0</v>
      </c>
      <c r="F129" s="945">
        <f>SUM(F125:F128)</f>
        <v>0</v>
      </c>
      <c r="G129" s="963"/>
      <c r="H129" s="935">
        <f>SUM(H125:H128)</f>
        <v>0</v>
      </c>
      <c r="J129" s="893" t="s">
        <v>200</v>
      </c>
      <c r="K129" s="944">
        <f>SUM(K125:K128)</f>
        <v>0</v>
      </c>
      <c r="L129" s="945">
        <f>SUM(L125:L128)</f>
        <v>0</v>
      </c>
      <c r="M129" s="945">
        <f>SUM(M125:M128)</f>
        <v>0</v>
      </c>
      <c r="N129" s="945">
        <f>SUM(N125:N128)</f>
        <v>0</v>
      </c>
      <c r="O129" s="963"/>
      <c r="P129" s="935">
        <f>SUM(P125:P128)</f>
        <v>0</v>
      </c>
      <c r="R129" s="893" t="s">
        <v>200</v>
      </c>
      <c r="S129" s="944">
        <f>SUM(S125:S128)</f>
        <v>0</v>
      </c>
      <c r="T129" s="945">
        <f>SUM(T125:T128)</f>
        <v>0</v>
      </c>
      <c r="U129" s="945">
        <f>SUM(U125:U128)</f>
        <v>0</v>
      </c>
      <c r="V129" s="945">
        <f>SUM(V125:V128)</f>
        <v>0</v>
      </c>
      <c r="W129" s="963"/>
      <c r="X129" s="935">
        <f>SUM(X125:X128)</f>
        <v>0</v>
      </c>
    </row>
    <row r="130" spans="2:24" ht="15" customHeight="1" thickBot="1"/>
    <row r="131" spans="2:24" ht="15" customHeight="1">
      <c r="B131" s="1528" t="s">
        <v>490</v>
      </c>
      <c r="C131" s="1529"/>
      <c r="D131" s="1529"/>
      <c r="E131" s="1529"/>
      <c r="F131" s="1529"/>
      <c r="G131" s="1529"/>
      <c r="H131" s="1530"/>
      <c r="J131" s="1528" t="s">
        <v>491</v>
      </c>
      <c r="K131" s="1529"/>
      <c r="L131" s="1529"/>
      <c r="M131" s="1529"/>
      <c r="N131" s="1529"/>
      <c r="O131" s="1529"/>
      <c r="P131" s="1530"/>
      <c r="R131" s="1528" t="s">
        <v>192</v>
      </c>
      <c r="S131" s="1529"/>
      <c r="T131" s="1529"/>
      <c r="U131" s="1529"/>
      <c r="V131" s="1529"/>
      <c r="W131" s="1529"/>
      <c r="X131" s="1530"/>
    </row>
    <row r="132" spans="2:24" ht="15" customHeight="1">
      <c r="B132" s="1531"/>
      <c r="C132" s="1533" t="s">
        <v>504</v>
      </c>
      <c r="D132" s="916" t="s">
        <v>505</v>
      </c>
      <c r="E132" s="917"/>
      <c r="F132" s="917"/>
      <c r="G132" s="917"/>
      <c r="H132" s="918"/>
      <c r="J132" s="959"/>
      <c r="K132" s="1533" t="s">
        <v>504</v>
      </c>
      <c r="L132" s="916" t="s">
        <v>506</v>
      </c>
      <c r="M132" s="917"/>
      <c r="N132" s="917"/>
      <c r="O132" s="917"/>
      <c r="P132" s="918"/>
      <c r="R132" s="959"/>
      <c r="S132" s="1533" t="s">
        <v>504</v>
      </c>
      <c r="T132" s="916" t="s">
        <v>506</v>
      </c>
      <c r="U132" s="917"/>
      <c r="V132" s="917"/>
      <c r="W132" s="917"/>
      <c r="X132" s="918"/>
    </row>
    <row r="133" spans="2:24" ht="25.5">
      <c r="B133" s="1532"/>
      <c r="C133" s="1534"/>
      <c r="D133" s="903" t="s">
        <v>508</v>
      </c>
      <c r="E133" s="903" t="s">
        <v>497</v>
      </c>
      <c r="F133" s="903" t="s">
        <v>410</v>
      </c>
      <c r="G133" s="903" t="s">
        <v>509</v>
      </c>
      <c r="H133" s="904" t="s">
        <v>499</v>
      </c>
      <c r="J133" s="938"/>
      <c r="K133" s="1534"/>
      <c r="L133" s="903" t="s">
        <v>508</v>
      </c>
      <c r="M133" s="903" t="s">
        <v>497</v>
      </c>
      <c r="N133" s="903" t="s">
        <v>410</v>
      </c>
      <c r="O133" s="903" t="s">
        <v>509</v>
      </c>
      <c r="P133" s="904" t="s">
        <v>499</v>
      </c>
      <c r="R133" s="938"/>
      <c r="S133" s="1534"/>
      <c r="T133" s="960" t="s">
        <v>508</v>
      </c>
      <c r="U133" s="960" t="s">
        <v>497</v>
      </c>
      <c r="V133" s="960" t="s">
        <v>410</v>
      </c>
      <c r="W133" s="960" t="s">
        <v>509</v>
      </c>
      <c r="X133" s="961" t="s">
        <v>499</v>
      </c>
    </row>
    <row r="134" spans="2:24" ht="15" customHeight="1">
      <c r="B134" s="909" t="s">
        <v>413</v>
      </c>
      <c r="C134" s="939">
        <f t="shared" ref="C134:F137" si="22">IF(C116&gt;0,C125*1000/C116,0)</f>
        <v>0</v>
      </c>
      <c r="D134" s="948">
        <f t="shared" si="22"/>
        <v>0</v>
      </c>
      <c r="E134" s="948">
        <f t="shared" si="22"/>
        <v>0</v>
      </c>
      <c r="F134" s="948">
        <f t="shared" si="22"/>
        <v>0</v>
      </c>
      <c r="G134" s="926"/>
      <c r="H134" s="943"/>
      <c r="J134" s="909" t="s">
        <v>413</v>
      </c>
      <c r="K134" s="939">
        <f t="shared" ref="K134:N137" si="23">IF(K116&gt;0,K125*1000/K116,0)</f>
        <v>0</v>
      </c>
      <c r="L134" s="948">
        <f t="shared" si="23"/>
        <v>0</v>
      </c>
      <c r="M134" s="948">
        <f t="shared" si="23"/>
        <v>0</v>
      </c>
      <c r="N134" s="948">
        <f t="shared" si="23"/>
        <v>0</v>
      </c>
      <c r="O134" s="926"/>
      <c r="P134" s="943"/>
      <c r="R134" s="909" t="s">
        <v>413</v>
      </c>
      <c r="S134" s="939">
        <f t="shared" ref="S134:V137" si="24">IF(S116&gt;0,S125*1000/S116,0)</f>
        <v>0</v>
      </c>
      <c r="T134" s="948">
        <f t="shared" si="24"/>
        <v>0</v>
      </c>
      <c r="U134" s="948">
        <f t="shared" si="24"/>
        <v>0</v>
      </c>
      <c r="V134" s="948">
        <f t="shared" si="24"/>
        <v>0</v>
      </c>
      <c r="W134" s="926"/>
      <c r="X134" s="943"/>
    </row>
    <row r="135" spans="2:24" ht="15" customHeight="1">
      <c r="B135" s="888" t="s">
        <v>223</v>
      </c>
      <c r="C135" s="950">
        <f t="shared" si="22"/>
        <v>0</v>
      </c>
      <c r="D135" s="951">
        <f t="shared" si="22"/>
        <v>0</v>
      </c>
      <c r="E135" s="951">
        <f t="shared" si="22"/>
        <v>0</v>
      </c>
      <c r="F135" s="951">
        <f t="shared" si="22"/>
        <v>0</v>
      </c>
      <c r="G135" s="930"/>
      <c r="H135" s="941"/>
      <c r="J135" s="888" t="s">
        <v>223</v>
      </c>
      <c r="K135" s="950">
        <f t="shared" si="23"/>
        <v>0</v>
      </c>
      <c r="L135" s="951">
        <f t="shared" si="23"/>
        <v>0</v>
      </c>
      <c r="M135" s="951">
        <f t="shared" si="23"/>
        <v>0</v>
      </c>
      <c r="N135" s="951">
        <f t="shared" si="23"/>
        <v>0</v>
      </c>
      <c r="O135" s="930"/>
      <c r="P135" s="941"/>
      <c r="R135" s="888" t="s">
        <v>223</v>
      </c>
      <c r="S135" s="950">
        <f t="shared" si="24"/>
        <v>0</v>
      </c>
      <c r="T135" s="951">
        <f t="shared" si="24"/>
        <v>0</v>
      </c>
      <c r="U135" s="951">
        <f t="shared" si="24"/>
        <v>0</v>
      </c>
      <c r="V135" s="951">
        <f t="shared" si="24"/>
        <v>0</v>
      </c>
      <c r="W135" s="930"/>
      <c r="X135" s="941"/>
    </row>
    <row r="136" spans="2:24" ht="15" customHeight="1">
      <c r="B136" s="888" t="s">
        <v>402</v>
      </c>
      <c r="C136" s="950">
        <f t="shared" si="22"/>
        <v>0</v>
      </c>
      <c r="D136" s="951">
        <f t="shared" si="22"/>
        <v>0</v>
      </c>
      <c r="E136" s="951">
        <f t="shared" si="22"/>
        <v>0</v>
      </c>
      <c r="F136" s="951">
        <f t="shared" si="22"/>
        <v>0</v>
      </c>
      <c r="G136" s="930"/>
      <c r="H136" s="941"/>
      <c r="J136" s="888" t="s">
        <v>402</v>
      </c>
      <c r="K136" s="950">
        <f t="shared" si="23"/>
        <v>0</v>
      </c>
      <c r="L136" s="951">
        <f t="shared" si="23"/>
        <v>0</v>
      </c>
      <c r="M136" s="951">
        <f t="shared" si="23"/>
        <v>0</v>
      </c>
      <c r="N136" s="951">
        <f t="shared" si="23"/>
        <v>0</v>
      </c>
      <c r="O136" s="930"/>
      <c r="P136" s="941"/>
      <c r="R136" s="888" t="s">
        <v>402</v>
      </c>
      <c r="S136" s="950">
        <f t="shared" si="24"/>
        <v>0</v>
      </c>
      <c r="T136" s="951">
        <f t="shared" si="24"/>
        <v>0</v>
      </c>
      <c r="U136" s="951">
        <f t="shared" si="24"/>
        <v>0</v>
      </c>
      <c r="V136" s="951">
        <f t="shared" si="24"/>
        <v>0</v>
      </c>
      <c r="W136" s="930"/>
      <c r="X136" s="941"/>
    </row>
    <row r="137" spans="2:24" ht="15" customHeight="1" thickBot="1">
      <c r="B137" s="952" t="s">
        <v>481</v>
      </c>
      <c r="C137" s="953">
        <f t="shared" si="22"/>
        <v>0</v>
      </c>
      <c r="D137" s="954">
        <f t="shared" si="22"/>
        <v>0</v>
      </c>
      <c r="E137" s="954">
        <f t="shared" si="22"/>
        <v>0</v>
      </c>
      <c r="F137" s="954">
        <f t="shared" si="22"/>
        <v>0</v>
      </c>
      <c r="G137" s="964"/>
      <c r="H137" s="955"/>
      <c r="J137" s="952" t="s">
        <v>481</v>
      </c>
      <c r="K137" s="953">
        <f t="shared" si="23"/>
        <v>0</v>
      </c>
      <c r="L137" s="954">
        <f t="shared" si="23"/>
        <v>0</v>
      </c>
      <c r="M137" s="954">
        <f t="shared" si="23"/>
        <v>0</v>
      </c>
      <c r="N137" s="954">
        <f t="shared" si="23"/>
        <v>0</v>
      </c>
      <c r="O137" s="964"/>
      <c r="P137" s="955"/>
      <c r="R137" s="952" t="s">
        <v>481</v>
      </c>
      <c r="S137" s="953">
        <f t="shared" si="24"/>
        <v>0</v>
      </c>
      <c r="T137" s="954">
        <f t="shared" si="24"/>
        <v>0</v>
      </c>
      <c r="U137" s="954">
        <f t="shared" si="24"/>
        <v>0</v>
      </c>
      <c r="V137" s="954">
        <f t="shared" si="24"/>
        <v>0</v>
      </c>
      <c r="W137" s="964"/>
      <c r="X137" s="955"/>
    </row>
  </sheetData>
  <sheetProtection insertRows="0"/>
  <mergeCells count="67">
    <mergeCell ref="R58:X58"/>
    <mergeCell ref="B7:C8"/>
    <mergeCell ref="B31:C32"/>
    <mergeCell ref="B40:C41"/>
    <mergeCell ref="B58:H58"/>
    <mergeCell ref="J58:P58"/>
    <mergeCell ref="T59:X59"/>
    <mergeCell ref="B67:H67"/>
    <mergeCell ref="J67:P67"/>
    <mergeCell ref="R67:X67"/>
    <mergeCell ref="B68:B69"/>
    <mergeCell ref="C68:C69"/>
    <mergeCell ref="K68:K69"/>
    <mergeCell ref="R68:R69"/>
    <mergeCell ref="S68:S69"/>
    <mergeCell ref="B59:B60"/>
    <mergeCell ref="C59:C60"/>
    <mergeCell ref="D59:H59"/>
    <mergeCell ref="K59:K60"/>
    <mergeCell ref="R59:R60"/>
    <mergeCell ref="S59:S60"/>
    <mergeCell ref="B76:H76"/>
    <mergeCell ref="J76:P76"/>
    <mergeCell ref="R76:X76"/>
    <mergeCell ref="B77:B78"/>
    <mergeCell ref="C77:C78"/>
    <mergeCell ref="K77:K78"/>
    <mergeCell ref="R77:R78"/>
    <mergeCell ref="S77:S78"/>
    <mergeCell ref="B85:H85"/>
    <mergeCell ref="J85:P85"/>
    <mergeCell ref="R85:X85"/>
    <mergeCell ref="B86:B87"/>
    <mergeCell ref="C86:C87"/>
    <mergeCell ref="D86:H86"/>
    <mergeCell ref="K86:K87"/>
    <mergeCell ref="R86:R87"/>
    <mergeCell ref="S86:S87"/>
    <mergeCell ref="B104:H104"/>
    <mergeCell ref="J104:P104"/>
    <mergeCell ref="R104:X104"/>
    <mergeCell ref="B105:B106"/>
    <mergeCell ref="C105:C106"/>
    <mergeCell ref="D105:H105"/>
    <mergeCell ref="K105:K106"/>
    <mergeCell ref="S105:S106"/>
    <mergeCell ref="B113:H113"/>
    <mergeCell ref="J113:P113"/>
    <mergeCell ref="R113:X113"/>
    <mergeCell ref="B114:B115"/>
    <mergeCell ref="C114:C115"/>
    <mergeCell ref="K114:K115"/>
    <mergeCell ref="S114:S115"/>
    <mergeCell ref="B122:H122"/>
    <mergeCell ref="J122:P122"/>
    <mergeCell ref="R122:X122"/>
    <mergeCell ref="B123:B124"/>
    <mergeCell ref="C123:C124"/>
    <mergeCell ref="K123:K124"/>
    <mergeCell ref="S123:S124"/>
    <mergeCell ref="B131:H131"/>
    <mergeCell ref="J131:P131"/>
    <mergeCell ref="R131:X131"/>
    <mergeCell ref="B132:B133"/>
    <mergeCell ref="C132:C133"/>
    <mergeCell ref="K132:K133"/>
    <mergeCell ref="S132:S133"/>
  </mergeCells>
  <phoneticPr fontId="1" type="noConversion"/>
  <dataValidations count="1">
    <dataValidation type="decimal" operator="greaterThanOrEqual" showInputMessage="1" showErrorMessage="1" sqref="D18:M24 D14:M16 D33:M36 D42:M45 D10:M12">
      <formula1>0</formula1>
    </dataValidation>
  </dataValidations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rowBreaks count="1" manualBreakCount="1">
    <brk id="93" max="2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C5FFFF"/>
    <pageSetUpPr fitToPage="1"/>
  </sheetPr>
  <dimension ref="A1:J155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5.85546875" customWidth="1"/>
    <col min="9" max="9" width="8.85546875" customWidth="1"/>
    <col min="10" max="10" width="15.42578125" customWidth="1"/>
  </cols>
  <sheetData>
    <row r="1" spans="1:10" s="62" customFormat="1">
      <c r="A1" s="681" t="s">
        <v>74</v>
      </c>
      <c r="F1" s="118" t="s">
        <v>984</v>
      </c>
    </row>
    <row r="2" spans="1:10" s="62" customFormat="1">
      <c r="A2" s="681"/>
    </row>
    <row r="3" spans="1:10" s="62" customFormat="1">
      <c r="A3" s="681" t="s">
        <v>510</v>
      </c>
    </row>
    <row r="4" spans="1:10" s="62" customFormat="1">
      <c r="A4" s="681"/>
    </row>
    <row r="5" spans="1:10" s="62" customFormat="1"/>
    <row r="6" spans="1:10" s="62" customFormat="1" ht="13.5" thickBot="1"/>
    <row r="7" spans="1:10" s="62" customFormat="1" ht="38.25" customHeight="1">
      <c r="B7" s="1553" t="s">
        <v>77</v>
      </c>
      <c r="C7" s="1554"/>
      <c r="D7" s="1554"/>
      <c r="E7" s="1555"/>
      <c r="F7" s="1562" t="s">
        <v>190</v>
      </c>
      <c r="G7" s="1565" t="s">
        <v>511</v>
      </c>
      <c r="H7" s="1566"/>
      <c r="I7" s="1565" t="s">
        <v>512</v>
      </c>
      <c r="J7" s="1566"/>
    </row>
    <row r="8" spans="1:10" s="62" customFormat="1" ht="51">
      <c r="B8" s="1556"/>
      <c r="C8" s="1557"/>
      <c r="D8" s="1557"/>
      <c r="E8" s="1558"/>
      <c r="F8" s="1563"/>
      <c r="G8" s="965" t="s">
        <v>513</v>
      </c>
      <c r="H8" s="966" t="s">
        <v>514</v>
      </c>
      <c r="I8" s="965" t="s">
        <v>513</v>
      </c>
      <c r="J8" s="966" t="s">
        <v>514</v>
      </c>
    </row>
    <row r="9" spans="1:10" s="62" customFormat="1" ht="13.5" thickBot="1">
      <c r="B9" s="1559"/>
      <c r="C9" s="1560"/>
      <c r="D9" s="1560"/>
      <c r="E9" s="1561"/>
      <c r="F9" s="1564"/>
      <c r="G9" s="967" t="s">
        <v>515</v>
      </c>
      <c r="H9" s="968" t="s">
        <v>515</v>
      </c>
      <c r="I9" s="967" t="s">
        <v>515</v>
      </c>
      <c r="J9" s="968" t="s">
        <v>515</v>
      </c>
    </row>
    <row r="10" spans="1:10" s="62" customFormat="1">
      <c r="B10" s="969"/>
      <c r="C10" s="970" t="s">
        <v>89</v>
      </c>
      <c r="D10" s="970"/>
      <c r="E10" s="971"/>
      <c r="F10" s="972"/>
      <c r="G10" s="973"/>
      <c r="H10" s="974"/>
      <c r="I10" s="973"/>
      <c r="J10" s="974"/>
    </row>
    <row r="11" spans="1:10" s="62" customFormat="1">
      <c r="B11" s="969"/>
      <c r="C11" s="971"/>
      <c r="D11" s="970" t="s">
        <v>429</v>
      </c>
      <c r="E11" s="971"/>
      <c r="F11" s="975"/>
      <c r="G11" s="976"/>
      <c r="H11" s="977"/>
      <c r="I11" s="976"/>
      <c r="J11" s="977"/>
    </row>
    <row r="12" spans="1:10" s="62" customFormat="1">
      <c r="B12" s="978"/>
      <c r="C12" s="971"/>
      <c r="D12" s="971"/>
      <c r="E12" s="971" t="s">
        <v>91</v>
      </c>
      <c r="F12" s="979" t="s">
        <v>516</v>
      </c>
      <c r="G12" s="980"/>
      <c r="H12" s="981"/>
      <c r="I12" s="980">
        <v>14.06</v>
      </c>
      <c r="J12" s="981">
        <v>19.440000000000001</v>
      </c>
    </row>
    <row r="13" spans="1:10" s="62" customFormat="1">
      <c r="B13" s="978"/>
      <c r="C13" s="971"/>
      <c r="D13" s="971"/>
      <c r="E13" s="971" t="s">
        <v>92</v>
      </c>
      <c r="F13" s="979" t="s">
        <v>517</v>
      </c>
      <c r="G13" s="980"/>
      <c r="H13" s="981"/>
      <c r="I13" s="980">
        <v>0.2</v>
      </c>
      <c r="J13" s="981">
        <v>0.31</v>
      </c>
    </row>
    <row r="14" spans="1:10" s="62" customFormat="1">
      <c r="B14" s="978"/>
      <c r="C14" s="971"/>
      <c r="D14" s="971"/>
      <c r="E14" s="971"/>
      <c r="F14" s="979"/>
      <c r="G14" s="982"/>
      <c r="H14" s="983"/>
      <c r="I14" s="982"/>
      <c r="J14" s="983"/>
    </row>
    <row r="15" spans="1:10" s="62" customFormat="1">
      <c r="B15" s="978"/>
      <c r="C15" s="971"/>
      <c r="D15" s="970" t="s">
        <v>93</v>
      </c>
      <c r="E15" s="971"/>
      <c r="F15" s="979"/>
      <c r="G15" s="982"/>
      <c r="H15" s="983"/>
      <c r="I15" s="982"/>
      <c r="J15" s="983"/>
    </row>
    <row r="16" spans="1:10" s="62" customFormat="1">
      <c r="B16" s="978"/>
      <c r="C16" s="971"/>
      <c r="D16" s="971"/>
      <c r="E16" s="971" t="s">
        <v>94</v>
      </c>
      <c r="F16" s="979" t="s">
        <v>517</v>
      </c>
      <c r="G16" s="980"/>
      <c r="H16" s="981"/>
      <c r="I16" s="980">
        <v>1.43</v>
      </c>
      <c r="J16" s="981">
        <v>1.88</v>
      </c>
    </row>
    <row r="17" spans="2:10" s="62" customFormat="1">
      <c r="B17" s="978"/>
      <c r="C17" s="971"/>
      <c r="D17" s="971"/>
      <c r="E17" s="971"/>
      <c r="F17" s="979"/>
      <c r="G17" s="982"/>
      <c r="H17" s="983"/>
      <c r="I17" s="982"/>
      <c r="J17" s="983"/>
    </row>
    <row r="18" spans="2:10" s="62" customFormat="1">
      <c r="B18" s="978"/>
      <c r="C18" s="971"/>
      <c r="D18" s="970" t="s">
        <v>95</v>
      </c>
      <c r="E18" s="971"/>
      <c r="F18" s="979"/>
      <c r="G18" s="982"/>
      <c r="H18" s="983"/>
      <c r="I18" s="982"/>
      <c r="J18" s="983"/>
    </row>
    <row r="19" spans="2:10" s="62" customFormat="1">
      <c r="B19" s="978"/>
      <c r="C19" s="971"/>
      <c r="D19" s="970"/>
      <c r="E19" s="971" t="s">
        <v>96</v>
      </c>
      <c r="F19" s="979" t="s">
        <v>516</v>
      </c>
      <c r="G19" s="980"/>
      <c r="H19" s="981"/>
      <c r="I19" s="980">
        <v>67.22</v>
      </c>
      <c r="J19" s="981">
        <v>75.86</v>
      </c>
    </row>
    <row r="20" spans="2:10" s="62" customFormat="1">
      <c r="B20" s="978"/>
      <c r="C20" s="971"/>
      <c r="D20" s="970"/>
      <c r="E20" s="971" t="s">
        <v>97</v>
      </c>
      <c r="F20" s="979" t="s">
        <v>516</v>
      </c>
      <c r="G20" s="980">
        <v>33.4</v>
      </c>
      <c r="H20" s="981">
        <v>40.747999999999998</v>
      </c>
      <c r="I20" s="980">
        <v>67.22</v>
      </c>
      <c r="J20" s="981">
        <v>67.22</v>
      </c>
    </row>
    <row r="21" spans="2:10" s="62" customFormat="1">
      <c r="B21" s="978"/>
      <c r="C21" s="971"/>
      <c r="D21" s="970"/>
      <c r="E21" s="971" t="s">
        <v>98</v>
      </c>
      <c r="F21" s="979" t="s">
        <v>516</v>
      </c>
      <c r="G21" s="980"/>
      <c r="H21" s="981"/>
      <c r="I21" s="980">
        <v>67.22</v>
      </c>
      <c r="J21" s="981">
        <v>75.86</v>
      </c>
    </row>
    <row r="22" spans="2:10" s="62" customFormat="1">
      <c r="B22" s="978"/>
      <c r="C22" s="971"/>
      <c r="D22" s="970"/>
      <c r="E22" s="971" t="s">
        <v>99</v>
      </c>
      <c r="F22" s="979" t="s">
        <v>517</v>
      </c>
      <c r="G22" s="980">
        <v>0.93</v>
      </c>
      <c r="H22" s="981">
        <v>1.1346000000000001</v>
      </c>
      <c r="I22" s="980">
        <v>0.6</v>
      </c>
      <c r="J22" s="981">
        <v>0.7</v>
      </c>
    </row>
    <row r="23" spans="2:10" s="62" customFormat="1">
      <c r="B23" s="978"/>
      <c r="C23" s="971"/>
      <c r="D23" s="971"/>
      <c r="E23" s="971"/>
      <c r="F23" s="979"/>
      <c r="G23" s="982"/>
      <c r="H23" s="983"/>
      <c r="I23" s="982"/>
      <c r="J23" s="983"/>
    </row>
    <row r="24" spans="2:10" s="62" customFormat="1">
      <c r="B24" s="978"/>
      <c r="C24" s="971"/>
      <c r="D24" s="970" t="s">
        <v>100</v>
      </c>
      <c r="E24" s="971"/>
      <c r="F24" s="979"/>
      <c r="G24" s="982"/>
      <c r="H24" s="983"/>
      <c r="I24" s="982"/>
      <c r="J24" s="983"/>
    </row>
    <row r="25" spans="2:10" s="62" customFormat="1">
      <c r="B25" s="978"/>
      <c r="C25" s="971"/>
      <c r="D25" s="970"/>
      <c r="E25" s="971" t="s">
        <v>101</v>
      </c>
      <c r="F25" s="979" t="s">
        <v>517</v>
      </c>
      <c r="G25" s="980">
        <v>2.2200000000000002</v>
      </c>
      <c r="H25" s="981">
        <v>2.7084000000000001</v>
      </c>
      <c r="I25" s="980">
        <v>6.41</v>
      </c>
      <c r="J25" s="981">
        <v>7.94</v>
      </c>
    </row>
    <row r="26" spans="2:10" s="62" customFormat="1">
      <c r="B26" s="978"/>
      <c r="C26" s="971"/>
      <c r="D26" s="970"/>
      <c r="E26" s="971" t="s">
        <v>102</v>
      </c>
      <c r="F26" s="979" t="s">
        <v>517</v>
      </c>
      <c r="G26" s="980"/>
      <c r="H26" s="981"/>
      <c r="I26" s="980">
        <v>6.78</v>
      </c>
      <c r="J26" s="981">
        <v>8.36</v>
      </c>
    </row>
    <row r="27" spans="2:10" s="62" customFormat="1">
      <c r="B27" s="978"/>
      <c r="C27" s="971"/>
      <c r="D27" s="970"/>
      <c r="E27" s="971" t="s">
        <v>103</v>
      </c>
      <c r="F27" s="979" t="s">
        <v>517</v>
      </c>
      <c r="G27" s="980"/>
      <c r="H27" s="981"/>
      <c r="I27" s="980">
        <v>8.3699999999999992</v>
      </c>
      <c r="J27" s="981">
        <v>10.38</v>
      </c>
    </row>
    <row r="28" spans="2:10" s="62" customFormat="1">
      <c r="B28" s="978"/>
      <c r="C28" s="971"/>
      <c r="D28" s="970"/>
      <c r="E28" s="971" t="s">
        <v>104</v>
      </c>
      <c r="F28" s="979" t="s">
        <v>517</v>
      </c>
      <c r="G28" s="980"/>
      <c r="H28" s="981"/>
      <c r="I28" s="980"/>
      <c r="J28" s="981"/>
    </row>
    <row r="29" spans="2:10" s="62" customFormat="1">
      <c r="B29" s="978"/>
      <c r="C29" s="971"/>
      <c r="D29" s="970"/>
      <c r="E29" s="971" t="s">
        <v>105</v>
      </c>
      <c r="F29" s="979" t="s">
        <v>517</v>
      </c>
      <c r="G29" s="984"/>
      <c r="H29" s="985"/>
      <c r="I29" s="984"/>
      <c r="J29" s="985"/>
    </row>
    <row r="30" spans="2:10" s="62" customFormat="1">
      <c r="B30" s="978"/>
      <c r="C30" s="971"/>
      <c r="D30" s="970"/>
      <c r="E30" s="971" t="s">
        <v>106</v>
      </c>
      <c r="F30" s="979" t="s">
        <v>517</v>
      </c>
      <c r="G30" s="984"/>
      <c r="H30" s="985"/>
      <c r="I30" s="984"/>
      <c r="J30" s="985"/>
    </row>
    <row r="31" spans="2:10" s="62" customFormat="1" ht="13.5" thickBot="1">
      <c r="B31" s="986"/>
      <c r="C31" s="987"/>
      <c r="D31" s="987"/>
      <c r="E31" s="987"/>
      <c r="F31" s="988"/>
      <c r="G31" s="989"/>
      <c r="H31" s="990"/>
      <c r="I31" s="989"/>
      <c r="J31" s="990"/>
    </row>
    <row r="32" spans="2:10" s="62" customFormat="1">
      <c r="B32" s="991"/>
      <c r="C32" s="992" t="s">
        <v>107</v>
      </c>
      <c r="D32" s="992"/>
      <c r="E32" s="993"/>
      <c r="F32" s="994"/>
      <c r="G32" s="982"/>
      <c r="H32" s="983"/>
      <c r="I32" s="982"/>
      <c r="J32" s="983"/>
    </row>
    <row r="33" spans="2:10" s="62" customFormat="1">
      <c r="B33" s="978"/>
      <c r="C33" s="971"/>
      <c r="D33" s="970" t="s">
        <v>429</v>
      </c>
      <c r="E33" s="971"/>
      <c r="F33" s="994"/>
      <c r="G33" s="982"/>
      <c r="H33" s="983"/>
      <c r="I33" s="982"/>
      <c r="J33" s="983"/>
    </row>
    <row r="34" spans="2:10" s="62" customFormat="1">
      <c r="B34" s="978"/>
      <c r="C34" s="971"/>
      <c r="D34" s="970"/>
      <c r="E34" s="971" t="s">
        <v>108</v>
      </c>
      <c r="F34" s="979" t="s">
        <v>516</v>
      </c>
      <c r="G34" s="980">
        <v>35.26</v>
      </c>
      <c r="H34" s="981">
        <v>43.017199999999995</v>
      </c>
      <c r="I34" s="980">
        <v>18.350000000000001</v>
      </c>
      <c r="J34" s="981">
        <v>20.78</v>
      </c>
    </row>
    <row r="35" spans="2:10" s="62" customFormat="1">
      <c r="B35" s="978"/>
      <c r="C35" s="971"/>
      <c r="D35" s="970"/>
      <c r="E35" s="971" t="s">
        <v>109</v>
      </c>
      <c r="F35" s="979" t="s">
        <v>516</v>
      </c>
      <c r="G35" s="980"/>
      <c r="H35" s="981"/>
      <c r="I35" s="980"/>
      <c r="J35" s="981"/>
    </row>
    <row r="36" spans="2:10" s="62" customFormat="1">
      <c r="B36" s="978"/>
      <c r="C36" s="971"/>
      <c r="D36" s="971"/>
      <c r="E36" s="971" t="s">
        <v>110</v>
      </c>
      <c r="F36" s="979" t="s">
        <v>516</v>
      </c>
      <c r="G36" s="980"/>
      <c r="H36" s="981"/>
      <c r="I36" s="980"/>
      <c r="J36" s="981"/>
    </row>
    <row r="37" spans="2:10" s="62" customFormat="1">
      <c r="B37" s="978"/>
      <c r="C37" s="971"/>
      <c r="D37" s="971"/>
      <c r="E37" s="971" t="s">
        <v>111</v>
      </c>
      <c r="F37" s="979" t="s">
        <v>516</v>
      </c>
      <c r="G37" s="980"/>
      <c r="H37" s="981"/>
      <c r="I37" s="980"/>
      <c r="J37" s="981"/>
    </row>
    <row r="38" spans="2:10" s="62" customFormat="1">
      <c r="B38" s="978"/>
      <c r="C38" s="971"/>
      <c r="D38" s="971"/>
      <c r="E38" s="971"/>
      <c r="F38" s="979"/>
      <c r="G38" s="982"/>
      <c r="H38" s="983"/>
      <c r="I38" s="982"/>
      <c r="J38" s="983"/>
    </row>
    <row r="39" spans="2:10" s="62" customFormat="1">
      <c r="B39" s="978"/>
      <c r="C39" s="971"/>
      <c r="D39" s="970" t="s">
        <v>93</v>
      </c>
      <c r="E39" s="971"/>
      <c r="F39" s="979"/>
      <c r="G39" s="982"/>
      <c r="H39" s="983"/>
      <c r="I39" s="982"/>
      <c r="J39" s="983"/>
    </row>
    <row r="40" spans="2:10" s="62" customFormat="1">
      <c r="B40" s="978"/>
      <c r="C40" s="971"/>
      <c r="D40" s="993"/>
      <c r="E40" s="971" t="s">
        <v>112</v>
      </c>
      <c r="F40" s="979" t="s">
        <v>517</v>
      </c>
      <c r="G40" s="980"/>
      <c r="H40" s="981"/>
      <c r="I40" s="980">
        <v>1.52</v>
      </c>
      <c r="J40" s="981">
        <v>2</v>
      </c>
    </row>
    <row r="41" spans="2:10" s="62" customFormat="1">
      <c r="B41" s="978"/>
      <c r="C41" s="971"/>
      <c r="D41" s="970"/>
      <c r="E41" s="971" t="s">
        <v>113</v>
      </c>
      <c r="F41" s="979" t="s">
        <v>517</v>
      </c>
      <c r="G41" s="980"/>
      <c r="H41" s="981"/>
      <c r="I41" s="980"/>
      <c r="J41" s="981"/>
    </row>
    <row r="42" spans="2:10" s="62" customFormat="1">
      <c r="B42" s="978"/>
      <c r="C42" s="971"/>
      <c r="D42" s="971"/>
      <c r="E42" s="971"/>
      <c r="F42" s="979"/>
      <c r="G42" s="982"/>
      <c r="H42" s="983"/>
      <c r="I42" s="982"/>
      <c r="J42" s="983"/>
    </row>
    <row r="43" spans="2:10" s="62" customFormat="1">
      <c r="B43" s="978"/>
      <c r="C43" s="971"/>
      <c r="D43" s="970" t="s">
        <v>114</v>
      </c>
      <c r="E43" s="971"/>
      <c r="F43" s="979"/>
      <c r="G43" s="982"/>
      <c r="H43" s="983"/>
      <c r="I43" s="982"/>
      <c r="J43" s="983"/>
    </row>
    <row r="44" spans="2:10" s="62" customFormat="1">
      <c r="B44" s="978"/>
      <c r="C44" s="971"/>
      <c r="D44" s="970"/>
      <c r="E44" s="971" t="s">
        <v>115</v>
      </c>
      <c r="F44" s="979" t="s">
        <v>516</v>
      </c>
      <c r="G44" s="980">
        <v>32.92</v>
      </c>
      <c r="H44" s="981">
        <v>40.162399999999998</v>
      </c>
      <c r="I44" s="980">
        <v>73.02</v>
      </c>
      <c r="J44" s="981">
        <v>84.05</v>
      </c>
    </row>
    <row r="45" spans="2:10" s="62" customFormat="1">
      <c r="B45" s="978"/>
      <c r="C45" s="971"/>
      <c r="D45" s="970"/>
      <c r="E45" s="971" t="s">
        <v>116</v>
      </c>
      <c r="F45" s="979" t="s">
        <v>516</v>
      </c>
      <c r="G45" s="980"/>
      <c r="H45" s="981"/>
      <c r="I45" s="980"/>
      <c r="J45" s="981"/>
    </row>
    <row r="46" spans="2:10" s="62" customFormat="1">
      <c r="B46" s="978"/>
      <c r="C46" s="971"/>
      <c r="D46" s="970"/>
      <c r="E46" s="971"/>
      <c r="F46" s="979"/>
      <c r="G46" s="982"/>
      <c r="H46" s="983"/>
      <c r="I46" s="982"/>
      <c r="J46" s="983"/>
    </row>
    <row r="47" spans="2:10" s="62" customFormat="1">
      <c r="B47" s="978"/>
      <c r="C47" s="971"/>
      <c r="D47" s="970" t="s">
        <v>117</v>
      </c>
      <c r="E47" s="971"/>
      <c r="F47" s="979"/>
      <c r="G47" s="982"/>
      <c r="H47" s="983"/>
      <c r="I47" s="982"/>
      <c r="J47" s="983"/>
    </row>
    <row r="48" spans="2:10" s="62" customFormat="1">
      <c r="B48" s="978"/>
      <c r="C48" s="971"/>
      <c r="D48" s="970"/>
      <c r="E48" s="971" t="s">
        <v>118</v>
      </c>
      <c r="F48" s="979" t="s">
        <v>516</v>
      </c>
      <c r="G48" s="980"/>
      <c r="H48" s="981"/>
      <c r="I48" s="980">
        <v>471.36</v>
      </c>
      <c r="J48" s="981">
        <v>535</v>
      </c>
    </row>
    <row r="49" spans="2:10" s="62" customFormat="1">
      <c r="B49" s="978"/>
      <c r="C49" s="971"/>
      <c r="D49" s="970"/>
      <c r="E49" s="971"/>
      <c r="F49" s="979"/>
      <c r="G49" s="982"/>
      <c r="H49" s="983"/>
      <c r="I49" s="982"/>
      <c r="J49" s="983"/>
    </row>
    <row r="50" spans="2:10" s="62" customFormat="1">
      <c r="B50" s="978"/>
      <c r="C50" s="971"/>
      <c r="D50" s="970" t="s">
        <v>100</v>
      </c>
      <c r="E50" s="971"/>
      <c r="F50" s="979"/>
      <c r="G50" s="982"/>
      <c r="H50" s="983"/>
      <c r="I50" s="982"/>
      <c r="J50" s="983"/>
    </row>
    <row r="51" spans="2:10" s="62" customFormat="1">
      <c r="B51" s="978"/>
      <c r="C51" s="971"/>
      <c r="D51" s="970"/>
      <c r="E51" s="971" t="s">
        <v>119</v>
      </c>
      <c r="F51" s="979" t="s">
        <v>517</v>
      </c>
      <c r="G51" s="980">
        <v>7.13</v>
      </c>
      <c r="H51" s="981">
        <v>8.698599999999999</v>
      </c>
      <c r="I51" s="980">
        <v>7.17</v>
      </c>
      <c r="J51" s="981">
        <v>8.23</v>
      </c>
    </row>
    <row r="52" spans="2:10" s="62" customFormat="1">
      <c r="B52" s="978"/>
      <c r="C52" s="971"/>
      <c r="D52" s="970"/>
      <c r="E52" s="971" t="s">
        <v>120</v>
      </c>
      <c r="F52" s="979" t="s">
        <v>517</v>
      </c>
      <c r="G52" s="980">
        <v>20.49</v>
      </c>
      <c r="H52" s="981">
        <v>24.997799999999998</v>
      </c>
      <c r="I52" s="980">
        <v>21.37</v>
      </c>
      <c r="J52" s="981">
        <v>24.46</v>
      </c>
    </row>
    <row r="53" spans="2:10" s="62" customFormat="1">
      <c r="B53" s="978"/>
      <c r="C53" s="971"/>
      <c r="D53" s="970"/>
      <c r="E53" s="971" t="s">
        <v>121</v>
      </c>
      <c r="F53" s="979" t="s">
        <v>517</v>
      </c>
      <c r="G53" s="980">
        <v>6.01</v>
      </c>
      <c r="H53" s="981">
        <v>7.3321999999999994</v>
      </c>
      <c r="I53" s="980">
        <v>6.05</v>
      </c>
      <c r="J53" s="981">
        <v>6.83</v>
      </c>
    </row>
    <row r="54" spans="2:10" s="62" customFormat="1">
      <c r="B54" s="978"/>
      <c r="C54" s="971"/>
      <c r="D54" s="970"/>
      <c r="E54" s="971" t="s">
        <v>122</v>
      </c>
      <c r="F54" s="979" t="s">
        <v>517</v>
      </c>
      <c r="G54" s="980">
        <v>6.71</v>
      </c>
      <c r="H54" s="981">
        <v>8.1861999999999995</v>
      </c>
      <c r="I54" s="980">
        <v>8.17</v>
      </c>
      <c r="J54" s="981">
        <v>10.02</v>
      </c>
    </row>
    <row r="55" spans="2:10" s="62" customFormat="1">
      <c r="B55" s="978"/>
      <c r="C55" s="971"/>
      <c r="D55" s="970"/>
      <c r="E55" s="971" t="s">
        <v>123</v>
      </c>
      <c r="F55" s="979" t="s">
        <v>517</v>
      </c>
      <c r="G55" s="980">
        <v>6.99</v>
      </c>
      <c r="H55" s="981">
        <v>8.5278000000000009</v>
      </c>
      <c r="I55" s="980">
        <v>10</v>
      </c>
      <c r="J55" s="981">
        <v>12.15</v>
      </c>
    </row>
    <row r="56" spans="2:10" s="62" customFormat="1">
      <c r="B56" s="978"/>
      <c r="C56" s="971"/>
      <c r="D56" s="970"/>
      <c r="E56" s="971" t="s">
        <v>124</v>
      </c>
      <c r="F56" s="979" t="s">
        <v>517</v>
      </c>
      <c r="G56" s="984"/>
      <c r="H56" s="985"/>
      <c r="I56" s="984"/>
      <c r="J56" s="985"/>
    </row>
    <row r="57" spans="2:10" s="62" customFormat="1">
      <c r="B57" s="978"/>
      <c r="C57" s="971"/>
      <c r="D57" s="970"/>
      <c r="E57" s="971" t="s">
        <v>125</v>
      </c>
      <c r="F57" s="979" t="s">
        <v>517</v>
      </c>
      <c r="G57" s="984"/>
      <c r="H57" s="985"/>
      <c r="I57" s="984"/>
      <c r="J57" s="985"/>
    </row>
    <row r="58" spans="2:10" s="62" customFormat="1">
      <c r="B58" s="978"/>
      <c r="C58" s="971"/>
      <c r="D58" s="971"/>
      <c r="E58" s="971" t="s">
        <v>126</v>
      </c>
      <c r="F58" s="979" t="s">
        <v>517</v>
      </c>
      <c r="G58" s="980"/>
      <c r="H58" s="981"/>
      <c r="I58" s="980"/>
      <c r="J58" s="981"/>
    </row>
    <row r="59" spans="2:10" s="62" customFormat="1">
      <c r="B59" s="978"/>
      <c r="C59" s="971"/>
      <c r="D59" s="971"/>
      <c r="E59" s="971" t="s">
        <v>127</v>
      </c>
      <c r="F59" s="979" t="s">
        <v>517</v>
      </c>
      <c r="G59" s="980"/>
      <c r="H59" s="981"/>
      <c r="I59" s="980"/>
      <c r="J59" s="981"/>
    </row>
    <row r="60" spans="2:10" s="62" customFormat="1">
      <c r="B60" s="978"/>
      <c r="C60" s="971"/>
      <c r="D60" s="970"/>
      <c r="E60" s="971" t="s">
        <v>128</v>
      </c>
      <c r="F60" s="979" t="s">
        <v>517</v>
      </c>
      <c r="G60" s="980"/>
      <c r="H60" s="981"/>
      <c r="I60" s="980"/>
      <c r="J60" s="981"/>
    </row>
    <row r="61" spans="2:10" s="62" customFormat="1">
      <c r="B61" s="978"/>
      <c r="C61" s="971"/>
      <c r="D61" s="970"/>
      <c r="E61" s="971" t="s">
        <v>129</v>
      </c>
      <c r="F61" s="979" t="s">
        <v>517</v>
      </c>
      <c r="G61" s="980"/>
      <c r="H61" s="981"/>
      <c r="I61" s="980"/>
      <c r="J61" s="981"/>
    </row>
    <row r="62" spans="2:10" s="62" customFormat="1">
      <c r="B62" s="978"/>
      <c r="C62" s="971"/>
      <c r="D62" s="970"/>
      <c r="E62" s="971" t="s">
        <v>130</v>
      </c>
      <c r="F62" s="979" t="s">
        <v>517</v>
      </c>
      <c r="G62" s="980"/>
      <c r="H62" s="981"/>
      <c r="I62" s="980"/>
      <c r="J62" s="981"/>
    </row>
    <row r="63" spans="2:10" s="62" customFormat="1">
      <c r="B63" s="978"/>
      <c r="C63" s="971"/>
      <c r="D63" s="970"/>
      <c r="E63" s="971" t="s">
        <v>131</v>
      </c>
      <c r="F63" s="979" t="s">
        <v>517</v>
      </c>
      <c r="G63" s="984"/>
      <c r="H63" s="985"/>
      <c r="I63" s="984"/>
      <c r="J63" s="985"/>
    </row>
    <row r="64" spans="2:10" s="62" customFormat="1">
      <c r="B64" s="978"/>
      <c r="C64" s="971"/>
      <c r="D64" s="970"/>
      <c r="E64" s="971" t="s">
        <v>132</v>
      </c>
      <c r="F64" s="979" t="s">
        <v>517</v>
      </c>
      <c r="G64" s="984"/>
      <c r="H64" s="985"/>
      <c r="I64" s="984"/>
      <c r="J64" s="985"/>
    </row>
    <row r="65" spans="2:10" s="62" customFormat="1">
      <c r="B65" s="978"/>
      <c r="C65" s="971"/>
      <c r="D65" s="970"/>
      <c r="E65" s="971"/>
      <c r="F65" s="994"/>
      <c r="G65" s="982"/>
      <c r="H65" s="983"/>
      <c r="I65" s="982"/>
      <c r="J65" s="983"/>
    </row>
    <row r="66" spans="2:10" s="62" customFormat="1">
      <c r="B66" s="978"/>
      <c r="C66" s="971"/>
      <c r="D66" s="970" t="s">
        <v>133</v>
      </c>
      <c r="E66" s="971"/>
      <c r="F66" s="994"/>
      <c r="G66" s="982"/>
      <c r="H66" s="983"/>
      <c r="I66" s="982"/>
      <c r="J66" s="983"/>
    </row>
    <row r="67" spans="2:10" s="62" customFormat="1">
      <c r="B67" s="978"/>
      <c r="C67" s="971"/>
      <c r="D67" s="970"/>
      <c r="E67" s="971" t="s">
        <v>134</v>
      </c>
      <c r="F67" s="979" t="s">
        <v>517</v>
      </c>
      <c r="G67" s="980">
        <v>1.66</v>
      </c>
      <c r="H67" s="981">
        <v>2.0251999999999999</v>
      </c>
      <c r="I67" s="980">
        <v>1.33</v>
      </c>
      <c r="J67" s="981">
        <v>1.74</v>
      </c>
    </row>
    <row r="68" spans="2:10" s="62" customFormat="1">
      <c r="B68" s="978"/>
      <c r="C68" s="971"/>
      <c r="D68" s="970"/>
      <c r="E68" s="971" t="s">
        <v>135</v>
      </c>
      <c r="F68" s="979" t="s">
        <v>517</v>
      </c>
      <c r="G68" s="980">
        <v>9.32</v>
      </c>
      <c r="H68" s="981">
        <v>11.3704</v>
      </c>
      <c r="I68" s="980">
        <v>10.86</v>
      </c>
      <c r="J68" s="981">
        <v>12.74</v>
      </c>
    </row>
    <row r="69" spans="2:10" s="62" customFormat="1">
      <c r="B69" s="978"/>
      <c r="C69" s="971"/>
      <c r="D69" s="970"/>
      <c r="E69" s="971" t="s">
        <v>136</v>
      </c>
      <c r="F69" s="979" t="s">
        <v>517</v>
      </c>
      <c r="G69" s="980"/>
      <c r="H69" s="981"/>
      <c r="I69" s="980"/>
      <c r="J69" s="981"/>
    </row>
    <row r="70" spans="2:10" s="62" customFormat="1">
      <c r="B70" s="978"/>
      <c r="C70" s="971"/>
      <c r="D70" s="970"/>
      <c r="E70" s="971" t="s">
        <v>137</v>
      </c>
      <c r="F70" s="979" t="s">
        <v>517</v>
      </c>
      <c r="G70" s="980"/>
      <c r="H70" s="981"/>
      <c r="I70" s="980"/>
      <c r="J70" s="981"/>
    </row>
    <row r="71" spans="2:10" s="62" customFormat="1" ht="13.5" thickBot="1">
      <c r="B71" s="986"/>
      <c r="C71" s="987"/>
      <c r="D71" s="987"/>
      <c r="E71" s="987"/>
      <c r="F71" s="988"/>
      <c r="G71" s="989"/>
      <c r="H71" s="990"/>
      <c r="I71" s="989"/>
      <c r="J71" s="990"/>
    </row>
    <row r="72" spans="2:10" s="62" customFormat="1">
      <c r="B72" s="991"/>
      <c r="C72" s="992" t="s">
        <v>138</v>
      </c>
      <c r="D72" s="992"/>
      <c r="E72" s="993"/>
      <c r="F72" s="994"/>
      <c r="G72" s="982"/>
      <c r="H72" s="983"/>
      <c r="I72" s="982"/>
      <c r="J72" s="983"/>
    </row>
    <row r="73" spans="2:10" s="62" customFormat="1">
      <c r="B73" s="978"/>
      <c r="C73" s="971"/>
      <c r="D73" s="970" t="s">
        <v>429</v>
      </c>
      <c r="E73" s="971"/>
      <c r="F73" s="979"/>
      <c r="G73" s="982"/>
      <c r="H73" s="983"/>
      <c r="I73" s="982"/>
      <c r="J73" s="983"/>
    </row>
    <row r="74" spans="2:10" s="62" customFormat="1">
      <c r="B74" s="978"/>
      <c r="C74" s="971"/>
      <c r="D74" s="971"/>
      <c r="E74" s="971" t="s">
        <v>139</v>
      </c>
      <c r="F74" s="979" t="s">
        <v>516</v>
      </c>
      <c r="G74" s="980">
        <v>41.59</v>
      </c>
      <c r="H74" s="981">
        <v>50.739800000000002</v>
      </c>
      <c r="I74" s="980">
        <v>23.76</v>
      </c>
      <c r="J74" s="981">
        <v>26.87</v>
      </c>
    </row>
    <row r="75" spans="2:10" s="62" customFormat="1">
      <c r="B75" s="978"/>
      <c r="C75" s="971"/>
      <c r="D75" s="970"/>
      <c r="E75" s="971" t="s">
        <v>140</v>
      </c>
      <c r="F75" s="979" t="s">
        <v>516</v>
      </c>
      <c r="G75" s="980"/>
      <c r="H75" s="981"/>
      <c r="I75" s="980">
        <v>29.82</v>
      </c>
      <c r="J75" s="981">
        <v>29.82</v>
      </c>
    </row>
    <row r="76" spans="2:10" s="62" customFormat="1">
      <c r="B76" s="978"/>
      <c r="C76" s="971"/>
      <c r="D76" s="970"/>
      <c r="E76" s="971" t="s">
        <v>141</v>
      </c>
      <c r="F76" s="979" t="s">
        <v>516</v>
      </c>
      <c r="G76" s="980"/>
      <c r="H76" s="981"/>
      <c r="I76" s="980"/>
      <c r="J76" s="981"/>
    </row>
    <row r="77" spans="2:10" s="62" customFormat="1">
      <c r="B77" s="978"/>
      <c r="C77" s="971"/>
      <c r="D77" s="970"/>
      <c r="E77" s="971" t="s">
        <v>142</v>
      </c>
      <c r="F77" s="979" t="s">
        <v>516</v>
      </c>
      <c r="G77" s="980"/>
      <c r="H77" s="981"/>
      <c r="I77" s="980"/>
      <c r="J77" s="981"/>
    </row>
    <row r="78" spans="2:10" s="62" customFormat="1">
      <c r="B78" s="978"/>
      <c r="C78" s="971"/>
      <c r="D78" s="970"/>
      <c r="E78" s="971"/>
      <c r="F78" s="979"/>
      <c r="G78" s="982"/>
      <c r="H78" s="983"/>
      <c r="I78" s="982"/>
      <c r="J78" s="983"/>
    </row>
    <row r="79" spans="2:10" s="62" customFormat="1">
      <c r="B79" s="978"/>
      <c r="C79" s="971"/>
      <c r="D79" s="970" t="s">
        <v>93</v>
      </c>
      <c r="E79" s="971"/>
      <c r="F79" s="979"/>
      <c r="G79" s="982"/>
      <c r="H79" s="983"/>
      <c r="I79" s="982"/>
      <c r="J79" s="983"/>
    </row>
    <row r="80" spans="2:10" s="62" customFormat="1">
      <c r="B80" s="978"/>
      <c r="C80" s="971"/>
      <c r="D80" s="971"/>
      <c r="E80" s="971" t="s">
        <v>143</v>
      </c>
      <c r="F80" s="979" t="s">
        <v>517</v>
      </c>
      <c r="G80" s="980"/>
      <c r="H80" s="981"/>
      <c r="I80" s="980">
        <v>1.99</v>
      </c>
      <c r="J80" s="981">
        <v>2.56</v>
      </c>
    </row>
    <row r="81" spans="2:10" s="62" customFormat="1">
      <c r="B81" s="978"/>
      <c r="C81" s="971"/>
      <c r="D81" s="971"/>
      <c r="E81" s="971" t="s">
        <v>144</v>
      </c>
      <c r="F81" s="979" t="s">
        <v>517</v>
      </c>
      <c r="G81" s="980"/>
      <c r="H81" s="981"/>
      <c r="I81" s="980">
        <v>39.15</v>
      </c>
      <c r="J81" s="981">
        <v>45.14</v>
      </c>
    </row>
    <row r="82" spans="2:10" s="62" customFormat="1">
      <c r="B82" s="978"/>
      <c r="C82" s="971"/>
      <c r="D82" s="970"/>
      <c r="E82" s="971" t="s">
        <v>145</v>
      </c>
      <c r="F82" s="979" t="s">
        <v>517</v>
      </c>
      <c r="G82" s="980"/>
      <c r="H82" s="981"/>
      <c r="I82" s="980"/>
      <c r="J82" s="981"/>
    </row>
    <row r="83" spans="2:10" s="62" customFormat="1">
      <c r="B83" s="978"/>
      <c r="C83" s="971"/>
      <c r="D83" s="970"/>
      <c r="E83" s="971" t="s">
        <v>146</v>
      </c>
      <c r="F83" s="979" t="s">
        <v>517</v>
      </c>
      <c r="G83" s="980"/>
      <c r="H83" s="981"/>
      <c r="I83" s="980"/>
      <c r="J83" s="981"/>
    </row>
    <row r="84" spans="2:10" s="62" customFormat="1">
      <c r="B84" s="978"/>
      <c r="C84" s="971"/>
      <c r="D84" s="971"/>
      <c r="E84" s="971"/>
      <c r="F84" s="979"/>
      <c r="G84" s="982"/>
      <c r="H84" s="983"/>
      <c r="I84" s="982"/>
      <c r="J84" s="983"/>
    </row>
    <row r="85" spans="2:10" s="62" customFormat="1">
      <c r="B85" s="969"/>
      <c r="C85" s="971"/>
      <c r="D85" s="970" t="s">
        <v>114</v>
      </c>
      <c r="E85" s="971"/>
      <c r="F85" s="979"/>
      <c r="G85" s="982"/>
      <c r="H85" s="983"/>
      <c r="I85" s="982"/>
      <c r="J85" s="983"/>
    </row>
    <row r="86" spans="2:10" s="62" customFormat="1">
      <c r="B86" s="969"/>
      <c r="C86" s="971"/>
      <c r="D86" s="970"/>
      <c r="E86" s="971" t="s">
        <v>147</v>
      </c>
      <c r="F86" s="979" t="s">
        <v>516</v>
      </c>
      <c r="G86" s="980">
        <v>148.69</v>
      </c>
      <c r="H86" s="981">
        <v>181.40179999999998</v>
      </c>
      <c r="I86" s="980">
        <v>152.88999999999999</v>
      </c>
      <c r="J86" s="981">
        <v>172.86</v>
      </c>
    </row>
    <row r="87" spans="2:10" s="62" customFormat="1">
      <c r="B87" s="969"/>
      <c r="C87" s="971"/>
      <c r="D87" s="970"/>
      <c r="E87" s="971" t="s">
        <v>148</v>
      </c>
      <c r="F87" s="979" t="s">
        <v>516</v>
      </c>
      <c r="G87" s="980"/>
      <c r="H87" s="981"/>
      <c r="I87" s="980">
        <v>152.88999999999999</v>
      </c>
      <c r="J87" s="981">
        <v>173.08</v>
      </c>
    </row>
    <row r="88" spans="2:10" s="62" customFormat="1">
      <c r="B88" s="969"/>
      <c r="C88" s="971"/>
      <c r="D88" s="970"/>
      <c r="E88" s="971" t="s">
        <v>149</v>
      </c>
      <c r="F88" s="979" t="s">
        <v>516</v>
      </c>
      <c r="G88" s="980"/>
      <c r="H88" s="981"/>
      <c r="I88" s="980">
        <v>152.88999999999999</v>
      </c>
      <c r="J88" s="981">
        <v>172.81</v>
      </c>
    </row>
    <row r="89" spans="2:10" s="62" customFormat="1">
      <c r="B89" s="969"/>
      <c r="C89" s="971"/>
      <c r="D89" s="970"/>
      <c r="E89" s="971" t="s">
        <v>150</v>
      </c>
      <c r="F89" s="979" t="s">
        <v>516</v>
      </c>
      <c r="G89" s="980"/>
      <c r="H89" s="981"/>
      <c r="I89" s="980"/>
      <c r="J89" s="981"/>
    </row>
    <row r="90" spans="2:10" s="62" customFormat="1">
      <c r="B90" s="969"/>
      <c r="C90" s="971"/>
      <c r="D90" s="970"/>
      <c r="E90" s="971" t="s">
        <v>151</v>
      </c>
      <c r="F90" s="979" t="s">
        <v>516</v>
      </c>
      <c r="G90" s="980"/>
      <c r="H90" s="981"/>
      <c r="I90" s="980"/>
      <c r="J90" s="981"/>
    </row>
    <row r="91" spans="2:10" s="62" customFormat="1">
      <c r="B91" s="969"/>
      <c r="C91" s="971"/>
      <c r="D91" s="970"/>
      <c r="E91" s="971" t="s">
        <v>152</v>
      </c>
      <c r="F91" s="979" t="s">
        <v>516</v>
      </c>
      <c r="G91" s="980"/>
      <c r="H91" s="981"/>
      <c r="I91" s="980"/>
      <c r="J91" s="981"/>
    </row>
    <row r="92" spans="2:10" s="62" customFormat="1">
      <c r="B92" s="969"/>
      <c r="C92" s="971"/>
      <c r="D92" s="971"/>
      <c r="E92" s="971"/>
      <c r="F92" s="979"/>
      <c r="G92" s="982"/>
      <c r="H92" s="983"/>
      <c r="I92" s="982"/>
      <c r="J92" s="983"/>
    </row>
    <row r="93" spans="2:10" s="62" customFormat="1">
      <c r="B93" s="969"/>
      <c r="C93" s="971"/>
      <c r="D93" s="970" t="s">
        <v>117</v>
      </c>
      <c r="E93" s="971"/>
      <c r="F93" s="979"/>
      <c r="G93" s="982"/>
      <c r="H93" s="983"/>
      <c r="I93" s="982"/>
      <c r="J93" s="983"/>
    </row>
    <row r="94" spans="2:10" s="62" customFormat="1">
      <c r="B94" s="969"/>
      <c r="C94" s="971"/>
      <c r="D94" s="971"/>
      <c r="E94" s="971" t="s">
        <v>153</v>
      </c>
      <c r="F94" s="979" t="s">
        <v>516</v>
      </c>
      <c r="G94" s="980"/>
      <c r="H94" s="981"/>
      <c r="I94" s="980">
        <v>1020.97</v>
      </c>
      <c r="J94" s="981">
        <v>1136.02</v>
      </c>
    </row>
    <row r="95" spans="2:10" s="62" customFormat="1">
      <c r="B95" s="969"/>
      <c r="C95" s="971"/>
      <c r="D95" s="970"/>
      <c r="E95" s="971"/>
      <c r="F95" s="979"/>
      <c r="G95" s="982"/>
      <c r="H95" s="983"/>
      <c r="I95" s="982"/>
      <c r="J95" s="983"/>
    </row>
    <row r="96" spans="2:10" s="62" customFormat="1">
      <c r="B96" s="969"/>
      <c r="C96" s="971"/>
      <c r="D96" s="970" t="s">
        <v>100</v>
      </c>
      <c r="E96" s="971"/>
      <c r="F96" s="979"/>
      <c r="G96" s="982"/>
      <c r="H96" s="983"/>
      <c r="I96" s="982"/>
      <c r="J96" s="983"/>
    </row>
    <row r="97" spans="2:10" s="62" customFormat="1">
      <c r="B97" s="969"/>
      <c r="C97" s="971"/>
      <c r="D97" s="970"/>
      <c r="E97" s="993" t="s">
        <v>154</v>
      </c>
      <c r="F97" s="979" t="s">
        <v>517</v>
      </c>
      <c r="G97" s="980">
        <v>74.239999999999995</v>
      </c>
      <c r="H97" s="981">
        <v>90.572799999999987</v>
      </c>
      <c r="I97" s="980">
        <v>59.25</v>
      </c>
      <c r="J97" s="981">
        <v>66.59</v>
      </c>
    </row>
    <row r="98" spans="2:10" s="62" customFormat="1">
      <c r="B98" s="969"/>
      <c r="C98" s="971"/>
      <c r="D98" s="970"/>
      <c r="E98" s="993" t="s">
        <v>155</v>
      </c>
      <c r="F98" s="979" t="s">
        <v>517</v>
      </c>
      <c r="G98" s="980">
        <v>51.24</v>
      </c>
      <c r="H98" s="981">
        <v>62.512799999999999</v>
      </c>
      <c r="I98" s="980">
        <v>44.23</v>
      </c>
      <c r="J98" s="981">
        <v>51.19</v>
      </c>
    </row>
    <row r="99" spans="2:10" s="62" customFormat="1">
      <c r="B99" s="969"/>
      <c r="C99" s="971"/>
      <c r="D99" s="970"/>
      <c r="E99" s="993" t="s">
        <v>156</v>
      </c>
      <c r="F99" s="979" t="s">
        <v>517</v>
      </c>
      <c r="G99" s="980"/>
      <c r="H99" s="981"/>
      <c r="I99" s="980">
        <v>29.05</v>
      </c>
      <c r="J99" s="981">
        <v>33.119999999999997</v>
      </c>
    </row>
    <row r="100" spans="2:10" s="62" customFormat="1">
      <c r="B100" s="969"/>
      <c r="C100" s="971"/>
      <c r="D100" s="970"/>
      <c r="E100" s="993" t="s">
        <v>157</v>
      </c>
      <c r="F100" s="979" t="s">
        <v>517</v>
      </c>
      <c r="G100" s="980"/>
      <c r="H100" s="981"/>
      <c r="I100" s="980"/>
      <c r="J100" s="981"/>
    </row>
    <row r="101" spans="2:10" s="62" customFormat="1">
      <c r="B101" s="969"/>
      <c r="C101" s="971"/>
      <c r="D101" s="970"/>
      <c r="E101" s="993" t="s">
        <v>158</v>
      </c>
      <c r="F101" s="979" t="s">
        <v>517</v>
      </c>
      <c r="G101" s="980"/>
      <c r="H101" s="981"/>
      <c r="I101" s="980"/>
      <c r="J101" s="981"/>
    </row>
    <row r="102" spans="2:10" s="62" customFormat="1">
      <c r="B102" s="969"/>
      <c r="C102" s="971"/>
      <c r="D102" s="970"/>
      <c r="E102" s="993" t="s">
        <v>159</v>
      </c>
      <c r="F102" s="979" t="s">
        <v>517</v>
      </c>
      <c r="G102" s="984"/>
      <c r="H102" s="985"/>
      <c r="I102" s="984"/>
      <c r="J102" s="985"/>
    </row>
    <row r="103" spans="2:10" s="62" customFormat="1">
      <c r="B103" s="969"/>
      <c r="C103" s="971"/>
      <c r="D103" s="970"/>
      <c r="E103" s="993" t="s">
        <v>160</v>
      </c>
      <c r="F103" s="979" t="s">
        <v>517</v>
      </c>
      <c r="G103" s="980"/>
      <c r="H103" s="981"/>
      <c r="I103" s="980"/>
      <c r="J103" s="981"/>
    </row>
    <row r="104" spans="2:10" s="62" customFormat="1">
      <c r="B104" s="969"/>
      <c r="C104" s="971"/>
      <c r="D104" s="970"/>
      <c r="E104" s="993" t="s">
        <v>161</v>
      </c>
      <c r="F104" s="979" t="s">
        <v>517</v>
      </c>
      <c r="G104" s="984"/>
      <c r="H104" s="985"/>
      <c r="I104" s="984"/>
      <c r="J104" s="985"/>
    </row>
    <row r="105" spans="2:10" s="62" customFormat="1">
      <c r="B105" s="969"/>
      <c r="C105" s="971"/>
      <c r="D105" s="970"/>
      <c r="E105" s="971"/>
      <c r="F105" s="979"/>
      <c r="G105" s="982"/>
      <c r="H105" s="983"/>
      <c r="I105" s="982"/>
      <c r="J105" s="983"/>
    </row>
    <row r="106" spans="2:10" s="62" customFormat="1">
      <c r="B106" s="969"/>
      <c r="C106" s="971"/>
      <c r="D106" s="970" t="s">
        <v>133</v>
      </c>
      <c r="E106" s="971"/>
      <c r="F106" s="979"/>
      <c r="G106" s="982"/>
      <c r="H106" s="983"/>
      <c r="I106" s="982"/>
      <c r="J106" s="983"/>
    </row>
    <row r="107" spans="2:10" s="62" customFormat="1">
      <c r="B107" s="969"/>
      <c r="C107" s="971"/>
      <c r="D107" s="971"/>
      <c r="E107" s="993" t="s">
        <v>162</v>
      </c>
      <c r="F107" s="979" t="s">
        <v>517</v>
      </c>
      <c r="G107" s="980"/>
      <c r="H107" s="981"/>
      <c r="I107" s="980"/>
      <c r="J107" s="981"/>
    </row>
    <row r="108" spans="2:10" s="62" customFormat="1">
      <c r="B108" s="969"/>
      <c r="C108" s="971"/>
      <c r="D108" s="971"/>
      <c r="E108" s="993" t="s">
        <v>163</v>
      </c>
      <c r="F108" s="979" t="s">
        <v>517</v>
      </c>
      <c r="G108" s="980">
        <v>228.25</v>
      </c>
      <c r="H108" s="981">
        <v>278.46499999999997</v>
      </c>
      <c r="I108" s="980">
        <v>223.81</v>
      </c>
      <c r="J108" s="981">
        <v>261.25</v>
      </c>
    </row>
    <row r="109" spans="2:10" s="62" customFormat="1">
      <c r="B109" s="969"/>
      <c r="C109" s="971"/>
      <c r="D109" s="971"/>
      <c r="E109" s="971" t="s">
        <v>164</v>
      </c>
      <c r="F109" s="979" t="s">
        <v>517</v>
      </c>
      <c r="G109" s="984"/>
      <c r="H109" s="985"/>
      <c r="I109" s="984"/>
      <c r="J109" s="985"/>
    </row>
    <row r="110" spans="2:10" s="62" customFormat="1">
      <c r="B110" s="969"/>
      <c r="C110" s="971"/>
      <c r="D110" s="971"/>
      <c r="E110" s="993" t="s">
        <v>165</v>
      </c>
      <c r="F110" s="979" t="s">
        <v>517</v>
      </c>
      <c r="G110" s="980"/>
      <c r="H110" s="981"/>
      <c r="I110" s="980"/>
      <c r="J110" s="981"/>
    </row>
    <row r="111" spans="2:10" s="62" customFormat="1">
      <c r="B111" s="969"/>
      <c r="C111" s="971"/>
      <c r="D111" s="970"/>
      <c r="E111" s="971" t="s">
        <v>166</v>
      </c>
      <c r="F111" s="979" t="s">
        <v>517</v>
      </c>
      <c r="G111" s="984"/>
      <c r="H111" s="985"/>
      <c r="I111" s="984"/>
      <c r="J111" s="985"/>
    </row>
    <row r="112" spans="2:10" s="62" customFormat="1" ht="13.5" thickBot="1">
      <c r="B112" s="986"/>
      <c r="C112" s="987"/>
      <c r="D112" s="987"/>
      <c r="E112" s="987"/>
      <c r="F112" s="988"/>
      <c r="G112" s="995"/>
      <c r="H112" s="996"/>
      <c r="I112" s="995"/>
      <c r="J112" s="996"/>
    </row>
    <row r="113" spans="2:10" s="62" customFormat="1">
      <c r="B113" s="991"/>
      <c r="C113" s="992" t="s">
        <v>167</v>
      </c>
      <c r="D113" s="992"/>
      <c r="E113" s="993"/>
      <c r="F113" s="994"/>
      <c r="G113" s="982"/>
      <c r="H113" s="983"/>
      <c r="I113" s="982"/>
      <c r="J113" s="983"/>
    </row>
    <row r="114" spans="2:10" s="62" customFormat="1">
      <c r="B114" s="969"/>
      <c r="C114" s="971"/>
      <c r="D114" s="970" t="s">
        <v>429</v>
      </c>
      <c r="E114" s="971"/>
      <c r="F114" s="979"/>
      <c r="G114" s="982"/>
      <c r="H114" s="983"/>
      <c r="I114" s="982"/>
      <c r="J114" s="983"/>
    </row>
    <row r="115" spans="2:10" s="62" customFormat="1">
      <c r="B115" s="969"/>
      <c r="C115" s="971"/>
      <c r="D115" s="970"/>
      <c r="E115" s="971" t="s">
        <v>168</v>
      </c>
      <c r="F115" s="979" t="s">
        <v>516</v>
      </c>
      <c r="G115" s="980">
        <v>74.69</v>
      </c>
      <c r="H115" s="981">
        <v>91.121799999999993</v>
      </c>
      <c r="I115" s="980">
        <v>52.85</v>
      </c>
      <c r="J115" s="981">
        <v>59.21</v>
      </c>
    </row>
    <row r="116" spans="2:10" s="62" customFormat="1">
      <c r="B116" s="969"/>
      <c r="C116" s="971"/>
      <c r="D116" s="970"/>
      <c r="E116" s="971" t="s">
        <v>169</v>
      </c>
      <c r="F116" s="979" t="s">
        <v>516</v>
      </c>
      <c r="G116" s="980">
        <v>637</v>
      </c>
      <c r="H116" s="981">
        <v>777.14</v>
      </c>
      <c r="I116" s="980">
        <v>47.77</v>
      </c>
      <c r="J116" s="981">
        <v>53.46</v>
      </c>
    </row>
    <row r="117" spans="2:10" s="62" customFormat="1">
      <c r="B117" s="969"/>
      <c r="C117" s="971"/>
      <c r="D117" s="970"/>
      <c r="E117" s="993"/>
      <c r="F117" s="979"/>
      <c r="G117" s="982"/>
      <c r="H117" s="983"/>
      <c r="I117" s="982"/>
      <c r="J117" s="983"/>
    </row>
    <row r="118" spans="2:10" s="62" customFormat="1">
      <c r="B118" s="969"/>
      <c r="C118" s="971"/>
      <c r="D118" s="970" t="s">
        <v>93</v>
      </c>
      <c r="E118" s="971"/>
      <c r="F118" s="994"/>
      <c r="G118" s="982"/>
      <c r="H118" s="983"/>
      <c r="I118" s="982"/>
      <c r="J118" s="983"/>
    </row>
    <row r="119" spans="2:10" s="62" customFormat="1">
      <c r="B119" s="969"/>
      <c r="C119" s="971"/>
      <c r="D119" s="970"/>
      <c r="E119" s="971" t="s">
        <v>170</v>
      </c>
      <c r="F119" s="979" t="s">
        <v>517</v>
      </c>
      <c r="G119" s="980"/>
      <c r="H119" s="981"/>
      <c r="I119" s="980">
        <v>2.61</v>
      </c>
      <c r="J119" s="981">
        <v>3.55</v>
      </c>
    </row>
    <row r="120" spans="2:10" s="62" customFormat="1">
      <c r="B120" s="969"/>
      <c r="C120" s="971"/>
      <c r="D120" s="970"/>
      <c r="E120" s="971" t="s">
        <v>171</v>
      </c>
      <c r="F120" s="979" t="s">
        <v>517</v>
      </c>
      <c r="G120" s="980"/>
      <c r="H120" s="981"/>
      <c r="I120" s="980">
        <v>86.15</v>
      </c>
      <c r="J120" s="981">
        <v>98.34</v>
      </c>
    </row>
    <row r="121" spans="2:10" s="62" customFormat="1">
      <c r="B121" s="969"/>
      <c r="C121" s="971"/>
      <c r="D121" s="970"/>
      <c r="E121" s="993" t="s">
        <v>172</v>
      </c>
      <c r="F121" s="979" t="s">
        <v>517</v>
      </c>
      <c r="G121" s="980"/>
      <c r="H121" s="981"/>
      <c r="I121" s="980">
        <v>2.98</v>
      </c>
      <c r="J121" s="981">
        <v>3.74</v>
      </c>
    </row>
    <row r="122" spans="2:10" s="62" customFormat="1">
      <c r="B122" s="969"/>
      <c r="C122" s="971"/>
      <c r="D122" s="971"/>
      <c r="E122" s="971"/>
      <c r="F122" s="979"/>
      <c r="G122" s="982"/>
      <c r="H122" s="983"/>
      <c r="I122" s="982"/>
      <c r="J122" s="983"/>
    </row>
    <row r="123" spans="2:10" s="62" customFormat="1">
      <c r="B123" s="969"/>
      <c r="C123" s="971"/>
      <c r="D123" s="970" t="s">
        <v>114</v>
      </c>
      <c r="E123" s="971"/>
      <c r="F123" s="994"/>
      <c r="G123" s="982"/>
      <c r="H123" s="983"/>
      <c r="I123" s="982"/>
      <c r="J123" s="983"/>
    </row>
    <row r="124" spans="2:10" s="62" customFormat="1">
      <c r="B124" s="969"/>
      <c r="C124" s="971"/>
      <c r="D124" s="971"/>
      <c r="E124" s="971" t="s">
        <v>173</v>
      </c>
      <c r="F124" s="979" t="s">
        <v>516</v>
      </c>
      <c r="G124" s="980">
        <v>1170.8800000000001</v>
      </c>
      <c r="H124" s="981">
        <v>1428.4736</v>
      </c>
      <c r="I124" s="980">
        <v>1191.4000000000001</v>
      </c>
      <c r="J124" s="981"/>
    </row>
    <row r="125" spans="2:10" s="62" customFormat="1">
      <c r="B125" s="969"/>
      <c r="C125" s="971"/>
      <c r="D125" s="971"/>
      <c r="E125" s="971" t="s">
        <v>174</v>
      </c>
      <c r="F125" s="979" t="s">
        <v>516</v>
      </c>
      <c r="G125" s="980"/>
      <c r="H125" s="981"/>
      <c r="I125" s="980">
        <v>1191.4000000000001</v>
      </c>
      <c r="J125" s="981">
        <v>1325.5</v>
      </c>
    </row>
    <row r="126" spans="2:10" s="62" customFormat="1">
      <c r="B126" s="969"/>
      <c r="C126" s="971"/>
      <c r="D126" s="971"/>
      <c r="E126" s="971" t="s">
        <v>175</v>
      </c>
      <c r="F126" s="979" t="s">
        <v>516</v>
      </c>
      <c r="G126" s="980"/>
      <c r="H126" s="981"/>
      <c r="I126" s="980"/>
      <c r="J126" s="981"/>
    </row>
    <row r="127" spans="2:10" s="62" customFormat="1">
      <c r="B127" s="969"/>
      <c r="C127" s="971"/>
      <c r="D127" s="971"/>
      <c r="E127" s="971"/>
      <c r="F127" s="975"/>
      <c r="G127" s="982"/>
      <c r="H127" s="983"/>
      <c r="I127" s="982"/>
      <c r="J127" s="983"/>
    </row>
    <row r="128" spans="2:10" s="62" customFormat="1">
      <c r="B128" s="969"/>
      <c r="C128" s="971"/>
      <c r="D128" s="970" t="s">
        <v>117</v>
      </c>
      <c r="E128" s="971"/>
      <c r="F128" s="975"/>
      <c r="G128" s="982"/>
      <c r="H128" s="983"/>
      <c r="I128" s="982"/>
      <c r="J128" s="983"/>
    </row>
    <row r="129" spans="2:10" s="62" customFormat="1">
      <c r="B129" s="969"/>
      <c r="C129" s="971"/>
      <c r="D129" s="971"/>
      <c r="E129" s="993" t="s">
        <v>176</v>
      </c>
      <c r="F129" s="979" t="s">
        <v>516</v>
      </c>
      <c r="G129" s="980"/>
      <c r="H129" s="981"/>
      <c r="I129" s="980"/>
      <c r="J129" s="981"/>
    </row>
    <row r="130" spans="2:10" s="62" customFormat="1">
      <c r="B130" s="969"/>
      <c r="C130" s="971"/>
      <c r="D130" s="971"/>
      <c r="E130" s="971"/>
      <c r="F130" s="975"/>
      <c r="G130" s="982"/>
      <c r="H130" s="983"/>
      <c r="I130" s="982"/>
      <c r="J130" s="983"/>
    </row>
    <row r="131" spans="2:10" s="62" customFormat="1">
      <c r="B131" s="969"/>
      <c r="C131" s="971"/>
      <c r="D131" s="970" t="s">
        <v>100</v>
      </c>
      <c r="E131" s="971"/>
      <c r="F131" s="975"/>
      <c r="G131" s="982"/>
      <c r="H131" s="983"/>
      <c r="I131" s="982"/>
      <c r="J131" s="983"/>
    </row>
    <row r="132" spans="2:10" s="62" customFormat="1">
      <c r="B132" s="969"/>
      <c r="C132" s="971"/>
      <c r="D132" s="971"/>
      <c r="E132" s="971" t="s">
        <v>177</v>
      </c>
      <c r="F132" s="979" t="s">
        <v>517</v>
      </c>
      <c r="G132" s="980">
        <v>120.95</v>
      </c>
      <c r="H132" s="981">
        <v>147.559</v>
      </c>
      <c r="I132" s="980">
        <v>131.08000000000001</v>
      </c>
      <c r="J132" s="981">
        <v>147.02000000000001</v>
      </c>
    </row>
    <row r="133" spans="2:10" s="62" customFormat="1">
      <c r="B133" s="969"/>
      <c r="C133" s="971"/>
      <c r="D133" s="971"/>
      <c r="E133" s="971" t="s">
        <v>178</v>
      </c>
      <c r="F133" s="979" t="s">
        <v>517</v>
      </c>
      <c r="G133" s="984"/>
      <c r="H133" s="985"/>
      <c r="I133" s="984"/>
      <c r="J133" s="985"/>
    </row>
    <row r="134" spans="2:10" s="62" customFormat="1">
      <c r="B134" s="969"/>
      <c r="C134" s="971"/>
      <c r="D134" s="971"/>
      <c r="E134" s="971"/>
      <c r="F134" s="975"/>
      <c r="G134" s="982"/>
      <c r="H134" s="983"/>
      <c r="I134" s="982"/>
      <c r="J134" s="983"/>
    </row>
    <row r="135" spans="2:10" s="62" customFormat="1">
      <c r="B135" s="969"/>
      <c r="C135" s="971"/>
      <c r="D135" s="970" t="s">
        <v>133</v>
      </c>
      <c r="E135" s="971"/>
      <c r="F135" s="979"/>
      <c r="G135" s="982"/>
      <c r="H135" s="983"/>
      <c r="I135" s="982"/>
      <c r="J135" s="983"/>
    </row>
    <row r="136" spans="2:10" s="62" customFormat="1">
      <c r="B136" s="969"/>
      <c r="C136" s="971"/>
      <c r="D136" s="971"/>
      <c r="E136" s="993" t="s">
        <v>179</v>
      </c>
      <c r="F136" s="979" t="s">
        <v>517</v>
      </c>
      <c r="G136" s="980">
        <v>975.14</v>
      </c>
      <c r="H136" s="981">
        <v>1189.6707999999999</v>
      </c>
      <c r="I136" s="980">
        <v>1018.69</v>
      </c>
      <c r="J136" s="981">
        <v>1140.57</v>
      </c>
    </row>
    <row r="137" spans="2:10" s="62" customFormat="1">
      <c r="B137" s="969"/>
      <c r="C137" s="971"/>
      <c r="D137" s="971"/>
      <c r="E137" s="993" t="s">
        <v>180</v>
      </c>
      <c r="F137" s="979" t="s">
        <v>517</v>
      </c>
      <c r="G137" s="984"/>
      <c r="H137" s="985"/>
      <c r="I137" s="984"/>
      <c r="J137" s="985"/>
    </row>
    <row r="138" spans="2:10" s="62" customFormat="1" ht="13.5" thickBot="1">
      <c r="B138" s="986"/>
      <c r="C138" s="987"/>
      <c r="D138" s="987"/>
      <c r="E138" s="987"/>
      <c r="F138" s="988"/>
      <c r="G138" s="995"/>
      <c r="H138" s="996"/>
      <c r="I138" s="995"/>
      <c r="J138" s="996"/>
    </row>
    <row r="139" spans="2:10" s="62" customFormat="1">
      <c r="B139" s="991"/>
      <c r="C139" s="992" t="s">
        <v>181</v>
      </c>
      <c r="D139" s="992"/>
      <c r="E139" s="993"/>
      <c r="F139" s="994"/>
      <c r="G139" s="982"/>
      <c r="H139" s="983"/>
      <c r="I139" s="982"/>
      <c r="J139" s="983"/>
    </row>
    <row r="140" spans="2:10" s="62" customFormat="1">
      <c r="B140" s="969"/>
      <c r="C140" s="971"/>
      <c r="D140" s="970" t="s">
        <v>182</v>
      </c>
      <c r="E140" s="971"/>
      <c r="F140" s="979"/>
      <c r="G140" s="982"/>
      <c r="H140" s="983"/>
      <c r="I140" s="982"/>
      <c r="J140" s="983"/>
    </row>
    <row r="141" spans="2:10" s="62" customFormat="1">
      <c r="B141" s="969"/>
      <c r="C141" s="971"/>
      <c r="D141" s="971"/>
      <c r="E141" s="993" t="s">
        <v>183</v>
      </c>
      <c r="F141" s="979" t="s">
        <v>517</v>
      </c>
      <c r="G141" s="984"/>
      <c r="H141" s="985"/>
      <c r="I141" s="984"/>
      <c r="J141" s="985"/>
    </row>
    <row r="142" spans="2:10" s="62" customFormat="1">
      <c r="B142" s="969"/>
      <c r="C142" s="971"/>
      <c r="D142" s="971"/>
      <c r="E142" s="993" t="s">
        <v>184</v>
      </c>
      <c r="F142" s="979" t="s">
        <v>517</v>
      </c>
      <c r="G142" s="984"/>
      <c r="H142" s="985"/>
      <c r="I142" s="984"/>
      <c r="J142" s="985"/>
    </row>
    <row r="143" spans="2:10" s="62" customFormat="1">
      <c r="B143" s="969"/>
      <c r="C143" s="993"/>
      <c r="D143" s="970"/>
      <c r="E143" s="971"/>
      <c r="F143" s="979"/>
      <c r="G143" s="982"/>
      <c r="H143" s="983"/>
      <c r="I143" s="982"/>
      <c r="J143" s="983"/>
    </row>
    <row r="144" spans="2:10" s="62" customFormat="1">
      <c r="B144" s="969"/>
      <c r="C144" s="971"/>
      <c r="D144" s="970" t="s">
        <v>185</v>
      </c>
      <c r="E144" s="971"/>
      <c r="F144" s="979"/>
      <c r="G144" s="982"/>
      <c r="H144" s="983"/>
      <c r="I144" s="982"/>
      <c r="J144" s="983"/>
    </row>
    <row r="145" spans="2:10" s="62" customFormat="1">
      <c r="B145" s="969"/>
      <c r="C145" s="971"/>
      <c r="D145" s="971"/>
      <c r="E145" s="993" t="s">
        <v>186</v>
      </c>
      <c r="F145" s="979" t="s">
        <v>517</v>
      </c>
      <c r="G145" s="984"/>
      <c r="H145" s="985"/>
      <c r="I145" s="984"/>
      <c r="J145" s="985"/>
    </row>
    <row r="146" spans="2:10" s="62" customFormat="1">
      <c r="B146" s="969"/>
      <c r="C146" s="971"/>
      <c r="D146" s="971"/>
      <c r="E146" s="993" t="s">
        <v>187</v>
      </c>
      <c r="F146" s="979" t="s">
        <v>517</v>
      </c>
      <c r="G146" s="984"/>
      <c r="H146" s="985"/>
      <c r="I146" s="984"/>
      <c r="J146" s="985"/>
    </row>
    <row r="147" spans="2:10" s="62" customFormat="1" ht="13.5" thickBot="1">
      <c r="B147" s="986"/>
      <c r="C147" s="987"/>
      <c r="D147" s="987"/>
      <c r="E147" s="987"/>
      <c r="F147" s="988"/>
      <c r="G147" s="997"/>
      <c r="H147" s="998"/>
      <c r="I147" s="997"/>
      <c r="J147" s="998"/>
    </row>
    <row r="148" spans="2:10" s="62" customFormat="1" ht="13.5" thickBot="1">
      <c r="B148" s="993"/>
      <c r="C148" s="993"/>
      <c r="D148" s="993"/>
      <c r="E148" s="993"/>
      <c r="F148" s="993"/>
      <c r="G148" s="712"/>
      <c r="H148" s="712"/>
      <c r="I148" s="712"/>
      <c r="J148" s="712"/>
    </row>
    <row r="149" spans="2:10" s="62" customFormat="1">
      <c r="B149" s="999"/>
      <c r="C149" s="992" t="s">
        <v>518</v>
      </c>
      <c r="D149" s="992"/>
      <c r="E149" s="1000"/>
      <c r="F149" s="1001"/>
      <c r="G149" s="1002"/>
      <c r="H149" s="1003"/>
      <c r="I149" s="1002"/>
      <c r="J149" s="1003"/>
    </row>
    <row r="150" spans="2:10" s="62" customFormat="1">
      <c r="B150" s="978"/>
      <c r="C150" s="971"/>
      <c r="D150" s="970"/>
      <c r="E150" s="970" t="s">
        <v>120</v>
      </c>
      <c r="F150" s="979"/>
      <c r="G150" s="1004"/>
      <c r="H150" s="1005"/>
      <c r="I150" s="1004"/>
      <c r="J150" s="1005"/>
    </row>
    <row r="151" spans="2:10" s="62" customFormat="1">
      <c r="B151" s="978"/>
      <c r="C151" s="971"/>
      <c r="D151" s="970"/>
      <c r="E151" s="1006" t="s">
        <v>519</v>
      </c>
      <c r="F151" s="979" t="s">
        <v>517</v>
      </c>
      <c r="G151" s="980">
        <v>20.49</v>
      </c>
      <c r="H151" s="981">
        <v>24.997799999999998</v>
      </c>
      <c r="I151" s="980">
        <v>21.37</v>
      </c>
      <c r="J151" s="981">
        <v>24.46</v>
      </c>
    </row>
    <row r="152" spans="2:10" s="62" customFormat="1">
      <c r="B152" s="978"/>
      <c r="C152" s="971"/>
      <c r="D152" s="970"/>
      <c r="E152" s="1006" t="s">
        <v>520</v>
      </c>
      <c r="F152" s="979" t="s">
        <v>517</v>
      </c>
      <c r="G152" s="980">
        <v>20.49</v>
      </c>
      <c r="H152" s="981">
        <v>24.997799999999998</v>
      </c>
      <c r="I152" s="980">
        <v>21.37</v>
      </c>
      <c r="J152" s="981">
        <v>24.46</v>
      </c>
    </row>
    <row r="153" spans="2:10" s="62" customFormat="1">
      <c r="B153" s="978"/>
      <c r="C153" s="971"/>
      <c r="D153" s="970"/>
      <c r="E153" s="970" t="s">
        <v>129</v>
      </c>
      <c r="F153" s="979"/>
      <c r="G153" s="1004"/>
      <c r="H153" s="1005"/>
      <c r="I153" s="1004"/>
      <c r="J153" s="1005"/>
    </row>
    <row r="154" spans="2:10" s="62" customFormat="1">
      <c r="B154" s="978"/>
      <c r="C154" s="971"/>
      <c r="D154" s="970"/>
      <c r="E154" s="1006" t="s">
        <v>519</v>
      </c>
      <c r="F154" s="979" t="s">
        <v>517</v>
      </c>
      <c r="G154" s="980"/>
      <c r="H154" s="981"/>
      <c r="I154" s="980"/>
      <c r="J154" s="981"/>
    </row>
    <row r="155" spans="2:10" s="62" customFormat="1" ht="13.5" thickBot="1">
      <c r="B155" s="1007"/>
      <c r="C155" s="1008"/>
      <c r="D155" s="1009"/>
      <c r="E155" s="1010" t="s">
        <v>520</v>
      </c>
      <c r="F155" s="1011" t="s">
        <v>517</v>
      </c>
      <c r="G155" s="1012"/>
      <c r="H155" s="1013"/>
      <c r="I155" s="1012"/>
      <c r="J155" s="1013"/>
    </row>
  </sheetData>
  <mergeCells count="4">
    <mergeCell ref="B7:E9"/>
    <mergeCell ref="F7:F9"/>
    <mergeCell ref="G7:H7"/>
    <mergeCell ref="I7:J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C5FFFF"/>
    <pageSetUpPr fitToPage="1"/>
  </sheetPr>
  <dimension ref="J3:P10"/>
  <sheetViews>
    <sheetView workbookViewId="0"/>
  </sheetViews>
  <sheetFormatPr defaultColWidth="10.85546875" defaultRowHeight="15"/>
  <cols>
    <col min="1" max="16384" width="10.85546875" style="2"/>
  </cols>
  <sheetData>
    <row r="3" spans="10:16" ht="24" customHeight="1">
      <c r="J3" s="1567" t="s">
        <v>521</v>
      </c>
      <c r="K3" s="1568"/>
      <c r="L3" s="1569"/>
      <c r="N3" s="1567" t="s">
        <v>522</v>
      </c>
      <c r="O3" s="1568"/>
      <c r="P3" s="1569"/>
    </row>
    <row r="4" spans="10:16">
      <c r="J4" s="1570" t="s">
        <v>523</v>
      </c>
      <c r="K4" s="1571"/>
      <c r="L4" s="1572"/>
      <c r="N4" s="1570" t="s">
        <v>524</v>
      </c>
      <c r="O4" s="1571"/>
      <c r="P4" s="1572"/>
    </row>
    <row r="5" spans="10:16">
      <c r="J5" s="23" t="s">
        <v>402</v>
      </c>
      <c r="K5" s="27"/>
      <c r="L5" s="22"/>
      <c r="N5" s="23"/>
      <c r="O5" s="21" t="s">
        <v>203</v>
      </c>
      <c r="P5" s="22"/>
    </row>
    <row r="6" spans="10:16">
      <c r="J6" s="24" t="s">
        <v>401</v>
      </c>
      <c r="K6" s="25"/>
      <c r="L6" s="26"/>
      <c r="N6" s="23" t="s">
        <v>222</v>
      </c>
      <c r="O6" s="27"/>
      <c r="P6" s="22"/>
    </row>
    <row r="7" spans="10:16">
      <c r="N7" s="23" t="s">
        <v>525</v>
      </c>
      <c r="O7" s="27"/>
      <c r="P7" s="22"/>
    </row>
    <row r="8" spans="10:16">
      <c r="N8" s="23" t="s">
        <v>223</v>
      </c>
      <c r="O8" s="27"/>
      <c r="P8" s="22"/>
    </row>
    <row r="9" spans="10:16">
      <c r="N9" s="23" t="s">
        <v>402</v>
      </c>
      <c r="O9" s="27"/>
      <c r="P9" s="22"/>
    </row>
    <row r="10" spans="10:16">
      <c r="N10" s="24" t="s">
        <v>481</v>
      </c>
      <c r="O10" s="28"/>
      <c r="P10" s="26"/>
    </row>
  </sheetData>
  <mergeCells count="4">
    <mergeCell ref="J3:L3"/>
    <mergeCell ref="N3:P3"/>
    <mergeCell ref="J4:L4"/>
    <mergeCell ref="N4:P4"/>
  </mergeCells>
  <phoneticPr fontId="1" type="noConversion"/>
  <pageMargins left="0.75" right="0.75" top="1" bottom="1" header="0.5" footer="0.5"/>
  <pageSetup paperSize="9" scale="4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C5FFFF"/>
    <pageSetUpPr fitToPage="1"/>
  </sheetPr>
  <dimension ref="A1:AL27"/>
  <sheetViews>
    <sheetView workbookViewId="0">
      <selection sqref="A1:XFD1048576"/>
    </sheetView>
  </sheetViews>
  <sheetFormatPr defaultColWidth="8.85546875" defaultRowHeight="12.75"/>
  <cols>
    <col min="1" max="2" width="8.85546875" style="62" customWidth="1"/>
    <col min="3" max="3" width="19" style="62" customWidth="1"/>
    <col min="4" max="16384" width="8.85546875" style="62"/>
  </cols>
  <sheetData>
    <row r="1" spans="1:38">
      <c r="A1" s="681" t="s">
        <v>526</v>
      </c>
      <c r="F1" s="118" t="s">
        <v>984</v>
      </c>
      <c r="H1" s="62" t="s">
        <v>991</v>
      </c>
    </row>
    <row r="3" spans="1:38">
      <c r="A3" s="681" t="s">
        <v>81</v>
      </c>
    </row>
    <row r="5" spans="1:38">
      <c r="C5" s="1014" t="s">
        <v>527</v>
      </c>
      <c r="D5" s="1015"/>
      <c r="E5" s="1015"/>
      <c r="F5" s="1015"/>
      <c r="G5" s="1015"/>
      <c r="H5" s="1015"/>
      <c r="I5" s="1014"/>
      <c r="J5" s="1015"/>
      <c r="K5" s="1015"/>
      <c r="L5" s="1015"/>
      <c r="M5" s="1015"/>
      <c r="N5" s="1015"/>
      <c r="O5" s="1015"/>
      <c r="P5" s="1015"/>
      <c r="Q5" s="1015"/>
      <c r="R5" s="1015"/>
      <c r="S5" s="1015"/>
      <c r="T5" s="1015"/>
      <c r="U5" s="1015"/>
      <c r="V5" s="1015"/>
      <c r="W5" s="1015"/>
      <c r="X5" s="1015"/>
      <c r="Y5" s="1015"/>
      <c r="Z5" s="1015"/>
      <c r="AA5" s="1015"/>
      <c r="AB5" s="1015"/>
      <c r="AC5" s="1015"/>
      <c r="AD5" s="1015"/>
      <c r="AE5" s="1015"/>
      <c r="AF5" s="1015"/>
      <c r="AG5" s="1015"/>
      <c r="AH5" s="1015"/>
      <c r="AI5" s="1015"/>
      <c r="AJ5" s="1015"/>
      <c r="AK5" s="1015"/>
      <c r="AL5" s="1016"/>
    </row>
    <row r="6" spans="1:38" ht="13.5" thickBot="1">
      <c r="C6" s="1017"/>
      <c r="D6" s="1018"/>
      <c r="E6" s="1018"/>
      <c r="F6" s="1018"/>
      <c r="G6" s="1018"/>
      <c r="H6" s="1018"/>
      <c r="I6" s="1018"/>
      <c r="J6" s="1018"/>
      <c r="K6" s="1018"/>
      <c r="L6" s="1018"/>
      <c r="M6" s="1018"/>
      <c r="N6" s="1018"/>
      <c r="O6" s="1018"/>
      <c r="P6" s="1018"/>
      <c r="Q6" s="1018"/>
      <c r="R6" s="1018"/>
      <c r="S6" s="1018"/>
      <c r="T6" s="1018"/>
      <c r="U6" s="1018"/>
      <c r="V6" s="1018"/>
      <c r="W6" s="1018"/>
      <c r="X6" s="1018"/>
      <c r="Y6" s="1018"/>
      <c r="Z6" s="1018"/>
      <c r="AA6" s="1018"/>
      <c r="AB6" s="1018"/>
      <c r="AC6" s="1018"/>
      <c r="AD6" s="1018"/>
      <c r="AE6" s="1018"/>
      <c r="AF6" s="1018"/>
      <c r="AG6" s="1018"/>
      <c r="AH6" s="1018"/>
      <c r="AI6" s="1018"/>
      <c r="AJ6" s="1018"/>
      <c r="AK6" s="1018"/>
      <c r="AL6" s="1019"/>
    </row>
    <row r="7" spans="1:38">
      <c r="C7" s="1017"/>
      <c r="D7" s="1590" t="s">
        <v>528</v>
      </c>
      <c r="E7" s="1591"/>
      <c r="F7" s="1591"/>
      <c r="G7" s="1591"/>
      <c r="H7" s="1591"/>
      <c r="I7" s="1591"/>
      <c r="J7" s="1591"/>
      <c r="K7" s="1591"/>
      <c r="L7" s="1591"/>
      <c r="M7" s="1591"/>
      <c r="N7" s="1591"/>
      <c r="O7" s="1591"/>
      <c r="P7" s="1591"/>
      <c r="Q7" s="1591"/>
      <c r="R7" s="1591"/>
      <c r="S7" s="1591"/>
      <c r="T7" s="1591"/>
      <c r="U7" s="1591"/>
      <c r="V7" s="1591"/>
      <c r="W7" s="1591"/>
      <c r="X7" s="1592"/>
      <c r="Y7" s="1587" t="s">
        <v>529</v>
      </c>
      <c r="Z7" s="1587" t="s">
        <v>530</v>
      </c>
      <c r="AA7" s="1587" t="s">
        <v>531</v>
      </c>
      <c r="AB7" s="1587" t="s">
        <v>532</v>
      </c>
      <c r="AC7" s="1587" t="s">
        <v>533</v>
      </c>
      <c r="AD7" s="1587" t="s">
        <v>534</v>
      </c>
      <c r="AE7" s="1587" t="s">
        <v>535</v>
      </c>
      <c r="AF7" s="1587" t="s">
        <v>536</v>
      </c>
      <c r="AG7" s="1587" t="s">
        <v>537</v>
      </c>
      <c r="AH7" s="1587" t="s">
        <v>538</v>
      </c>
      <c r="AI7" s="1587" t="s">
        <v>539</v>
      </c>
      <c r="AJ7" s="1575" t="s">
        <v>540</v>
      </c>
      <c r="AK7" s="1578" t="s">
        <v>541</v>
      </c>
      <c r="AL7" s="1020"/>
    </row>
    <row r="8" spans="1:38">
      <c r="C8" s="1017"/>
      <c r="D8" s="1581" t="s">
        <v>542</v>
      </c>
      <c r="E8" s="1582"/>
      <c r="F8" s="1582"/>
      <c r="G8" s="1582"/>
      <c r="H8" s="1582"/>
      <c r="I8" s="1583"/>
      <c r="J8" s="1584" t="s">
        <v>543</v>
      </c>
      <c r="K8" s="1585"/>
      <c r="L8" s="1585"/>
      <c r="M8" s="1585"/>
      <c r="N8" s="1585"/>
      <c r="O8" s="1585"/>
      <c r="P8" s="1585"/>
      <c r="Q8" s="1585"/>
      <c r="R8" s="1585"/>
      <c r="S8" s="1585"/>
      <c r="T8" s="1585"/>
      <c r="U8" s="1585"/>
      <c r="V8" s="1585"/>
      <c r="W8" s="1585"/>
      <c r="X8" s="1586"/>
      <c r="Y8" s="1588"/>
      <c r="Z8" s="1588"/>
      <c r="AA8" s="1588"/>
      <c r="AB8" s="1588"/>
      <c r="AC8" s="1588"/>
      <c r="AD8" s="1588"/>
      <c r="AE8" s="1588"/>
      <c r="AF8" s="1588"/>
      <c r="AG8" s="1588"/>
      <c r="AH8" s="1588"/>
      <c r="AI8" s="1588"/>
      <c r="AJ8" s="1576"/>
      <c r="AK8" s="1579"/>
      <c r="AL8" s="1020"/>
    </row>
    <row r="9" spans="1:38" s="1021" customFormat="1" ht="125.25">
      <c r="C9" s="1022" t="s">
        <v>544</v>
      </c>
      <c r="D9" s="1023" t="s">
        <v>545</v>
      </c>
      <c r="E9" s="1023" t="s">
        <v>546</v>
      </c>
      <c r="F9" s="1023" t="s">
        <v>547</v>
      </c>
      <c r="G9" s="1023" t="s">
        <v>548</v>
      </c>
      <c r="H9" s="1023" t="s">
        <v>549</v>
      </c>
      <c r="I9" s="1023" t="s">
        <v>550</v>
      </c>
      <c r="J9" s="1023" t="s">
        <v>551</v>
      </c>
      <c r="K9" s="1024" t="s">
        <v>552</v>
      </c>
      <c r="L9" s="1024" t="s">
        <v>553</v>
      </c>
      <c r="M9" s="1024" t="s">
        <v>554</v>
      </c>
      <c r="N9" s="1024" t="s">
        <v>555</v>
      </c>
      <c r="O9" s="1024" t="s">
        <v>556</v>
      </c>
      <c r="P9" s="1024" t="s">
        <v>557</v>
      </c>
      <c r="Q9" s="1024" t="s">
        <v>558</v>
      </c>
      <c r="R9" s="1024" t="s">
        <v>559</v>
      </c>
      <c r="S9" s="1024" t="s">
        <v>560</v>
      </c>
      <c r="T9" s="1024" t="s">
        <v>561</v>
      </c>
      <c r="U9" s="1024" t="s">
        <v>562</v>
      </c>
      <c r="V9" s="1024" t="s">
        <v>563</v>
      </c>
      <c r="W9" s="1024" t="s">
        <v>564</v>
      </c>
      <c r="X9" s="1024" t="s">
        <v>565</v>
      </c>
      <c r="Y9" s="1589"/>
      <c r="Z9" s="1589"/>
      <c r="AA9" s="1589"/>
      <c r="AB9" s="1589"/>
      <c r="AC9" s="1589"/>
      <c r="AD9" s="1589"/>
      <c r="AE9" s="1589"/>
      <c r="AF9" s="1589"/>
      <c r="AG9" s="1589"/>
      <c r="AH9" s="1589"/>
      <c r="AI9" s="1589"/>
      <c r="AJ9" s="1577"/>
      <c r="AK9" s="1580"/>
      <c r="AL9" s="1025"/>
    </row>
    <row r="10" spans="1:38">
      <c r="C10" s="1026"/>
      <c r="D10" s="1027" t="s">
        <v>566</v>
      </c>
      <c r="E10" s="1027" t="s">
        <v>566</v>
      </c>
      <c r="F10" s="1027" t="s">
        <v>566</v>
      </c>
      <c r="G10" s="1027" t="s">
        <v>566</v>
      </c>
      <c r="H10" s="1027" t="s">
        <v>566</v>
      </c>
      <c r="I10" s="1027" t="s">
        <v>566</v>
      </c>
      <c r="J10" s="1027" t="s">
        <v>566</v>
      </c>
      <c r="K10" s="1027" t="s">
        <v>566</v>
      </c>
      <c r="L10" s="1027" t="s">
        <v>566</v>
      </c>
      <c r="M10" s="1027" t="s">
        <v>566</v>
      </c>
      <c r="N10" s="1027" t="s">
        <v>566</v>
      </c>
      <c r="O10" s="1027" t="s">
        <v>566</v>
      </c>
      <c r="P10" s="1027" t="s">
        <v>566</v>
      </c>
      <c r="Q10" s="1027" t="s">
        <v>566</v>
      </c>
      <c r="R10" s="1027" t="s">
        <v>566</v>
      </c>
      <c r="S10" s="1027" t="s">
        <v>566</v>
      </c>
      <c r="T10" s="1027" t="s">
        <v>566</v>
      </c>
      <c r="U10" s="1027" t="s">
        <v>566</v>
      </c>
      <c r="V10" s="1027" t="s">
        <v>566</v>
      </c>
      <c r="W10" s="1027" t="s">
        <v>566</v>
      </c>
      <c r="X10" s="1027" t="s">
        <v>566</v>
      </c>
      <c r="Y10" s="1027" t="s">
        <v>566</v>
      </c>
      <c r="Z10" s="1027" t="s">
        <v>566</v>
      </c>
      <c r="AA10" s="1027" t="s">
        <v>566</v>
      </c>
      <c r="AB10" s="1027" t="s">
        <v>566</v>
      </c>
      <c r="AC10" s="1027" t="s">
        <v>566</v>
      </c>
      <c r="AD10" s="1027" t="s">
        <v>566</v>
      </c>
      <c r="AE10" s="1027" t="s">
        <v>566</v>
      </c>
      <c r="AF10" s="1027" t="s">
        <v>566</v>
      </c>
      <c r="AG10" s="1027" t="s">
        <v>566</v>
      </c>
      <c r="AH10" s="1027" t="s">
        <v>566</v>
      </c>
      <c r="AI10" s="1027" t="s">
        <v>566</v>
      </c>
      <c r="AJ10" s="1028" t="s">
        <v>566</v>
      </c>
      <c r="AK10" s="1029" t="s">
        <v>566</v>
      </c>
      <c r="AL10" s="1019"/>
    </row>
    <row r="11" spans="1:38">
      <c r="C11" s="1030"/>
      <c r="D11" s="1031"/>
      <c r="E11" s="1031"/>
      <c r="F11" s="1031"/>
      <c r="G11" s="1031"/>
      <c r="H11" s="1031"/>
      <c r="I11" s="1031"/>
      <c r="J11" s="1031"/>
      <c r="K11" s="1031"/>
      <c r="L11" s="1031"/>
      <c r="M11" s="1031"/>
      <c r="N11" s="1031"/>
      <c r="O11" s="1031"/>
      <c r="P11" s="1031"/>
      <c r="Q11" s="1031"/>
      <c r="R11" s="1031"/>
      <c r="S11" s="1031"/>
      <c r="T11" s="1031"/>
      <c r="U11" s="1031"/>
      <c r="V11" s="1031"/>
      <c r="W11" s="1031"/>
      <c r="X11" s="1031"/>
      <c r="Y11" s="1031"/>
      <c r="Z11" s="1031"/>
      <c r="AA11" s="1031"/>
      <c r="AB11" s="1031"/>
      <c r="AC11" s="1031"/>
      <c r="AD11" s="1031"/>
      <c r="AE11" s="1031"/>
      <c r="AF11" s="1031"/>
      <c r="AG11" s="1031"/>
      <c r="AH11" s="1031"/>
      <c r="AI11" s="1031"/>
      <c r="AJ11" s="1031"/>
      <c r="AK11" s="1031"/>
      <c r="AL11" s="1019"/>
    </row>
    <row r="12" spans="1:38">
      <c r="C12" s="1032" t="s">
        <v>567</v>
      </c>
      <c r="D12" s="1033">
        <v>1.4000000000000075</v>
      </c>
      <c r="E12" s="1033">
        <v>44.5</v>
      </c>
      <c r="F12" s="1033">
        <v>14.9</v>
      </c>
      <c r="G12" s="1033">
        <v>13.5</v>
      </c>
      <c r="H12" s="1033">
        <v>7</v>
      </c>
      <c r="I12" s="1033">
        <v>5.3</v>
      </c>
      <c r="J12" s="1033">
        <v>0.6</v>
      </c>
      <c r="K12" s="1033">
        <v>4.5</v>
      </c>
      <c r="L12" s="1033">
        <v>4.9000000000000004</v>
      </c>
      <c r="M12" s="1033">
        <v>9.6</v>
      </c>
      <c r="N12" s="1033">
        <v>1.9</v>
      </c>
      <c r="O12" s="1033">
        <v>1</v>
      </c>
      <c r="P12" s="1033">
        <v>0.7</v>
      </c>
      <c r="Q12" s="1033">
        <v>1.2</v>
      </c>
      <c r="R12" s="1033">
        <v>4.2</v>
      </c>
      <c r="S12" s="1033">
        <v>6.9</v>
      </c>
      <c r="T12" s="1033">
        <v>3</v>
      </c>
      <c r="U12" s="1033">
        <v>0.9</v>
      </c>
      <c r="V12" s="1033">
        <v>1.2</v>
      </c>
      <c r="W12" s="1033">
        <v>5.9</v>
      </c>
      <c r="X12" s="1033">
        <v>1.6</v>
      </c>
      <c r="Y12" s="1033">
        <v>7.3</v>
      </c>
      <c r="Z12" s="1033">
        <v>20.5</v>
      </c>
      <c r="AA12" s="1033">
        <v>5.8</v>
      </c>
      <c r="AB12" s="1033">
        <v>25.2</v>
      </c>
      <c r="AC12" s="1033">
        <v>0.3</v>
      </c>
      <c r="AD12" s="1033">
        <v>0.1</v>
      </c>
      <c r="AE12" s="1033">
        <v>1.1000000000000001</v>
      </c>
      <c r="AF12" s="1033">
        <v>34</v>
      </c>
      <c r="AG12" s="1033">
        <v>18.0171204</v>
      </c>
      <c r="AH12" s="1033">
        <v>5.1675739700000003</v>
      </c>
      <c r="AI12" s="1033">
        <v>0</v>
      </c>
      <c r="AJ12" s="1033">
        <v>-11.484694370000085</v>
      </c>
      <c r="AK12" s="1033">
        <v>240.7</v>
      </c>
      <c r="AL12" s="1034"/>
    </row>
    <row r="13" spans="1:38">
      <c r="C13" s="1032" t="s">
        <v>568</v>
      </c>
      <c r="D13" s="1035"/>
      <c r="E13" s="1035"/>
      <c r="F13" s="1035"/>
      <c r="G13" s="1035"/>
      <c r="H13" s="1035"/>
      <c r="I13" s="1035"/>
      <c r="J13" s="1035"/>
      <c r="K13" s="1035"/>
      <c r="L13" s="1035"/>
      <c r="M13" s="1035"/>
      <c r="N13" s="1035"/>
      <c r="O13" s="1035"/>
      <c r="P13" s="1035"/>
      <c r="Q13" s="1035"/>
      <c r="R13" s="1035"/>
      <c r="S13" s="1035"/>
      <c r="T13" s="1035"/>
      <c r="U13" s="1035"/>
      <c r="V13" s="1035"/>
      <c r="W13" s="1035"/>
      <c r="X13" s="1035"/>
      <c r="Y13" s="1035"/>
      <c r="Z13" s="1035"/>
      <c r="AA13" s="1035"/>
      <c r="AB13" s="1035"/>
      <c r="AC13" s="1035"/>
      <c r="AD13" s="1035"/>
      <c r="AE13" s="1035"/>
      <c r="AF13" s="1035"/>
      <c r="AG13" s="1035"/>
      <c r="AH13" s="1035"/>
      <c r="AI13" s="1035"/>
      <c r="AJ13" s="1035"/>
      <c r="AK13" s="1036">
        <v>0</v>
      </c>
      <c r="AL13" s="1034"/>
    </row>
    <row r="14" spans="1:38">
      <c r="C14" s="1032" t="s">
        <v>567</v>
      </c>
      <c r="D14" s="1033">
        <v>1.4000000000000075</v>
      </c>
      <c r="E14" s="1033">
        <v>44.5</v>
      </c>
      <c r="F14" s="1033">
        <v>14.9</v>
      </c>
      <c r="G14" s="1033">
        <v>13.5</v>
      </c>
      <c r="H14" s="1033">
        <v>7</v>
      </c>
      <c r="I14" s="1033">
        <v>5.3</v>
      </c>
      <c r="J14" s="1033">
        <v>0.6</v>
      </c>
      <c r="K14" s="1033">
        <v>4.5</v>
      </c>
      <c r="L14" s="1033">
        <v>4.9000000000000004</v>
      </c>
      <c r="M14" s="1033">
        <v>9.6</v>
      </c>
      <c r="N14" s="1033">
        <v>1.9</v>
      </c>
      <c r="O14" s="1033">
        <v>1</v>
      </c>
      <c r="P14" s="1033">
        <v>0.7</v>
      </c>
      <c r="Q14" s="1033">
        <v>1.2</v>
      </c>
      <c r="R14" s="1033">
        <v>4.2</v>
      </c>
      <c r="S14" s="1033">
        <v>6.9</v>
      </c>
      <c r="T14" s="1033">
        <v>3</v>
      </c>
      <c r="U14" s="1033">
        <v>0.9</v>
      </c>
      <c r="V14" s="1033">
        <v>1.2</v>
      </c>
      <c r="W14" s="1033">
        <v>5.9</v>
      </c>
      <c r="X14" s="1033">
        <v>1.6</v>
      </c>
      <c r="Y14" s="1033">
        <v>7.3</v>
      </c>
      <c r="Z14" s="1033">
        <v>20.5</v>
      </c>
      <c r="AA14" s="1033">
        <v>5.8</v>
      </c>
      <c r="AB14" s="1033">
        <v>25.2</v>
      </c>
      <c r="AC14" s="1033">
        <v>0.3</v>
      </c>
      <c r="AD14" s="1033">
        <v>0.1</v>
      </c>
      <c r="AE14" s="1033">
        <v>1.1000000000000001</v>
      </c>
      <c r="AF14" s="1033">
        <v>34</v>
      </c>
      <c r="AG14" s="1033">
        <v>18.0171204</v>
      </c>
      <c r="AH14" s="1033">
        <v>5.1675739700000003</v>
      </c>
      <c r="AI14" s="1033">
        <v>0</v>
      </c>
      <c r="AJ14" s="1033">
        <v>-11.484694370000085</v>
      </c>
      <c r="AK14" s="1033">
        <v>240.7</v>
      </c>
      <c r="AL14" s="1034"/>
    </row>
    <row r="15" spans="1:38">
      <c r="C15" s="1032"/>
      <c r="D15" s="1033"/>
      <c r="E15" s="1033"/>
      <c r="F15" s="1033"/>
      <c r="G15" s="1033"/>
      <c r="H15" s="1033"/>
      <c r="I15" s="1033"/>
      <c r="J15" s="1033"/>
      <c r="K15" s="1033"/>
      <c r="L15" s="1033"/>
      <c r="M15" s="1033"/>
      <c r="N15" s="1033"/>
      <c r="O15" s="1033"/>
      <c r="P15" s="1033"/>
      <c r="Q15" s="1033"/>
      <c r="R15" s="1033"/>
      <c r="S15" s="1033"/>
      <c r="T15" s="1033"/>
      <c r="U15" s="1033"/>
      <c r="V15" s="1033"/>
      <c r="W15" s="1033"/>
      <c r="X15" s="1033"/>
      <c r="Y15" s="1033"/>
      <c r="Z15" s="1033"/>
      <c r="AA15" s="1033"/>
      <c r="AB15" s="1033"/>
      <c r="AC15" s="1033"/>
      <c r="AD15" s="1033"/>
      <c r="AE15" s="1033"/>
      <c r="AF15" s="1033"/>
      <c r="AG15" s="1033"/>
      <c r="AH15" s="1033"/>
      <c r="AI15" s="1033"/>
      <c r="AJ15" s="1033"/>
      <c r="AK15" s="1033"/>
      <c r="AL15" s="1034"/>
    </row>
    <row r="16" spans="1:38">
      <c r="C16" s="1032" t="s">
        <v>569</v>
      </c>
      <c r="D16" s="1033">
        <v>6.5</v>
      </c>
      <c r="E16" s="1033">
        <v>38.6</v>
      </c>
      <c r="F16" s="1033">
        <v>13.7</v>
      </c>
      <c r="G16" s="1033">
        <v>12.9</v>
      </c>
      <c r="H16" s="1033">
        <v>7.4</v>
      </c>
      <c r="I16" s="1033">
        <v>4.9000000000000004</v>
      </c>
      <c r="J16" s="1033">
        <v>0.5</v>
      </c>
      <c r="K16" s="1033">
        <v>3.9</v>
      </c>
      <c r="L16" s="1033">
        <v>4.2</v>
      </c>
      <c r="M16" s="1033">
        <v>8.1999999999999993</v>
      </c>
      <c r="N16" s="1033">
        <v>2.1</v>
      </c>
      <c r="O16" s="1033">
        <v>0.8</v>
      </c>
      <c r="P16" s="1033">
        <v>0.6</v>
      </c>
      <c r="Q16" s="1033">
        <v>1.7</v>
      </c>
      <c r="R16" s="1033">
        <v>4.2</v>
      </c>
      <c r="S16" s="1033">
        <v>6.3</v>
      </c>
      <c r="T16" s="1033">
        <v>2.7</v>
      </c>
      <c r="U16" s="1033">
        <v>1</v>
      </c>
      <c r="V16" s="1033">
        <v>1.1000000000000001</v>
      </c>
      <c r="W16" s="1033">
        <v>4.8</v>
      </c>
      <c r="X16" s="1033">
        <v>1.7</v>
      </c>
      <c r="Y16" s="1033">
        <v>8.3000000000000007</v>
      </c>
      <c r="Z16" s="1033">
        <v>10.3</v>
      </c>
      <c r="AA16" s="1033">
        <v>5.8</v>
      </c>
      <c r="AB16" s="1033">
        <v>28.6</v>
      </c>
      <c r="AC16" s="1033">
        <v>-0.1</v>
      </c>
      <c r="AD16" s="1033">
        <v>0</v>
      </c>
      <c r="AE16" s="1033">
        <v>1.5</v>
      </c>
      <c r="AF16" s="1033">
        <v>46.2</v>
      </c>
      <c r="AG16" s="1033">
        <v>17.600000000000001</v>
      </c>
      <c r="AH16" s="1033">
        <v>4.5999999999999996</v>
      </c>
      <c r="AI16" s="1033">
        <v>0</v>
      </c>
      <c r="AJ16" s="1033">
        <v>-22.5</v>
      </c>
      <c r="AK16" s="1033">
        <v>228.1</v>
      </c>
      <c r="AL16" s="1037"/>
    </row>
    <row r="17" spans="3:38">
      <c r="C17" s="1032"/>
      <c r="D17" s="1033"/>
      <c r="E17" s="1033"/>
      <c r="F17" s="1033"/>
      <c r="G17" s="1033"/>
      <c r="H17" s="1033"/>
      <c r="I17" s="1033"/>
      <c r="J17" s="1033"/>
      <c r="K17" s="1033"/>
      <c r="L17" s="1033"/>
      <c r="M17" s="1033"/>
      <c r="N17" s="1033"/>
      <c r="O17" s="1033"/>
      <c r="P17" s="1033"/>
      <c r="Q17" s="1033"/>
      <c r="R17" s="1033"/>
      <c r="S17" s="1033"/>
      <c r="T17" s="1033"/>
      <c r="U17" s="1033"/>
      <c r="V17" s="1033"/>
      <c r="W17" s="1033"/>
      <c r="X17" s="1033"/>
      <c r="Y17" s="1033"/>
      <c r="Z17" s="1033"/>
      <c r="AA17" s="1033"/>
      <c r="AB17" s="1033"/>
      <c r="AC17" s="1033"/>
      <c r="AD17" s="1033"/>
      <c r="AE17" s="1033"/>
      <c r="AF17" s="1033"/>
      <c r="AG17" s="1033"/>
      <c r="AH17" s="1033"/>
      <c r="AI17" s="1033"/>
      <c r="AJ17" s="1033"/>
      <c r="AK17" s="1033"/>
      <c r="AL17" s="1037"/>
    </row>
    <row r="18" spans="3:38">
      <c r="C18" s="1032" t="s">
        <v>570</v>
      </c>
      <c r="D18" s="1033">
        <v>9.1</v>
      </c>
      <c r="E18" s="1033">
        <v>29.5</v>
      </c>
      <c r="F18" s="1033">
        <v>10.3</v>
      </c>
      <c r="G18" s="1033">
        <v>14.4</v>
      </c>
      <c r="H18" s="1033">
        <v>7.4</v>
      </c>
      <c r="I18" s="1033">
        <v>4.2</v>
      </c>
      <c r="J18" s="1033">
        <v>0.6</v>
      </c>
      <c r="K18" s="1033">
        <v>4</v>
      </c>
      <c r="L18" s="1033">
        <v>4</v>
      </c>
      <c r="M18" s="1033">
        <v>9.6999999999999993</v>
      </c>
      <c r="N18" s="1033">
        <v>2.6</v>
      </c>
      <c r="O18" s="1033">
        <v>0.8</v>
      </c>
      <c r="P18" s="1033">
        <v>0.6</v>
      </c>
      <c r="Q18" s="1033">
        <v>2</v>
      </c>
      <c r="R18" s="1033">
        <v>4.0999999999999996</v>
      </c>
      <c r="S18" s="1033">
        <v>6.1</v>
      </c>
      <c r="T18" s="1033">
        <v>4.7</v>
      </c>
      <c r="U18" s="1033">
        <v>0.8</v>
      </c>
      <c r="V18" s="1033">
        <v>0.7</v>
      </c>
      <c r="W18" s="1033">
        <v>4.5999999999999996</v>
      </c>
      <c r="X18" s="1033">
        <v>2</v>
      </c>
      <c r="Y18" s="1033">
        <v>1.9</v>
      </c>
      <c r="Z18" s="1033">
        <v>7.4</v>
      </c>
      <c r="AA18" s="1033">
        <v>6.4</v>
      </c>
      <c r="AB18" s="1033">
        <v>34.6</v>
      </c>
      <c r="AC18" s="1033">
        <v>0</v>
      </c>
      <c r="AD18" s="1033">
        <v>0</v>
      </c>
      <c r="AE18" s="1033">
        <v>0</v>
      </c>
      <c r="AF18" s="1033">
        <v>44.2</v>
      </c>
      <c r="AG18" s="1033">
        <v>17.100000000000001</v>
      </c>
      <c r="AH18" s="1033">
        <v>4.0999999999999996</v>
      </c>
      <c r="AI18" s="1033">
        <v>0</v>
      </c>
      <c r="AJ18" s="1033">
        <v>-26</v>
      </c>
      <c r="AK18" s="1033">
        <v>211.9</v>
      </c>
      <c r="AL18" s="1037"/>
    </row>
    <row r="19" spans="3:38">
      <c r="C19" s="1038"/>
      <c r="D19" s="1039"/>
      <c r="E19" s="1039"/>
      <c r="F19" s="1039"/>
      <c r="G19" s="1039"/>
      <c r="H19" s="1039"/>
      <c r="I19" s="1039"/>
      <c r="J19" s="1039"/>
      <c r="K19" s="1039"/>
      <c r="L19" s="1039"/>
      <c r="M19" s="1039"/>
      <c r="N19" s="1039"/>
      <c r="O19" s="1039"/>
      <c r="P19" s="1039"/>
      <c r="Q19" s="1039"/>
      <c r="R19" s="1039"/>
      <c r="S19" s="1039"/>
      <c r="T19" s="1039"/>
      <c r="U19" s="1039"/>
      <c r="V19" s="1039"/>
      <c r="W19" s="1039"/>
      <c r="X19" s="1039"/>
      <c r="Y19" s="1039"/>
      <c r="Z19" s="1039"/>
      <c r="AA19" s="1039"/>
      <c r="AB19" s="1039"/>
      <c r="AC19" s="1039"/>
      <c r="AD19" s="1039"/>
      <c r="AE19" s="1039"/>
      <c r="AF19" s="1039"/>
      <c r="AG19" s="1039"/>
      <c r="AH19" s="1039"/>
      <c r="AI19" s="1039"/>
      <c r="AJ19" s="1039"/>
      <c r="AK19" s="1039"/>
      <c r="AL19" s="1034"/>
    </row>
    <row r="20" spans="3:38">
      <c r="C20" s="1018"/>
      <c r="D20" s="1040"/>
      <c r="E20" s="1040"/>
      <c r="F20" s="1040"/>
      <c r="G20" s="1040"/>
      <c r="H20" s="1040"/>
      <c r="I20" s="1040"/>
      <c r="J20" s="1040"/>
      <c r="K20" s="1040"/>
      <c r="L20" s="1040"/>
      <c r="M20" s="1040"/>
      <c r="N20" s="1040"/>
      <c r="O20" s="1040"/>
      <c r="P20" s="1040"/>
      <c r="Q20" s="1040"/>
      <c r="R20" s="1040"/>
      <c r="S20" s="1040"/>
      <c r="T20" s="1040"/>
      <c r="U20" s="1040"/>
      <c r="V20" s="1040"/>
      <c r="W20" s="1040"/>
      <c r="X20" s="1040"/>
      <c r="Y20" s="1040"/>
      <c r="Z20" s="1040"/>
      <c r="AA20" s="1040"/>
      <c r="AB20" s="1040"/>
      <c r="AC20" s="1040"/>
      <c r="AD20" s="1040"/>
      <c r="AE20" s="1040"/>
      <c r="AF20" s="1040"/>
      <c r="AG20" s="1040"/>
      <c r="AH20" s="1040"/>
      <c r="AI20" s="1040"/>
      <c r="AJ20" s="1040"/>
      <c r="AK20" s="1040"/>
      <c r="AL20" s="1034"/>
    </row>
    <row r="21" spans="3:38">
      <c r="C21" s="1041" t="s">
        <v>571</v>
      </c>
      <c r="D21" s="1041"/>
      <c r="E21" s="1041"/>
      <c r="F21" s="1042"/>
      <c r="G21" s="1043"/>
      <c r="H21" s="1043"/>
      <c r="I21" s="1043"/>
      <c r="J21" s="1043"/>
      <c r="K21" s="1043"/>
      <c r="L21" s="1043"/>
      <c r="M21" s="1043"/>
      <c r="N21" s="1043"/>
      <c r="O21" s="1043"/>
      <c r="P21" s="1043"/>
      <c r="Q21" s="1043"/>
      <c r="R21" s="1044"/>
      <c r="S21" s="1041"/>
      <c r="T21" s="1041"/>
      <c r="U21" s="1041"/>
      <c r="V21" s="1041"/>
      <c r="W21" s="1041"/>
      <c r="X21" s="1041"/>
      <c r="Y21" s="1041"/>
      <c r="Z21" s="1041"/>
      <c r="AA21" s="1041"/>
      <c r="AB21" s="1040"/>
      <c r="AC21" s="1040"/>
      <c r="AD21" s="1040"/>
      <c r="AE21" s="1040"/>
      <c r="AF21" s="1040"/>
      <c r="AG21" s="1040"/>
      <c r="AH21" s="1040"/>
      <c r="AI21" s="1040"/>
      <c r="AJ21" s="1040"/>
      <c r="AK21" s="1040"/>
      <c r="AL21" s="1034"/>
    </row>
    <row r="22" spans="3:38">
      <c r="C22" s="1041">
        <v>1</v>
      </c>
      <c r="D22" s="1573" t="s">
        <v>572</v>
      </c>
      <c r="E22" s="1574"/>
      <c r="F22" s="1574"/>
      <c r="G22" s="1574"/>
      <c r="H22" s="1574"/>
      <c r="I22" s="1574"/>
      <c r="J22" s="1574"/>
      <c r="K22" s="1574"/>
      <c r="L22" s="1574"/>
      <c r="M22" s="1574"/>
      <c r="N22" s="1574"/>
      <c r="O22" s="1574"/>
      <c r="P22" s="1574"/>
      <c r="Q22" s="1574"/>
      <c r="R22" s="1574"/>
      <c r="S22" s="1574"/>
      <c r="T22" s="1574"/>
      <c r="U22" s="1574"/>
      <c r="V22" s="1574"/>
      <c r="W22" s="1574"/>
      <c r="X22" s="1574"/>
      <c r="Y22" s="1574"/>
      <c r="Z22" s="1574"/>
      <c r="AA22" s="1574"/>
      <c r="AB22" s="1040"/>
      <c r="AC22" s="1040"/>
      <c r="AD22" s="1040"/>
      <c r="AE22" s="1040"/>
      <c r="AF22" s="1040"/>
      <c r="AG22" s="1040"/>
      <c r="AH22" s="1040"/>
      <c r="AI22" s="1040"/>
      <c r="AJ22" s="1040"/>
      <c r="AK22" s="1040"/>
      <c r="AL22" s="1034"/>
    </row>
    <row r="23" spans="3:38">
      <c r="C23" s="1041">
        <v>2</v>
      </c>
      <c r="D23" s="1573" t="s">
        <v>573</v>
      </c>
      <c r="E23" s="1574"/>
      <c r="F23" s="1574"/>
      <c r="G23" s="1574"/>
      <c r="H23" s="1574"/>
      <c r="I23" s="1574"/>
      <c r="J23" s="1574"/>
      <c r="K23" s="1574"/>
      <c r="L23" s="1574"/>
      <c r="M23" s="1574"/>
      <c r="N23" s="1574"/>
      <c r="O23" s="1574"/>
      <c r="P23" s="1574"/>
      <c r="Q23" s="1574"/>
      <c r="R23" s="1574"/>
      <c r="S23" s="1574"/>
      <c r="T23" s="1574"/>
      <c r="U23" s="1574"/>
      <c r="V23" s="1574"/>
      <c r="W23" s="1574"/>
      <c r="X23" s="1574"/>
      <c r="Y23" s="1574"/>
      <c r="Z23" s="1574"/>
      <c r="AA23" s="1574"/>
      <c r="AB23" s="1040"/>
      <c r="AC23" s="1040"/>
      <c r="AD23" s="1040"/>
      <c r="AE23" s="1040"/>
      <c r="AF23" s="1040"/>
      <c r="AG23" s="1040"/>
      <c r="AH23" s="1040"/>
      <c r="AI23" s="1040"/>
      <c r="AJ23" s="1040"/>
      <c r="AK23" s="1040"/>
      <c r="AL23" s="1034"/>
    </row>
    <row r="24" spans="3:38">
      <c r="C24" s="1041">
        <v>3</v>
      </c>
      <c r="D24" s="1573" t="s">
        <v>574</v>
      </c>
      <c r="E24" s="1574"/>
      <c r="F24" s="1574"/>
      <c r="G24" s="1574"/>
      <c r="H24" s="1574"/>
      <c r="I24" s="1574"/>
      <c r="J24" s="1574"/>
      <c r="K24" s="1574"/>
      <c r="L24" s="1574"/>
      <c r="M24" s="1574"/>
      <c r="N24" s="1574"/>
      <c r="O24" s="1574"/>
      <c r="P24" s="1574"/>
      <c r="Q24" s="1574"/>
      <c r="R24" s="1574"/>
      <c r="S24" s="1574"/>
      <c r="T24" s="1574"/>
      <c r="U24" s="1574"/>
      <c r="V24" s="1574"/>
      <c r="W24" s="1574"/>
      <c r="X24" s="1574"/>
      <c r="Y24" s="1574"/>
      <c r="Z24" s="1574"/>
      <c r="AA24" s="1574"/>
      <c r="AB24" s="1040"/>
      <c r="AC24" s="1040"/>
      <c r="AD24" s="1040"/>
      <c r="AE24" s="1040"/>
      <c r="AF24" s="1040"/>
      <c r="AG24" s="1040"/>
      <c r="AH24" s="1040"/>
      <c r="AI24" s="1040"/>
      <c r="AJ24" s="1040"/>
      <c r="AK24" s="1040"/>
      <c r="AL24" s="1034"/>
    </row>
    <row r="25" spans="3:38">
      <c r="C25" s="1041">
        <v>4</v>
      </c>
      <c r="D25" s="1573" t="s">
        <v>575</v>
      </c>
      <c r="E25" s="1574"/>
      <c r="F25" s="1574"/>
      <c r="G25" s="1574"/>
      <c r="H25" s="1574"/>
      <c r="I25" s="1574"/>
      <c r="J25" s="1574"/>
      <c r="K25" s="1574"/>
      <c r="L25" s="1574"/>
      <c r="M25" s="1574"/>
      <c r="N25" s="1574"/>
      <c r="O25" s="1574"/>
      <c r="P25" s="1574"/>
      <c r="Q25" s="1574"/>
      <c r="R25" s="1574"/>
      <c r="S25" s="1574"/>
      <c r="T25" s="1574"/>
      <c r="U25" s="1574"/>
      <c r="V25" s="1574"/>
      <c r="W25" s="1574"/>
      <c r="X25" s="1574"/>
      <c r="Y25" s="1574"/>
      <c r="Z25" s="1574"/>
      <c r="AA25" s="1574"/>
      <c r="AB25" s="1040"/>
      <c r="AC25" s="1040"/>
      <c r="AD25" s="1040"/>
      <c r="AE25" s="1040"/>
      <c r="AF25" s="1040"/>
      <c r="AG25" s="1040"/>
      <c r="AH25" s="1040"/>
      <c r="AI25" s="1040"/>
      <c r="AJ25" s="1040"/>
      <c r="AK25" s="1040"/>
      <c r="AL25" s="1034"/>
    </row>
    <row r="26" spans="3:38">
      <c r="C26" s="1041">
        <v>5</v>
      </c>
      <c r="D26" s="1573" t="s">
        <v>576</v>
      </c>
      <c r="E26" s="1574"/>
      <c r="F26" s="1574"/>
      <c r="G26" s="1574"/>
      <c r="H26" s="1574"/>
      <c r="I26" s="1574"/>
      <c r="J26" s="1574"/>
      <c r="K26" s="1574"/>
      <c r="L26" s="1574"/>
      <c r="M26" s="1574"/>
      <c r="N26" s="1574"/>
      <c r="O26" s="1574"/>
      <c r="P26" s="1574"/>
      <c r="Q26" s="1574"/>
      <c r="R26" s="1574"/>
      <c r="S26" s="1574"/>
      <c r="T26" s="1574"/>
      <c r="U26" s="1574"/>
      <c r="V26" s="1574"/>
      <c r="W26" s="1574"/>
      <c r="X26" s="1574"/>
      <c r="Y26" s="1574"/>
      <c r="Z26" s="1574"/>
      <c r="AA26" s="1574"/>
      <c r="AB26" s="1040"/>
      <c r="AC26" s="1040"/>
      <c r="AD26" s="1040"/>
      <c r="AE26" s="1040"/>
      <c r="AF26" s="1040"/>
      <c r="AG26" s="1040"/>
      <c r="AH26" s="1040"/>
      <c r="AI26" s="1040"/>
      <c r="AJ26" s="1040"/>
      <c r="AK26" s="1040"/>
      <c r="AL26" s="1034"/>
    </row>
    <row r="27" spans="3:38">
      <c r="C27" s="1045"/>
      <c r="D27" s="1046"/>
      <c r="E27" s="1046"/>
      <c r="F27" s="1046"/>
      <c r="G27" s="1046"/>
      <c r="H27" s="1046"/>
      <c r="I27" s="1046"/>
      <c r="J27" s="1046"/>
      <c r="K27" s="1046"/>
      <c r="L27" s="1046"/>
      <c r="M27" s="1046"/>
      <c r="N27" s="1046"/>
      <c r="O27" s="1046"/>
      <c r="P27" s="1046"/>
      <c r="Q27" s="1046"/>
      <c r="R27" s="1046"/>
      <c r="S27" s="1046"/>
      <c r="T27" s="1046"/>
      <c r="U27" s="1046"/>
      <c r="V27" s="1046"/>
      <c r="W27" s="1046"/>
      <c r="X27" s="1046"/>
      <c r="Y27" s="1046"/>
      <c r="Z27" s="1046"/>
      <c r="AA27" s="1046"/>
      <c r="AB27" s="1046"/>
      <c r="AC27" s="1046"/>
      <c r="AD27" s="1046"/>
      <c r="AE27" s="1046"/>
      <c r="AF27" s="1046"/>
      <c r="AG27" s="1046"/>
      <c r="AH27" s="1046"/>
      <c r="AI27" s="1046"/>
      <c r="AJ27" s="1046"/>
      <c r="AK27" s="1046"/>
      <c r="AL27" s="1047"/>
    </row>
  </sheetData>
  <mergeCells count="21">
    <mergeCell ref="Y7:Y9"/>
    <mergeCell ref="Z7:Z9"/>
    <mergeCell ref="AA7:AA9"/>
    <mergeCell ref="AB7:AB9"/>
    <mergeCell ref="AC7:AC9"/>
    <mergeCell ref="D24:AA24"/>
    <mergeCell ref="D25:AA25"/>
    <mergeCell ref="D26:AA26"/>
    <mergeCell ref="AJ7:AJ9"/>
    <mergeCell ref="AK7:AK9"/>
    <mergeCell ref="D8:I8"/>
    <mergeCell ref="J8:X8"/>
    <mergeCell ref="D22:AA22"/>
    <mergeCell ref="D23:AA23"/>
    <mergeCell ref="AD7:AD9"/>
    <mergeCell ref="AE7:AE9"/>
    <mergeCell ref="AF7:AF9"/>
    <mergeCell ref="AG7:AG9"/>
    <mergeCell ref="AH7:AH9"/>
    <mergeCell ref="AI7:AI9"/>
    <mergeCell ref="D7:X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C5FFFF"/>
    <pageSetUpPr fitToPage="1"/>
  </sheetPr>
  <dimension ref="A1:R49"/>
  <sheetViews>
    <sheetView workbookViewId="0">
      <selection sqref="A1:XFD1048576"/>
    </sheetView>
  </sheetViews>
  <sheetFormatPr defaultColWidth="8.85546875" defaultRowHeight="12.75"/>
  <cols>
    <col min="1" max="1" width="11.85546875" style="62" customWidth="1"/>
    <col min="2" max="2" width="8.85546875" style="62" customWidth="1"/>
    <col min="3" max="3" width="29.85546875" style="62" customWidth="1"/>
    <col min="4" max="4" width="8.85546875" style="62" customWidth="1"/>
    <col min="5" max="5" width="25.42578125" style="62" customWidth="1"/>
    <col min="6" max="6" width="13.5703125" style="62" bestFit="1" customWidth="1"/>
    <col min="7" max="8" width="8.85546875" style="62"/>
    <col min="9" max="9" width="13.5703125" style="62" bestFit="1" customWidth="1"/>
    <col min="10" max="10" width="8.85546875" style="62"/>
    <col min="11" max="11" width="9.85546875" style="62" customWidth="1"/>
    <col min="12" max="12" width="8.85546875" style="62"/>
    <col min="13" max="13" width="12.5703125" style="62" bestFit="1" customWidth="1"/>
    <col min="14" max="14" width="13.5703125" style="62" bestFit="1" customWidth="1"/>
    <col min="15" max="15" width="10.42578125" style="62" customWidth="1"/>
    <col min="16" max="16384" width="8.85546875" style="62"/>
  </cols>
  <sheetData>
    <row r="1" spans="1:18">
      <c r="A1" s="681" t="s">
        <v>526</v>
      </c>
      <c r="E1" s="118" t="s">
        <v>984</v>
      </c>
    </row>
    <row r="2" spans="1:18">
      <c r="A2" s="681"/>
    </row>
    <row r="3" spans="1:18">
      <c r="A3" s="681" t="s">
        <v>81</v>
      </c>
    </row>
    <row r="5" spans="1:18" ht="16.5" thickBot="1">
      <c r="A5" s="1048" t="s">
        <v>577</v>
      </c>
      <c r="B5" s="549"/>
      <c r="C5" s="549"/>
      <c r="D5" s="55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549"/>
    </row>
    <row r="6" spans="1:18" ht="15.75" thickBot="1">
      <c r="A6" s="549"/>
      <c r="B6" s="549"/>
      <c r="C6" s="549"/>
      <c r="D6" s="559"/>
      <c r="E6" s="549"/>
      <c r="F6" s="549"/>
      <c r="G6" s="549"/>
      <c r="H6" s="549"/>
      <c r="I6" s="549"/>
      <c r="J6" s="549"/>
      <c r="K6" s="549"/>
      <c r="L6" s="549"/>
      <c r="M6" s="1651" t="s">
        <v>580</v>
      </c>
      <c r="N6" s="1652"/>
      <c r="O6" s="1652"/>
      <c r="P6" s="1652"/>
      <c r="Q6" s="1653"/>
      <c r="R6" s="549"/>
    </row>
    <row r="7" spans="1:18" s="1053" customFormat="1" ht="17.25" customHeight="1" thickBot="1">
      <c r="A7" s="1049"/>
      <c r="B7" s="1049"/>
      <c r="C7" s="1049"/>
      <c r="D7" s="1050"/>
      <c r="E7" s="1654" t="s">
        <v>578</v>
      </c>
      <c r="F7" s="1655"/>
      <c r="G7" s="1656"/>
      <c r="H7" s="1051"/>
      <c r="I7" s="1657" t="s">
        <v>579</v>
      </c>
      <c r="J7" s="1658"/>
      <c r="K7" s="1659"/>
      <c r="L7" s="1049"/>
      <c r="M7" s="1660" t="s">
        <v>578</v>
      </c>
      <c r="N7" s="1661"/>
      <c r="O7" s="1662"/>
      <c r="P7" s="1052"/>
      <c r="Q7" s="1666" t="s">
        <v>548</v>
      </c>
      <c r="R7" s="1050"/>
    </row>
    <row r="8" spans="1:18" ht="30.75" thickBot="1">
      <c r="A8" s="1054"/>
      <c r="B8" s="1054"/>
      <c r="C8" s="1054"/>
      <c r="D8" s="1055"/>
      <c r="E8" s="1056"/>
      <c r="F8" s="1057" t="s">
        <v>581</v>
      </c>
      <c r="G8" s="1058"/>
      <c r="H8" s="1051"/>
      <c r="I8" s="1059" t="s">
        <v>581</v>
      </c>
      <c r="J8" s="1060"/>
      <c r="K8" s="1061" t="s">
        <v>582</v>
      </c>
      <c r="L8" s="1062"/>
      <c r="M8" s="1663"/>
      <c r="N8" s="1664"/>
      <c r="O8" s="1665"/>
      <c r="P8" s="1062"/>
      <c r="Q8" s="1667"/>
      <c r="R8" s="1063"/>
    </row>
    <row r="9" spans="1:18" ht="16.5" thickBot="1">
      <c r="A9" s="1668" t="s">
        <v>583</v>
      </c>
      <c r="B9" s="1669"/>
      <c r="C9" s="1670"/>
      <c r="D9" s="1064"/>
      <c r="E9" s="1059" t="s">
        <v>584</v>
      </c>
      <c r="F9" s="1059" t="s">
        <v>585</v>
      </c>
      <c r="G9" s="1065" t="s">
        <v>586</v>
      </c>
      <c r="H9" s="1066"/>
      <c r="I9" s="1059" t="s">
        <v>586</v>
      </c>
      <c r="J9" s="1055"/>
      <c r="K9" s="1067" t="s">
        <v>586</v>
      </c>
      <c r="L9" s="1062"/>
      <c r="M9" s="1068" t="s">
        <v>584</v>
      </c>
      <c r="N9" s="1069" t="s">
        <v>585</v>
      </c>
      <c r="O9" s="1070" t="s">
        <v>586</v>
      </c>
      <c r="P9" s="1063"/>
      <c r="Q9" s="1071" t="s">
        <v>586</v>
      </c>
      <c r="R9" s="1063"/>
    </row>
    <row r="10" spans="1:18" ht="16.5" thickBot="1">
      <c r="A10" s="1671"/>
      <c r="B10" s="1672"/>
      <c r="C10" s="1673"/>
      <c r="D10" s="1064"/>
      <c r="E10" s="1072" t="s">
        <v>566</v>
      </c>
      <c r="F10" s="1073" t="s">
        <v>566</v>
      </c>
      <c r="G10" s="1074" t="s">
        <v>566</v>
      </c>
      <c r="H10" s="1051"/>
      <c r="I10" s="1075" t="s">
        <v>566</v>
      </c>
      <c r="J10" s="1055"/>
      <c r="K10" s="1076" t="s">
        <v>566</v>
      </c>
      <c r="L10" s="1062"/>
      <c r="M10" s="1077" t="s">
        <v>566</v>
      </c>
      <c r="N10" s="1078" t="s">
        <v>566</v>
      </c>
      <c r="O10" s="1076" t="s">
        <v>566</v>
      </c>
      <c r="P10" s="1062"/>
      <c r="Q10" s="1076" t="s">
        <v>566</v>
      </c>
      <c r="R10" s="1063"/>
    </row>
    <row r="11" spans="1:18" ht="17.25" customHeight="1">
      <c r="A11" s="1648" t="s">
        <v>587</v>
      </c>
      <c r="B11" s="1628" t="s">
        <v>423</v>
      </c>
      <c r="C11" s="1629"/>
      <c r="D11" s="1079"/>
      <c r="E11" s="1649"/>
      <c r="F11" s="1649">
        <v>0.2</v>
      </c>
      <c r="G11" s="1650">
        <v>0.2</v>
      </c>
      <c r="H11" s="1080"/>
      <c r="I11" s="1081">
        <v>0.7</v>
      </c>
      <c r="J11" s="1082"/>
      <c r="K11" s="1081">
        <v>0.1</v>
      </c>
      <c r="L11" s="1063"/>
      <c r="M11" s="1063"/>
      <c r="N11" s="1063"/>
      <c r="O11" s="1063"/>
      <c r="P11" s="1063"/>
      <c r="Q11" s="1063"/>
      <c r="R11" s="1063"/>
    </row>
    <row r="12" spans="1:18" ht="17.25" customHeight="1">
      <c r="A12" s="1637"/>
      <c r="B12" s="1640" t="s">
        <v>424</v>
      </c>
      <c r="C12" s="1641"/>
      <c r="D12" s="1079"/>
      <c r="E12" s="1644"/>
      <c r="F12" s="1644"/>
      <c r="G12" s="1647"/>
      <c r="H12" s="1080"/>
      <c r="I12" s="1083">
        <v>1.4</v>
      </c>
      <c r="J12" s="1082"/>
      <c r="K12" s="1083"/>
      <c r="L12" s="1063"/>
      <c r="M12" s="1063"/>
      <c r="N12" s="1063"/>
      <c r="O12" s="1063"/>
      <c r="P12" s="1063"/>
      <c r="Q12" s="1063"/>
      <c r="R12" s="1063"/>
    </row>
    <row r="13" spans="1:18" ht="17.25" customHeight="1">
      <c r="A13" s="1635" t="s">
        <v>345</v>
      </c>
      <c r="B13" s="1638" t="s">
        <v>588</v>
      </c>
      <c r="C13" s="1639"/>
      <c r="D13" s="1079"/>
      <c r="E13" s="1084">
        <v>0.3</v>
      </c>
      <c r="F13" s="1084">
        <v>0.6</v>
      </c>
      <c r="G13" s="1085">
        <v>0.9</v>
      </c>
      <c r="H13" s="1080"/>
      <c r="I13" s="1083">
        <v>1.5</v>
      </c>
      <c r="J13" s="1082"/>
      <c r="K13" s="1083">
        <v>0.5</v>
      </c>
      <c r="L13" s="1063"/>
      <c r="M13" s="1063"/>
      <c r="N13" s="1063"/>
      <c r="O13" s="1063"/>
      <c r="P13" s="1063"/>
      <c r="Q13" s="1063"/>
      <c r="R13" s="1063"/>
    </row>
    <row r="14" spans="1:18" ht="17.25" customHeight="1">
      <c r="A14" s="1636"/>
      <c r="B14" s="1640" t="s">
        <v>589</v>
      </c>
      <c r="C14" s="1641"/>
      <c r="D14" s="1079"/>
      <c r="E14" s="1642"/>
      <c r="F14" s="1642">
        <v>0.1</v>
      </c>
      <c r="G14" s="1645">
        <v>0.1</v>
      </c>
      <c r="H14" s="1080"/>
      <c r="I14" s="1083">
        <v>1.8</v>
      </c>
      <c r="J14" s="1082"/>
      <c r="K14" s="1083"/>
      <c r="L14" s="1063"/>
      <c r="M14" s="1063"/>
      <c r="N14" s="1063"/>
      <c r="O14" s="1063"/>
      <c r="P14" s="1063"/>
      <c r="Q14" s="1063"/>
      <c r="R14" s="1063"/>
    </row>
    <row r="15" spans="1:18" ht="17.25" customHeight="1">
      <c r="A15" s="1636"/>
      <c r="B15" s="1640" t="s">
        <v>590</v>
      </c>
      <c r="C15" s="1641"/>
      <c r="D15" s="1079"/>
      <c r="E15" s="1643"/>
      <c r="F15" s="1643"/>
      <c r="G15" s="1646"/>
      <c r="H15" s="1080"/>
      <c r="I15" s="1083">
        <v>2.4</v>
      </c>
      <c r="J15" s="1082"/>
      <c r="K15" s="1083"/>
      <c r="L15" s="1063"/>
      <c r="M15" s="1063"/>
      <c r="N15" s="1063"/>
      <c r="O15" s="1063"/>
      <c r="P15" s="1063"/>
      <c r="Q15" s="1063"/>
      <c r="R15" s="1063"/>
    </row>
    <row r="16" spans="1:18" ht="17.25" customHeight="1" thickBot="1">
      <c r="A16" s="1637"/>
      <c r="B16" s="1630" t="s">
        <v>428</v>
      </c>
      <c r="C16" s="1631"/>
      <c r="D16" s="1079"/>
      <c r="E16" s="1644"/>
      <c r="F16" s="1644"/>
      <c r="G16" s="1647"/>
      <c r="H16" s="1080"/>
      <c r="I16" s="1086">
        <v>0.7</v>
      </c>
      <c r="J16" s="1082"/>
      <c r="K16" s="1086"/>
      <c r="L16" s="1063"/>
      <c r="M16" s="1063"/>
      <c r="N16" s="1063"/>
      <c r="O16" s="1063"/>
      <c r="P16" s="1063"/>
      <c r="Q16" s="1063"/>
      <c r="R16" s="1063"/>
    </row>
    <row r="17" spans="1:18" ht="17.25" customHeight="1">
      <c r="A17" s="1632" t="s">
        <v>591</v>
      </c>
      <c r="B17" s="1628" t="s">
        <v>429</v>
      </c>
      <c r="C17" s="1629"/>
      <c r="D17" s="1087"/>
      <c r="E17" s="1084">
        <v>0.6</v>
      </c>
      <c r="F17" s="1084">
        <v>0.2</v>
      </c>
      <c r="G17" s="1085">
        <v>0.8</v>
      </c>
      <c r="H17" s="1080"/>
      <c r="I17" s="1088">
        <v>1</v>
      </c>
      <c r="J17" s="1082"/>
      <c r="K17" s="1088">
        <v>0.2</v>
      </c>
      <c r="L17" s="1063"/>
      <c r="M17" s="1063"/>
      <c r="N17" s="1063"/>
      <c r="O17" s="1063"/>
      <c r="P17" s="1063"/>
      <c r="Q17" s="1063"/>
      <c r="R17" s="1063"/>
    </row>
    <row r="18" spans="1:18" ht="17.25" customHeight="1">
      <c r="A18" s="1626"/>
      <c r="B18" s="1633" t="s">
        <v>592</v>
      </c>
      <c r="C18" s="1634"/>
      <c r="D18" s="1089"/>
      <c r="E18" s="1084"/>
      <c r="F18" s="1084"/>
      <c r="G18" s="1090">
        <v>0</v>
      </c>
      <c r="H18" s="1080"/>
      <c r="I18" s="1083">
        <v>1.5</v>
      </c>
      <c r="J18" s="1082"/>
      <c r="K18" s="1083">
        <v>0</v>
      </c>
      <c r="L18" s="1063"/>
      <c r="M18" s="1063"/>
      <c r="N18" s="1063"/>
      <c r="O18" s="1063"/>
      <c r="P18" s="1063"/>
      <c r="Q18" s="1063"/>
      <c r="R18" s="1063"/>
    </row>
    <row r="19" spans="1:18" ht="17.25" customHeight="1" thickBot="1">
      <c r="A19" s="1627"/>
      <c r="B19" s="1630" t="s">
        <v>593</v>
      </c>
      <c r="C19" s="1631"/>
      <c r="D19" s="1087"/>
      <c r="E19" s="1091">
        <v>0.2</v>
      </c>
      <c r="F19" s="1092">
        <v>2.5</v>
      </c>
      <c r="G19" s="1093">
        <v>2.7</v>
      </c>
      <c r="H19" s="1080"/>
      <c r="I19" s="1094">
        <v>0.4</v>
      </c>
      <c r="J19" s="1082"/>
      <c r="K19" s="1094"/>
      <c r="L19" s="1063"/>
      <c r="M19" s="1063"/>
      <c r="N19" s="1063"/>
      <c r="O19" s="1063"/>
      <c r="P19" s="1063"/>
      <c r="Q19" s="1063"/>
      <c r="R19" s="1063"/>
    </row>
    <row r="20" spans="1:18" ht="17.25" customHeight="1">
      <c r="A20" s="1625" t="s">
        <v>402</v>
      </c>
      <c r="B20" s="1628" t="s">
        <v>429</v>
      </c>
      <c r="C20" s="1629"/>
      <c r="D20" s="1087"/>
      <c r="E20" s="1084">
        <v>0.1</v>
      </c>
      <c r="F20" s="1084"/>
      <c r="G20" s="1095">
        <v>0.1</v>
      </c>
      <c r="H20" s="1080"/>
      <c r="I20" s="1081">
        <v>0.1</v>
      </c>
      <c r="J20" s="1082"/>
      <c r="K20" s="1081"/>
      <c r="L20" s="1063"/>
      <c r="M20" s="1063"/>
      <c r="N20" s="1063"/>
      <c r="O20" s="1063"/>
      <c r="P20" s="1063"/>
      <c r="Q20" s="1063"/>
      <c r="R20" s="1063"/>
    </row>
    <row r="21" spans="1:18" ht="17.25" customHeight="1">
      <c r="A21" s="1626"/>
      <c r="B21" s="1096" t="s">
        <v>594</v>
      </c>
      <c r="C21" s="1097"/>
      <c r="D21" s="1079"/>
      <c r="E21" s="1084"/>
      <c r="F21" s="1084"/>
      <c r="G21" s="1085">
        <v>0</v>
      </c>
      <c r="H21" s="1080"/>
      <c r="I21" s="1088"/>
      <c r="J21" s="1082"/>
      <c r="K21" s="1088"/>
      <c r="L21" s="1063"/>
      <c r="M21" s="1063"/>
      <c r="N21" s="1063"/>
      <c r="O21" s="1063"/>
      <c r="P21" s="1063"/>
      <c r="Q21" s="1063"/>
      <c r="R21" s="1063"/>
    </row>
    <row r="22" spans="1:18" ht="17.25" customHeight="1">
      <c r="A22" s="1626"/>
      <c r="B22" s="1096" t="s">
        <v>595</v>
      </c>
      <c r="C22" s="1097"/>
      <c r="D22" s="1079"/>
      <c r="E22" s="1084"/>
      <c r="F22" s="1084"/>
      <c r="G22" s="1090">
        <v>0</v>
      </c>
      <c r="H22" s="1080"/>
      <c r="I22" s="1083">
        <v>0.3</v>
      </c>
      <c r="J22" s="1082"/>
      <c r="K22" s="1083"/>
      <c r="L22" s="1063"/>
      <c r="M22" s="1063"/>
      <c r="N22" s="1063"/>
      <c r="O22" s="1063"/>
      <c r="P22" s="1063"/>
      <c r="Q22" s="1063"/>
      <c r="R22" s="1063"/>
    </row>
    <row r="23" spans="1:18" ht="17.25" customHeight="1" thickBot="1">
      <c r="A23" s="1627"/>
      <c r="B23" s="1630" t="s">
        <v>593</v>
      </c>
      <c r="C23" s="1631"/>
      <c r="D23" s="1079"/>
      <c r="E23" s="1091">
        <v>0.1</v>
      </c>
      <c r="F23" s="1092">
        <v>0.6</v>
      </c>
      <c r="G23" s="1098">
        <v>0.7</v>
      </c>
      <c r="H23" s="1080"/>
      <c r="I23" s="1086">
        <v>0.1</v>
      </c>
      <c r="J23" s="1082"/>
      <c r="K23" s="1086"/>
      <c r="L23" s="1063"/>
      <c r="M23" s="1063"/>
      <c r="N23" s="1063"/>
      <c r="O23" s="1063"/>
      <c r="P23" s="1063"/>
      <c r="Q23" s="1063"/>
      <c r="R23" s="1063"/>
    </row>
    <row r="24" spans="1:18" ht="17.25" customHeight="1">
      <c r="A24" s="1625" t="s">
        <v>401</v>
      </c>
      <c r="B24" s="1628" t="s">
        <v>429</v>
      </c>
      <c r="C24" s="1629"/>
      <c r="D24" s="1087"/>
      <c r="E24" s="1084">
        <v>0.1</v>
      </c>
      <c r="F24" s="1084">
        <v>0.8</v>
      </c>
      <c r="G24" s="1085">
        <v>0.9</v>
      </c>
      <c r="H24" s="1080"/>
      <c r="I24" s="1088"/>
      <c r="J24" s="1082"/>
      <c r="K24" s="1088"/>
      <c r="L24" s="1063"/>
      <c r="M24" s="1099"/>
      <c r="N24" s="1099"/>
      <c r="O24" s="1100">
        <v>0</v>
      </c>
      <c r="P24" s="1063"/>
      <c r="Q24" s="1101"/>
      <c r="R24" s="1063"/>
    </row>
    <row r="25" spans="1:18" ht="17.25" customHeight="1">
      <c r="A25" s="1626"/>
      <c r="B25" s="1096" t="s">
        <v>594</v>
      </c>
      <c r="C25" s="1102"/>
      <c r="D25" s="1079"/>
      <c r="E25" s="1084"/>
      <c r="F25" s="1084"/>
      <c r="G25" s="1090">
        <v>0</v>
      </c>
      <c r="H25" s="1080"/>
      <c r="I25" s="1083">
        <v>0.4</v>
      </c>
      <c r="J25" s="1082"/>
      <c r="K25" s="1083"/>
      <c r="L25" s="1063"/>
      <c r="M25" s="1103"/>
      <c r="N25" s="1103"/>
      <c r="O25" s="1104">
        <v>0</v>
      </c>
      <c r="P25" s="1063"/>
      <c r="Q25" s="1105"/>
      <c r="R25" s="1063"/>
    </row>
    <row r="26" spans="1:18" ht="17.25" customHeight="1">
      <c r="A26" s="1626"/>
      <c r="B26" s="1096" t="s">
        <v>595</v>
      </c>
      <c r="C26" s="1102"/>
      <c r="D26" s="1079"/>
      <c r="E26" s="1084"/>
      <c r="F26" s="1084"/>
      <c r="G26" s="1090">
        <v>0</v>
      </c>
      <c r="H26" s="1080"/>
      <c r="I26" s="1083"/>
      <c r="J26" s="1082"/>
      <c r="K26" s="1083"/>
      <c r="L26" s="1063"/>
      <c r="M26" s="1103"/>
      <c r="N26" s="1103"/>
      <c r="O26" s="1104">
        <v>0</v>
      </c>
      <c r="P26" s="1063"/>
      <c r="Q26" s="1105"/>
      <c r="R26" s="1063"/>
    </row>
    <row r="27" spans="1:18" ht="17.25" customHeight="1" thickBot="1">
      <c r="A27" s="1627"/>
      <c r="B27" s="1630" t="s">
        <v>593</v>
      </c>
      <c r="C27" s="1631"/>
      <c r="D27" s="1079"/>
      <c r="E27" s="1084"/>
      <c r="F27" s="1084">
        <v>0.4</v>
      </c>
      <c r="G27" s="1093">
        <v>0.4</v>
      </c>
      <c r="H27" s="1080"/>
      <c r="I27" s="1094">
        <v>0.1</v>
      </c>
      <c r="J27" s="1082"/>
      <c r="K27" s="1094"/>
      <c r="L27" s="1063"/>
      <c r="M27" s="1106"/>
      <c r="N27" s="1106"/>
      <c r="O27" s="1107">
        <v>0</v>
      </c>
      <c r="P27" s="1063"/>
      <c r="Q27" s="1108"/>
      <c r="R27" s="1063"/>
    </row>
    <row r="28" spans="1:18" ht="17.25" customHeight="1" thickBot="1">
      <c r="A28" s="1610" t="s">
        <v>596</v>
      </c>
      <c r="B28" s="1611"/>
      <c r="C28" s="1612"/>
      <c r="D28" s="1079"/>
      <c r="E28" s="1084"/>
      <c r="F28" s="1084"/>
      <c r="G28" s="1109">
        <v>0</v>
      </c>
      <c r="H28" s="1080"/>
      <c r="I28" s="1110"/>
      <c r="J28" s="1082"/>
      <c r="K28" s="1110"/>
      <c r="L28" s="1063"/>
      <c r="M28" s="1111"/>
      <c r="N28" s="1111"/>
      <c r="O28" s="1112">
        <v>0</v>
      </c>
      <c r="P28" s="1063"/>
      <c r="Q28" s="1113"/>
      <c r="R28" s="1063"/>
    </row>
    <row r="29" spans="1:18" ht="17.25" customHeight="1" thickBot="1">
      <c r="A29" s="1610" t="s">
        <v>597</v>
      </c>
      <c r="B29" s="1611"/>
      <c r="C29" s="1612"/>
      <c r="D29" s="1114"/>
      <c r="E29" s="1115"/>
      <c r="F29" s="1116"/>
      <c r="G29" s="1117"/>
      <c r="H29" s="1118"/>
      <c r="I29" s="1119">
        <v>2</v>
      </c>
      <c r="J29" s="1082"/>
      <c r="K29" s="1119"/>
      <c r="L29" s="1120"/>
      <c r="M29" s="1121"/>
      <c r="N29" s="1122"/>
      <c r="O29" s="1123"/>
      <c r="P29" s="1120"/>
      <c r="Q29" s="1124"/>
      <c r="R29" s="1120"/>
    </row>
    <row r="30" spans="1:18" ht="17.25" customHeight="1" thickBot="1">
      <c r="A30" s="1610" t="s">
        <v>598</v>
      </c>
      <c r="B30" s="1611"/>
      <c r="C30" s="1612"/>
      <c r="D30" s="1114"/>
      <c r="E30" s="1115"/>
      <c r="F30" s="1084">
        <v>0.4</v>
      </c>
      <c r="G30" s="1093">
        <v>0.4</v>
      </c>
      <c r="H30" s="1118"/>
      <c r="I30" s="1125"/>
      <c r="J30" s="1082"/>
      <c r="K30" s="1126"/>
      <c r="L30" s="1120"/>
      <c r="M30" s="1127"/>
      <c r="N30" s="1128"/>
      <c r="O30" s="1123"/>
      <c r="P30" s="1120"/>
      <c r="Q30" s="1129"/>
      <c r="R30" s="1120"/>
    </row>
    <row r="31" spans="1:18" ht="17.25" customHeight="1" thickBot="1">
      <c r="A31" s="1610" t="s">
        <v>599</v>
      </c>
      <c r="B31" s="1611"/>
      <c r="C31" s="1612"/>
      <c r="D31" s="1114"/>
      <c r="E31" s="1115"/>
      <c r="F31" s="1084">
        <v>0.8</v>
      </c>
      <c r="G31" s="1109">
        <v>0.8</v>
      </c>
      <c r="H31" s="1118"/>
      <c r="I31" s="1125"/>
      <c r="J31" s="1082"/>
      <c r="K31" s="1126"/>
      <c r="L31" s="1120"/>
      <c r="M31" s="1127"/>
      <c r="N31" s="1128"/>
      <c r="O31" s="1123"/>
      <c r="P31" s="1120"/>
      <c r="Q31" s="1129"/>
      <c r="R31" s="1120"/>
    </row>
    <row r="32" spans="1:18" ht="17.25" customHeight="1" thickBot="1">
      <c r="A32" s="1610" t="s">
        <v>600</v>
      </c>
      <c r="B32" s="1611"/>
      <c r="C32" s="1612"/>
      <c r="D32" s="1114"/>
      <c r="E32" s="1115"/>
      <c r="F32" s="1116"/>
      <c r="G32" s="1117"/>
      <c r="H32" s="1118"/>
      <c r="I32" s="1119">
        <v>-0.9</v>
      </c>
      <c r="J32" s="1082"/>
      <c r="K32" s="1126"/>
      <c r="L32" s="1120"/>
      <c r="M32" s="1127"/>
      <c r="N32" s="1128"/>
      <c r="O32" s="1123"/>
      <c r="P32" s="1120"/>
      <c r="Q32" s="1129"/>
      <c r="R32" s="1120"/>
    </row>
    <row r="33" spans="1:18" ht="17.25" customHeight="1" thickBot="1">
      <c r="A33" s="1610" t="s">
        <v>601</v>
      </c>
      <c r="B33" s="1611"/>
      <c r="C33" s="1612"/>
      <c r="D33" s="1114"/>
      <c r="E33" s="1115"/>
      <c r="F33" s="1084">
        <v>0.1</v>
      </c>
      <c r="G33" s="1109">
        <v>0.1</v>
      </c>
      <c r="H33" s="1118"/>
      <c r="I33" s="1126"/>
      <c r="J33" s="1082"/>
      <c r="K33" s="1126"/>
      <c r="L33" s="1120"/>
      <c r="M33" s="1127"/>
      <c r="N33" s="1128"/>
      <c r="O33" s="1123"/>
      <c r="P33" s="1120"/>
      <c r="Q33" s="1129"/>
      <c r="R33" s="1120"/>
    </row>
    <row r="34" spans="1:18" ht="17.25" customHeight="1" thickBot="1">
      <c r="A34" s="1613" t="s">
        <v>200</v>
      </c>
      <c r="B34" s="1614"/>
      <c r="C34" s="1615"/>
      <c r="D34" s="1130"/>
      <c r="E34" s="1131">
        <v>1.4</v>
      </c>
      <c r="F34" s="1131">
        <v>6.7</v>
      </c>
      <c r="G34" s="1131">
        <v>8.1</v>
      </c>
      <c r="H34" s="1132"/>
      <c r="I34" s="1131">
        <v>13.5</v>
      </c>
      <c r="J34" s="1133"/>
      <c r="K34" s="1131">
        <v>0.8</v>
      </c>
      <c r="L34" s="1134"/>
      <c r="M34" s="1135">
        <v>0</v>
      </c>
      <c r="N34" s="1135">
        <v>0</v>
      </c>
      <c r="O34" s="1135">
        <v>0</v>
      </c>
      <c r="P34" s="1134"/>
      <c r="Q34" s="1135">
        <v>0</v>
      </c>
      <c r="R34" s="1134"/>
    </row>
    <row r="35" spans="1:18" ht="15" thickBot="1">
      <c r="A35" s="1063"/>
      <c r="B35" s="1063"/>
      <c r="C35" s="1063"/>
      <c r="D35" s="1136"/>
      <c r="E35" s="1063"/>
      <c r="F35" s="1063"/>
      <c r="G35" s="1137"/>
      <c r="H35" s="1063"/>
      <c r="I35" s="1137"/>
      <c r="J35" s="1062"/>
      <c r="K35" s="1137"/>
      <c r="L35" s="1063"/>
      <c r="M35" s="1063"/>
      <c r="N35" s="1063"/>
      <c r="O35" s="1063"/>
      <c r="P35" s="1063"/>
      <c r="Q35" s="1063"/>
      <c r="R35" s="1063"/>
    </row>
    <row r="36" spans="1:18" ht="30.75" thickBot="1">
      <c r="A36" s="1138"/>
      <c r="B36" s="1138"/>
      <c r="C36" s="1139"/>
      <c r="D36" s="1140"/>
      <c r="E36" s="1616" t="s">
        <v>602</v>
      </c>
      <c r="F36" s="1617"/>
      <c r="G36" s="1617"/>
      <c r="H36" s="1618"/>
      <c r="I36" s="1141" t="s">
        <v>581</v>
      </c>
      <c r="J36" s="1142"/>
      <c r="K36" s="1143" t="s">
        <v>582</v>
      </c>
      <c r="L36" s="1144"/>
      <c r="M36" s="1134"/>
      <c r="N36" s="1134"/>
      <c r="O36" s="1134"/>
      <c r="P36" s="1134"/>
      <c r="Q36" s="1134"/>
      <c r="R36" s="1134"/>
    </row>
    <row r="37" spans="1:18" ht="17.25" customHeight="1" thickBot="1">
      <c r="A37" s="1134"/>
      <c r="B37" s="1144"/>
      <c r="C37" s="1144"/>
      <c r="D37" s="1144"/>
      <c r="E37" s="1619"/>
      <c r="F37" s="1620"/>
      <c r="G37" s="1620"/>
      <c r="H37" s="1621"/>
      <c r="I37" s="1074" t="s">
        <v>566</v>
      </c>
      <c r="J37" s="1130"/>
      <c r="K37" s="1075" t="s">
        <v>566</v>
      </c>
      <c r="L37" s="1134"/>
      <c r="M37" s="1134"/>
      <c r="N37" s="1134"/>
      <c r="O37" s="1134"/>
      <c r="P37" s="1134"/>
      <c r="Q37" s="1134"/>
      <c r="R37" s="1134"/>
    </row>
    <row r="38" spans="1:18" ht="17.25" customHeight="1">
      <c r="A38" s="1063"/>
      <c r="B38" s="1136"/>
      <c r="C38" s="1136"/>
      <c r="D38" s="1136"/>
      <c r="E38" s="1622" t="s">
        <v>603</v>
      </c>
      <c r="F38" s="1623"/>
      <c r="G38" s="1623"/>
      <c r="H38" s="1624"/>
      <c r="I38" s="1145">
        <v>4.2</v>
      </c>
      <c r="J38" s="1082"/>
      <c r="K38" s="1088">
        <v>0.3</v>
      </c>
      <c r="L38" s="1063"/>
      <c r="M38" s="1063"/>
      <c r="N38" s="1063"/>
      <c r="O38" s="1063"/>
      <c r="P38" s="1063"/>
      <c r="Q38" s="1063"/>
      <c r="R38" s="1063"/>
    </row>
    <row r="39" spans="1:18" ht="17.25" customHeight="1" thickBot="1">
      <c r="A39" s="1063"/>
      <c r="B39" s="1136"/>
      <c r="C39" s="1136"/>
      <c r="D39" s="1136"/>
      <c r="E39" s="1596" t="s">
        <v>604</v>
      </c>
      <c r="F39" s="1597"/>
      <c r="G39" s="1597"/>
      <c r="H39" s="1598"/>
      <c r="I39" s="1146">
        <v>9.3000000000000007</v>
      </c>
      <c r="J39" s="1082"/>
      <c r="K39" s="1088">
        <v>0.5</v>
      </c>
      <c r="L39" s="1063"/>
      <c r="M39" s="1063"/>
      <c r="N39" s="1063"/>
      <c r="O39" s="1063"/>
      <c r="P39" s="1063"/>
      <c r="Q39" s="1063"/>
      <c r="R39" s="1063"/>
    </row>
    <row r="40" spans="1:18" ht="17.25" customHeight="1" thickBot="1">
      <c r="A40" s="1063"/>
      <c r="B40" s="1130"/>
      <c r="C40" s="1130"/>
      <c r="D40" s="1130"/>
      <c r="E40" s="1599" t="s">
        <v>605</v>
      </c>
      <c r="F40" s="1600"/>
      <c r="G40" s="1600"/>
      <c r="H40" s="1601"/>
      <c r="I40" s="1109">
        <v>13.5</v>
      </c>
      <c r="J40" s="1082"/>
      <c r="K40" s="1109">
        <v>0.8</v>
      </c>
      <c r="L40" s="1063"/>
      <c r="M40" s="1063"/>
      <c r="N40" s="1063"/>
      <c r="O40" s="1063"/>
      <c r="P40" s="1063"/>
      <c r="Q40" s="1063"/>
      <c r="R40" s="1063"/>
    </row>
    <row r="41" spans="1:18" ht="15" thickBot="1">
      <c r="A41" s="1063"/>
      <c r="B41" s="1063"/>
      <c r="C41" s="1063"/>
      <c r="D41" s="1136"/>
      <c r="E41" s="1063"/>
      <c r="F41" s="1063"/>
      <c r="G41" s="1063"/>
      <c r="H41" s="1063"/>
      <c r="I41" s="1137"/>
      <c r="J41" s="1041"/>
      <c r="K41" s="1137"/>
      <c r="L41" s="1063"/>
      <c r="M41" s="1063"/>
      <c r="N41" s="1063"/>
      <c r="O41" s="1063"/>
      <c r="P41" s="1063"/>
      <c r="Q41" s="1063"/>
      <c r="R41" s="1063"/>
    </row>
    <row r="42" spans="1:18" ht="20.25">
      <c r="A42" s="1062"/>
      <c r="B42" s="1147"/>
      <c r="C42" s="1602" t="s">
        <v>550</v>
      </c>
      <c r="D42" s="1603"/>
      <c r="E42" s="1603"/>
      <c r="F42" s="1604"/>
      <c r="G42" s="1608" t="s">
        <v>566</v>
      </c>
      <c r="H42" s="1055"/>
      <c r="I42" s="1062"/>
      <c r="J42" s="1062"/>
      <c r="K42" s="1062"/>
      <c r="L42" s="1062"/>
      <c r="M42" s="1602" t="s">
        <v>550</v>
      </c>
      <c r="N42" s="1604"/>
      <c r="O42" s="1608" t="s">
        <v>566</v>
      </c>
      <c r="P42" s="1062"/>
      <c r="Q42" s="1062"/>
      <c r="R42" s="1062"/>
    </row>
    <row r="43" spans="1:18" ht="21" thickBot="1">
      <c r="A43" s="1062"/>
      <c r="B43" s="1147"/>
      <c r="C43" s="1605"/>
      <c r="D43" s="1606"/>
      <c r="E43" s="1606"/>
      <c r="F43" s="1607"/>
      <c r="G43" s="1609"/>
      <c r="H43" s="1055"/>
      <c r="I43" s="1062"/>
      <c r="J43" s="1062"/>
      <c r="K43" s="1062"/>
      <c r="L43" s="1062"/>
      <c r="M43" s="1605"/>
      <c r="N43" s="1607"/>
      <c r="O43" s="1609"/>
      <c r="P43" s="1062"/>
      <c r="Q43" s="1062"/>
      <c r="R43" s="1062"/>
    </row>
    <row r="44" spans="1:18" ht="17.25" customHeight="1" thickBot="1">
      <c r="A44" s="1062"/>
      <c r="B44" s="1148"/>
      <c r="C44" s="1593" t="s">
        <v>222</v>
      </c>
      <c r="D44" s="1594"/>
      <c r="E44" s="1594"/>
      <c r="F44" s="1595"/>
      <c r="G44" s="1145">
        <v>2.7959164081484307</v>
      </c>
      <c r="H44" s="1055"/>
      <c r="I44" s="1062"/>
      <c r="J44" s="1062"/>
      <c r="K44" s="1062"/>
      <c r="L44" s="1062"/>
      <c r="M44" s="1593" t="s">
        <v>401</v>
      </c>
      <c r="N44" s="1595"/>
      <c r="O44" s="1149">
        <v>0.2</v>
      </c>
      <c r="P44" s="1062"/>
      <c r="Q44" s="1062"/>
      <c r="R44" s="1062"/>
    </row>
    <row r="45" spans="1:18" ht="17.25" customHeight="1" thickBot="1">
      <c r="A45" s="1062"/>
      <c r="B45" s="1148"/>
      <c r="C45" s="1593" t="s">
        <v>223</v>
      </c>
      <c r="D45" s="1594"/>
      <c r="E45" s="1594"/>
      <c r="F45" s="1595"/>
      <c r="G45" s="1145">
        <v>2.1198961128685072</v>
      </c>
      <c r="H45" s="1055"/>
      <c r="I45" s="1062"/>
      <c r="J45" s="1062"/>
      <c r="K45" s="1062"/>
      <c r="L45" s="1062"/>
      <c r="M45" s="1062"/>
      <c r="N45" s="1062"/>
      <c r="O45" s="1062"/>
      <c r="P45" s="1062"/>
      <c r="Q45" s="1062"/>
      <c r="R45" s="1062"/>
    </row>
    <row r="46" spans="1:18" ht="17.25" customHeight="1" thickBot="1">
      <c r="A46" s="1062"/>
      <c r="B46" s="1148"/>
      <c r="C46" s="1593" t="s">
        <v>402</v>
      </c>
      <c r="D46" s="1594"/>
      <c r="E46" s="1594"/>
      <c r="F46" s="1595"/>
      <c r="G46" s="1145">
        <v>0.22982393575120072</v>
      </c>
      <c r="H46" s="1055"/>
      <c r="I46" s="1062"/>
      <c r="J46" s="1062"/>
      <c r="K46" s="1062"/>
      <c r="L46" s="1062"/>
      <c r="M46" s="1062"/>
      <c r="N46" s="1062"/>
      <c r="O46" s="1062"/>
      <c r="P46" s="1062"/>
      <c r="Q46" s="1062"/>
      <c r="R46" s="1062"/>
    </row>
    <row r="47" spans="1:18" ht="17.25" customHeight="1" thickBot="1">
      <c r="A47" s="1062"/>
      <c r="B47" s="1148"/>
      <c r="C47" s="1593" t="s">
        <v>401</v>
      </c>
      <c r="D47" s="1594"/>
      <c r="E47" s="1594"/>
      <c r="F47" s="1595"/>
      <c r="G47" s="1145">
        <v>0.16350619772823258</v>
      </c>
      <c r="H47" s="1055"/>
      <c r="I47" s="1062"/>
      <c r="J47" s="1062"/>
      <c r="K47" s="1062"/>
      <c r="L47" s="1062"/>
      <c r="M47" s="1062"/>
      <c r="N47" s="1062"/>
      <c r="O47" s="1062"/>
      <c r="P47" s="1062"/>
      <c r="Q47" s="1062"/>
      <c r="R47" s="1062"/>
    </row>
    <row r="48" spans="1:18" ht="17.25" customHeight="1" thickBot="1">
      <c r="A48" s="1062"/>
      <c r="B48" s="1150"/>
      <c r="C48" s="1151" t="s">
        <v>606</v>
      </c>
      <c r="D48" s="1152"/>
      <c r="E48" s="1152"/>
      <c r="F48" s="1153"/>
      <c r="G48" s="1154">
        <v>5.3091426544963713</v>
      </c>
      <c r="H48" s="1055"/>
      <c r="I48" s="1062"/>
      <c r="J48" s="1062"/>
      <c r="K48" s="1062"/>
      <c r="L48" s="1062"/>
      <c r="M48" s="1062"/>
      <c r="N48" s="1062"/>
      <c r="O48" s="1062"/>
      <c r="P48" s="1062"/>
      <c r="Q48" s="1062"/>
      <c r="R48" s="1062"/>
    </row>
    <row r="49" spans="1:18" ht="15">
      <c r="A49" s="1155"/>
      <c r="B49" s="1155"/>
      <c r="C49" s="1155"/>
      <c r="D49" s="1155"/>
      <c r="E49" s="1155"/>
      <c r="F49" s="1155"/>
      <c r="G49" s="1137"/>
      <c r="H49" s="1156"/>
      <c r="I49" s="1157"/>
      <c r="J49" s="1157"/>
      <c r="K49" s="1157"/>
      <c r="L49" s="1158"/>
      <c r="M49" s="1063"/>
      <c r="N49" s="1063"/>
      <c r="O49" s="1063"/>
      <c r="P49" s="1063"/>
      <c r="Q49" s="1063"/>
      <c r="R49" s="1063"/>
    </row>
  </sheetData>
  <mergeCells count="50">
    <mergeCell ref="A9:C10"/>
    <mergeCell ref="M6:Q6"/>
    <mergeCell ref="E7:G7"/>
    <mergeCell ref="I7:K7"/>
    <mergeCell ref="M7:O8"/>
    <mergeCell ref="Q7:Q8"/>
    <mergeCell ref="G14:G16"/>
    <mergeCell ref="B15:C15"/>
    <mergeCell ref="B16:C16"/>
    <mergeCell ref="A11:A12"/>
    <mergeCell ref="B11:C11"/>
    <mergeCell ref="E11:E12"/>
    <mergeCell ref="F11:F12"/>
    <mergeCell ref="G11:G12"/>
    <mergeCell ref="B12:C12"/>
    <mergeCell ref="A13:A16"/>
    <mergeCell ref="B13:C13"/>
    <mergeCell ref="B14:C14"/>
    <mergeCell ref="E14:E16"/>
    <mergeCell ref="F14:F16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C28"/>
    <mergeCell ref="A29:C29"/>
    <mergeCell ref="O42:O43"/>
    <mergeCell ref="A31:C31"/>
    <mergeCell ref="A32:C32"/>
    <mergeCell ref="A33:C33"/>
    <mergeCell ref="A34:C34"/>
    <mergeCell ref="E36:H37"/>
    <mergeCell ref="E38:H38"/>
    <mergeCell ref="E39:H39"/>
    <mergeCell ref="E40:H40"/>
    <mergeCell ref="C42:F43"/>
    <mergeCell ref="G42:G43"/>
    <mergeCell ref="M42:N43"/>
    <mergeCell ref="C44:F44"/>
    <mergeCell ref="M44:N44"/>
    <mergeCell ref="C45:F45"/>
    <mergeCell ref="C46:F46"/>
    <mergeCell ref="C47:F47"/>
  </mergeCells>
  <phoneticPr fontId="1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C5FFFF"/>
    <pageSetUpPr fitToPage="1"/>
  </sheetPr>
  <dimension ref="A1:N89"/>
  <sheetViews>
    <sheetView workbookViewId="0">
      <selection sqref="A1:XFD1048576"/>
    </sheetView>
  </sheetViews>
  <sheetFormatPr defaultColWidth="8.85546875" defaultRowHeight="12.75"/>
  <cols>
    <col min="1" max="2" width="8.85546875" customWidth="1"/>
    <col min="3" max="3" width="74.85546875" bestFit="1" customWidth="1"/>
    <col min="4" max="4" width="40.140625" bestFit="1" customWidth="1"/>
    <col min="5" max="6" width="9" bestFit="1" customWidth="1"/>
  </cols>
  <sheetData>
    <row r="1" spans="1:14">
      <c r="A1" s="60" t="s">
        <v>526</v>
      </c>
      <c r="E1" s="61" t="s">
        <v>984</v>
      </c>
    </row>
    <row r="2" spans="1:14">
      <c r="A2" s="60"/>
    </row>
    <row r="3" spans="1:14">
      <c r="A3" s="60" t="s">
        <v>81</v>
      </c>
    </row>
    <row r="5" spans="1:14" ht="20.25">
      <c r="A5" s="1159" t="s">
        <v>607</v>
      </c>
      <c r="B5" s="1160"/>
      <c r="C5" s="1160"/>
      <c r="D5" s="1161"/>
      <c r="E5" s="1160"/>
      <c r="F5" s="1160"/>
      <c r="G5" s="1160"/>
      <c r="H5" s="1160"/>
      <c r="I5" s="1160"/>
      <c r="J5" s="1160"/>
      <c r="K5" s="1160"/>
      <c r="L5" s="1160"/>
      <c r="M5" s="1162"/>
      <c r="N5" s="1162"/>
    </row>
    <row r="6" spans="1:14" ht="21" thickBot="1">
      <c r="A6" s="1159"/>
      <c r="B6" s="1160"/>
      <c r="C6" s="1160"/>
      <c r="D6" s="1161"/>
      <c r="E6" s="1160"/>
      <c r="F6" s="1160"/>
      <c r="G6" s="1160"/>
      <c r="H6" s="1160"/>
      <c r="I6" s="1160"/>
      <c r="J6" s="1160"/>
      <c r="K6" s="1160"/>
      <c r="L6" s="1160"/>
      <c r="M6" s="1162"/>
      <c r="N6" s="1162"/>
    </row>
    <row r="7" spans="1:14" ht="18.75" thickBot="1">
      <c r="A7" s="1163"/>
      <c r="B7" s="1163"/>
      <c r="C7" s="1164" t="s">
        <v>992</v>
      </c>
      <c r="D7" s="1165"/>
      <c r="E7" s="1165"/>
      <c r="F7" s="1165"/>
      <c r="G7" s="1165"/>
      <c r="H7" s="1165"/>
      <c r="I7" s="1165"/>
      <c r="J7" s="1165"/>
      <c r="K7" s="1165"/>
      <c r="L7" s="1166"/>
      <c r="M7" s="1163"/>
      <c r="N7" s="1163"/>
    </row>
    <row r="8" spans="1:14" ht="98.25" thickBot="1">
      <c r="A8" s="1163"/>
      <c r="B8" s="1163"/>
      <c r="C8" s="1709" t="s">
        <v>609</v>
      </c>
      <c r="D8" s="1710"/>
      <c r="E8" s="1167" t="s">
        <v>610</v>
      </c>
      <c r="F8" s="1168" t="s">
        <v>611</v>
      </c>
      <c r="G8" s="1168" t="s">
        <v>612</v>
      </c>
      <c r="H8" s="1167" t="s">
        <v>613</v>
      </c>
      <c r="I8" s="1168" t="s">
        <v>614</v>
      </c>
      <c r="J8" s="1169" t="s">
        <v>615</v>
      </c>
      <c r="K8" s="1170" t="s">
        <v>616</v>
      </c>
      <c r="L8" s="1171" t="s">
        <v>200</v>
      </c>
      <c r="M8" s="1163"/>
      <c r="N8" s="1163"/>
    </row>
    <row r="9" spans="1:14" ht="15.75" thickBot="1">
      <c r="A9" s="1163"/>
      <c r="B9" s="1163"/>
      <c r="C9" s="1713"/>
      <c r="D9" s="1714"/>
      <c r="E9" s="1172" t="s">
        <v>566</v>
      </c>
      <c r="F9" s="1173" t="s">
        <v>566</v>
      </c>
      <c r="G9" s="1173" t="s">
        <v>566</v>
      </c>
      <c r="H9" s="1172" t="s">
        <v>566</v>
      </c>
      <c r="I9" s="1173" t="s">
        <v>566</v>
      </c>
      <c r="J9" s="1173" t="s">
        <v>566</v>
      </c>
      <c r="K9" s="1174" t="s">
        <v>566</v>
      </c>
      <c r="L9" s="1175" t="s">
        <v>566</v>
      </c>
      <c r="M9" s="1163"/>
      <c r="N9" s="1163"/>
    </row>
    <row r="10" spans="1:14" ht="15">
      <c r="A10" s="1163"/>
      <c r="B10" s="1163"/>
      <c r="C10" s="1715" t="s">
        <v>617</v>
      </c>
      <c r="D10" s="1716"/>
      <c r="E10" s="1176"/>
      <c r="F10" s="1177"/>
      <c r="G10" s="1177"/>
      <c r="H10" s="1176"/>
      <c r="I10" s="1177"/>
      <c r="J10" s="1178"/>
      <c r="K10" s="1178"/>
      <c r="L10" s="1179"/>
      <c r="M10" s="1163"/>
      <c r="N10" s="1163"/>
    </row>
    <row r="11" spans="1:14" ht="14.25">
      <c r="A11" s="1163"/>
      <c r="B11" s="1163"/>
      <c r="C11" s="1704" t="s">
        <v>243</v>
      </c>
      <c r="D11" s="1717"/>
      <c r="E11" s="1180">
        <v>19.100000000000001</v>
      </c>
      <c r="F11" s="1180">
        <v>0</v>
      </c>
      <c r="G11" s="1180">
        <v>0.3</v>
      </c>
      <c r="H11" s="1180">
        <v>0.5</v>
      </c>
      <c r="I11" s="1181"/>
      <c r="J11" s="1182"/>
      <c r="K11" s="1183"/>
      <c r="L11" s="1184">
        <v>19.899999999999999</v>
      </c>
      <c r="M11" s="1163"/>
      <c r="N11" s="1163"/>
    </row>
    <row r="12" spans="1:14" ht="14.25">
      <c r="A12" s="1163"/>
      <c r="B12" s="1163"/>
      <c r="C12" s="1704" t="s">
        <v>247</v>
      </c>
      <c r="D12" s="1717"/>
      <c r="E12" s="1180">
        <v>1.1000000000000001</v>
      </c>
      <c r="F12" s="1180">
        <v>0</v>
      </c>
      <c r="G12" s="1180">
        <v>0.5</v>
      </c>
      <c r="H12" s="1180">
        <v>2</v>
      </c>
      <c r="I12" s="1181"/>
      <c r="J12" s="1182"/>
      <c r="K12" s="1183"/>
      <c r="L12" s="1184">
        <v>3.6</v>
      </c>
      <c r="M12" s="1163"/>
      <c r="N12" s="1163"/>
    </row>
    <row r="13" spans="1:14" ht="14.25">
      <c r="A13" s="1163"/>
      <c r="B13" s="1163"/>
      <c r="C13" s="1704" t="s">
        <v>249</v>
      </c>
      <c r="D13" s="1717"/>
      <c r="E13" s="1180">
        <v>0</v>
      </c>
      <c r="F13" s="1180">
        <v>0</v>
      </c>
      <c r="G13" s="1180">
        <v>0</v>
      </c>
      <c r="H13" s="1180">
        <v>0</v>
      </c>
      <c r="I13" s="1181"/>
      <c r="J13" s="1182"/>
      <c r="K13" s="1183"/>
      <c r="L13" s="1184">
        <v>0</v>
      </c>
      <c r="M13" s="1163"/>
      <c r="N13" s="1163"/>
    </row>
    <row r="14" spans="1:14" ht="14.25">
      <c r="A14" s="1163"/>
      <c r="B14" s="1163"/>
      <c r="C14" s="1704" t="s">
        <v>251</v>
      </c>
      <c r="D14" s="1717"/>
      <c r="E14" s="1180">
        <v>0</v>
      </c>
      <c r="F14" s="1180">
        <v>0</v>
      </c>
      <c r="G14" s="1180">
        <v>0</v>
      </c>
      <c r="H14" s="1180">
        <v>0</v>
      </c>
      <c r="I14" s="1181"/>
      <c r="J14" s="1182"/>
      <c r="K14" s="1183"/>
      <c r="L14" s="1184">
        <v>0</v>
      </c>
      <c r="M14" s="1163"/>
      <c r="N14" s="1163"/>
    </row>
    <row r="15" spans="1:14" ht="15">
      <c r="A15" s="1163"/>
      <c r="B15" s="1163"/>
      <c r="C15" s="1703" t="s">
        <v>618</v>
      </c>
      <c r="D15" s="1639"/>
      <c r="E15" s="1185"/>
      <c r="F15" s="1186"/>
      <c r="G15" s="1186"/>
      <c r="H15" s="1185"/>
      <c r="I15" s="1181"/>
      <c r="J15" s="1182"/>
      <c r="K15" s="1183"/>
      <c r="L15" s="1187">
        <v>0</v>
      </c>
      <c r="M15" s="1163"/>
      <c r="N15" s="1163"/>
    </row>
    <row r="16" spans="1:14" ht="14.25">
      <c r="A16" s="1163"/>
      <c r="B16" s="1163"/>
      <c r="C16" s="1704" t="s">
        <v>345</v>
      </c>
      <c r="D16" s="1705"/>
      <c r="E16" s="1188"/>
      <c r="F16" s="1181"/>
      <c r="G16" s="1181"/>
      <c r="H16" s="1181"/>
      <c r="I16" s="1180">
        <v>0.3</v>
      </c>
      <c r="J16" s="1180">
        <v>0</v>
      </c>
      <c r="K16" s="1183"/>
      <c r="L16" s="1184">
        <v>0.3</v>
      </c>
      <c r="M16" s="1163"/>
      <c r="N16" s="1163"/>
    </row>
    <row r="17" spans="1:14" ht="14.25">
      <c r="A17" s="1163"/>
      <c r="B17" s="1163"/>
      <c r="C17" s="1704" t="s">
        <v>346</v>
      </c>
      <c r="D17" s="1705"/>
      <c r="E17" s="1188"/>
      <c r="F17" s="1181"/>
      <c r="G17" s="1181"/>
      <c r="H17" s="1181"/>
      <c r="I17" s="1180">
        <v>0.5</v>
      </c>
      <c r="J17" s="1180">
        <v>0</v>
      </c>
      <c r="K17" s="1183"/>
      <c r="L17" s="1184">
        <v>0.5</v>
      </c>
      <c r="M17" s="1163"/>
      <c r="N17" s="1163"/>
    </row>
    <row r="18" spans="1:14" ht="14.25">
      <c r="A18" s="1163"/>
      <c r="B18" s="1163"/>
      <c r="C18" s="1704" t="s">
        <v>347</v>
      </c>
      <c r="D18" s="1705"/>
      <c r="E18" s="1188"/>
      <c r="F18" s="1181"/>
      <c r="G18" s="1181"/>
      <c r="H18" s="1181"/>
      <c r="I18" s="1180">
        <v>2.2999999999999998</v>
      </c>
      <c r="J18" s="1180">
        <v>0</v>
      </c>
      <c r="K18" s="1183"/>
      <c r="L18" s="1184">
        <v>2.2999999999999998</v>
      </c>
      <c r="M18" s="1163"/>
      <c r="N18" s="1163"/>
    </row>
    <row r="19" spans="1:14" ht="14.25">
      <c r="A19" s="1163"/>
      <c r="B19" s="1163"/>
      <c r="C19" s="1704" t="s">
        <v>348</v>
      </c>
      <c r="D19" s="1705"/>
      <c r="E19" s="1188"/>
      <c r="F19" s="1181"/>
      <c r="G19" s="1181"/>
      <c r="H19" s="1181"/>
      <c r="I19" s="1180">
        <v>2.6</v>
      </c>
      <c r="J19" s="1180">
        <v>0</v>
      </c>
      <c r="K19" s="1183"/>
      <c r="L19" s="1184">
        <v>2.6</v>
      </c>
      <c r="M19" s="1163"/>
      <c r="N19" s="1163"/>
    </row>
    <row r="20" spans="1:14" ht="15">
      <c r="A20" s="1163"/>
      <c r="B20" s="1163"/>
      <c r="C20" s="1703" t="s">
        <v>616</v>
      </c>
      <c r="D20" s="1639"/>
      <c r="E20" s="1189"/>
      <c r="F20" s="1190"/>
      <c r="G20" s="1190"/>
      <c r="H20" s="1190"/>
      <c r="I20" s="1190"/>
      <c r="J20" s="1183"/>
      <c r="K20" s="1180"/>
      <c r="L20" s="1184">
        <v>0</v>
      </c>
      <c r="M20" s="1163"/>
      <c r="N20" s="1163"/>
    </row>
    <row r="21" spans="1:14" ht="15">
      <c r="A21" s="1163"/>
      <c r="B21" s="1163"/>
      <c r="C21" s="1703" t="s">
        <v>619</v>
      </c>
      <c r="D21" s="1639"/>
      <c r="E21" s="1191">
        <v>20.2</v>
      </c>
      <c r="F21" s="1191">
        <v>0</v>
      </c>
      <c r="G21" s="1191">
        <v>0.8</v>
      </c>
      <c r="H21" s="1191">
        <v>2.5</v>
      </c>
      <c r="I21" s="1191">
        <v>5.7</v>
      </c>
      <c r="J21" s="1191">
        <v>0</v>
      </c>
      <c r="K21" s="1192">
        <v>0</v>
      </c>
      <c r="L21" s="1193">
        <v>29.2</v>
      </c>
      <c r="M21" s="1194"/>
      <c r="N21" s="1163"/>
    </row>
    <row r="22" spans="1:14" ht="14.25">
      <c r="A22" s="1163"/>
      <c r="B22" s="1163"/>
      <c r="C22" s="1704" t="s">
        <v>620</v>
      </c>
      <c r="D22" s="1705"/>
      <c r="E22" s="1180"/>
      <c r="F22" s="1181"/>
      <c r="G22" s="1180"/>
      <c r="H22" s="1180"/>
      <c r="I22" s="1180"/>
      <c r="J22" s="1180"/>
      <c r="K22" s="1180"/>
      <c r="L22" s="1184">
        <v>0</v>
      </c>
      <c r="M22" s="1194"/>
      <c r="N22" s="1163"/>
    </row>
    <row r="23" spans="1:14" ht="15">
      <c r="A23" s="1163"/>
      <c r="B23" s="1163"/>
      <c r="C23" s="1703" t="s">
        <v>621</v>
      </c>
      <c r="D23" s="1639"/>
      <c r="E23" s="1191">
        <v>20.2</v>
      </c>
      <c r="F23" s="1195">
        <v>0</v>
      </c>
      <c r="G23" s="1195">
        <v>0.8</v>
      </c>
      <c r="H23" s="1195">
        <v>2.5</v>
      </c>
      <c r="I23" s="1195">
        <v>5.7</v>
      </c>
      <c r="J23" s="1195">
        <v>0</v>
      </c>
      <c r="K23" s="1196">
        <v>0</v>
      </c>
      <c r="L23" s="1193">
        <v>29.2</v>
      </c>
      <c r="M23" s="1197"/>
      <c r="N23" s="1163"/>
    </row>
    <row r="24" spans="1:14" ht="15.75" thickBot="1">
      <c r="A24" s="1163"/>
      <c r="B24" s="1163"/>
      <c r="C24" s="1706" t="s">
        <v>622</v>
      </c>
      <c r="D24" s="1707"/>
      <c r="E24" s="1180">
        <v>-26.8</v>
      </c>
      <c r="F24" s="1180"/>
      <c r="G24" s="1180">
        <v>-1</v>
      </c>
      <c r="H24" s="1198"/>
      <c r="I24" s="1199"/>
      <c r="J24" s="1199"/>
      <c r="K24" s="1180">
        <v>0</v>
      </c>
      <c r="L24" s="1200">
        <v>-27.8</v>
      </c>
      <c r="M24" s="1201"/>
      <c r="N24" s="1163"/>
    </row>
    <row r="25" spans="1:14" ht="15.75" thickBot="1">
      <c r="A25" s="1163"/>
      <c r="B25" s="1163"/>
      <c r="C25" s="1613" t="s">
        <v>623</v>
      </c>
      <c r="D25" s="1708"/>
      <c r="E25" s="1202">
        <v>-6.6</v>
      </c>
      <c r="F25" s="1203">
        <v>0</v>
      </c>
      <c r="G25" s="1203">
        <v>-0.2</v>
      </c>
      <c r="H25" s="1203">
        <v>2.5</v>
      </c>
      <c r="I25" s="1203">
        <v>5.7</v>
      </c>
      <c r="J25" s="1203">
        <v>0</v>
      </c>
      <c r="K25" s="1204">
        <v>0</v>
      </c>
      <c r="L25" s="1205">
        <v>1.4</v>
      </c>
      <c r="M25" s="1197"/>
      <c r="N25" s="1163"/>
    </row>
    <row r="26" spans="1:14" ht="15.75" thickBot="1">
      <c r="A26" s="1163"/>
      <c r="B26" s="1163"/>
      <c r="C26" s="1155"/>
      <c r="D26" s="1155"/>
      <c r="E26" s="1206"/>
      <c r="F26" s="1206"/>
      <c r="G26" s="1207"/>
      <c r="H26" s="1208"/>
      <c r="I26" s="1163"/>
      <c r="J26" s="1163"/>
      <c r="K26" s="1163"/>
      <c r="L26" s="1163"/>
      <c r="M26" s="1163"/>
      <c r="N26" s="1163"/>
    </row>
    <row r="27" spans="1:14" ht="18.75" thickBot="1">
      <c r="A27" s="1163"/>
      <c r="B27" s="1163"/>
      <c r="C27" s="1209" t="s">
        <v>993</v>
      </c>
      <c r="D27" s="1210"/>
      <c r="E27" s="1211"/>
      <c r="F27" s="1211"/>
      <c r="G27" s="1212"/>
      <c r="H27" s="1163"/>
      <c r="I27" s="1163"/>
      <c r="J27" s="1163"/>
      <c r="K27" s="1163"/>
      <c r="L27" s="1213"/>
      <c r="M27" s="1163"/>
      <c r="N27" s="1163"/>
    </row>
    <row r="28" spans="1:14" ht="15.75" customHeight="1" thickBot="1">
      <c r="A28" s="1163"/>
      <c r="B28" s="1163"/>
      <c r="C28" s="1709" t="s">
        <v>609</v>
      </c>
      <c r="D28" s="1710"/>
      <c r="E28" s="1699" t="s">
        <v>624</v>
      </c>
      <c r="F28" s="1700"/>
      <c r="G28" s="1214"/>
      <c r="H28" s="1163"/>
      <c r="I28" s="1163"/>
      <c r="J28" s="1163"/>
      <c r="K28" s="1163"/>
      <c r="L28" s="1213"/>
      <c r="M28" s="1163"/>
      <c r="N28" s="1163"/>
    </row>
    <row r="29" spans="1:14" ht="45.75" thickBot="1">
      <c r="A29" s="1163"/>
      <c r="B29" s="1163"/>
      <c r="C29" s="1711"/>
      <c r="D29" s="1712"/>
      <c r="E29" s="1215" t="s">
        <v>625</v>
      </c>
      <c r="F29" s="1215" t="s">
        <v>626</v>
      </c>
      <c r="G29" s="1216" t="s">
        <v>627</v>
      </c>
      <c r="H29" s="1163"/>
      <c r="I29" s="1163"/>
      <c r="J29" s="1163"/>
      <c r="K29" s="1163"/>
      <c r="L29" s="1213"/>
      <c r="M29" s="1163"/>
      <c r="N29" s="1163"/>
    </row>
    <row r="30" spans="1:14" ht="15.75" thickBot="1">
      <c r="A30" s="1163"/>
      <c r="B30" s="1163"/>
      <c r="C30" s="1713"/>
      <c r="D30" s="1714"/>
      <c r="E30" s="1217" t="s">
        <v>566</v>
      </c>
      <c r="F30" s="1217" t="s">
        <v>566</v>
      </c>
      <c r="G30" s="1217" t="s">
        <v>566</v>
      </c>
      <c r="H30" s="1163"/>
      <c r="I30" s="1163"/>
      <c r="J30" s="1163"/>
      <c r="K30" s="1163"/>
      <c r="L30" s="1213"/>
      <c r="M30" s="1163"/>
      <c r="N30" s="1163"/>
    </row>
    <row r="31" spans="1:14" ht="15">
      <c r="A31" s="1163"/>
      <c r="B31" s="1163"/>
      <c r="C31" s="1701" t="s">
        <v>422</v>
      </c>
      <c r="D31" s="1218" t="s">
        <v>423</v>
      </c>
      <c r="E31" s="1219">
        <v>1.7</v>
      </c>
      <c r="F31" s="1180">
        <v>0</v>
      </c>
      <c r="G31" s="1220">
        <v>1.7</v>
      </c>
      <c r="H31" s="1163"/>
      <c r="I31" s="1163"/>
      <c r="J31" s="1163"/>
      <c r="K31" s="1163"/>
      <c r="L31" s="1213"/>
      <c r="M31" s="1163"/>
      <c r="N31" s="1163"/>
    </row>
    <row r="32" spans="1:14" ht="15.75" thickBot="1">
      <c r="A32" s="1163"/>
      <c r="B32" s="1163"/>
      <c r="C32" s="1702"/>
      <c r="D32" s="1221" t="s">
        <v>424</v>
      </c>
      <c r="E32" s="1222">
        <v>1.1000000000000001</v>
      </c>
      <c r="F32" s="1222">
        <v>0</v>
      </c>
      <c r="G32" s="1223">
        <v>1.1000000000000001</v>
      </c>
      <c r="H32" s="1163"/>
      <c r="I32" s="1163"/>
      <c r="J32" s="1163"/>
      <c r="K32" s="1163"/>
      <c r="L32" s="1213"/>
      <c r="M32" s="1163"/>
      <c r="N32" s="1163"/>
    </row>
    <row r="33" spans="1:14" ht="15">
      <c r="A33" s="1163"/>
      <c r="B33" s="1163"/>
      <c r="C33" s="1701" t="s">
        <v>425</v>
      </c>
      <c r="D33" s="1218" t="s">
        <v>423</v>
      </c>
      <c r="E33" s="1219">
        <v>0.1</v>
      </c>
      <c r="F33" s="1180">
        <v>0</v>
      </c>
      <c r="G33" s="1220">
        <v>0.1</v>
      </c>
      <c r="H33" s="1163"/>
      <c r="I33" s="1163"/>
      <c r="J33" s="1163"/>
      <c r="K33" s="1163"/>
      <c r="L33" s="1213"/>
      <c r="M33" s="1163"/>
      <c r="N33" s="1163"/>
    </row>
    <row r="34" spans="1:14" ht="15.75" thickBot="1">
      <c r="A34" s="1163"/>
      <c r="B34" s="1163"/>
      <c r="C34" s="1702"/>
      <c r="D34" s="1221" t="s">
        <v>424</v>
      </c>
      <c r="E34" s="1222">
        <v>0.8</v>
      </c>
      <c r="F34" s="1222">
        <v>0</v>
      </c>
      <c r="G34" s="1223">
        <v>0.8</v>
      </c>
      <c r="H34" s="1163"/>
      <c r="I34" s="1163"/>
      <c r="J34" s="1163"/>
      <c r="K34" s="1163"/>
      <c r="L34" s="1213"/>
      <c r="M34" s="1163"/>
      <c r="N34" s="1163"/>
    </row>
    <row r="35" spans="1:14" ht="15">
      <c r="A35" s="1163"/>
      <c r="B35" s="1163"/>
      <c r="C35" s="1692" t="s">
        <v>345</v>
      </c>
      <c r="D35" s="1218" t="s">
        <v>588</v>
      </c>
      <c r="E35" s="1219">
        <v>5.3</v>
      </c>
      <c r="F35" s="1180">
        <v>0</v>
      </c>
      <c r="G35" s="1220">
        <v>5.3</v>
      </c>
      <c r="H35" s="1163"/>
      <c r="I35" s="1163"/>
      <c r="J35" s="1163"/>
      <c r="K35" s="1163"/>
      <c r="L35" s="1213"/>
      <c r="M35" s="1163"/>
      <c r="N35" s="1163"/>
    </row>
    <row r="36" spans="1:14" ht="15">
      <c r="A36" s="1163"/>
      <c r="B36" s="1163"/>
      <c r="C36" s="1693"/>
      <c r="D36" s="1224" t="s">
        <v>628</v>
      </c>
      <c r="E36" s="1219">
        <v>0.8</v>
      </c>
      <c r="F36" s="1180">
        <v>1.3</v>
      </c>
      <c r="G36" s="1184">
        <v>2.1</v>
      </c>
      <c r="H36" s="1163"/>
      <c r="I36" s="1163"/>
      <c r="J36" s="1163"/>
      <c r="K36" s="1163"/>
      <c r="L36" s="1213"/>
      <c r="M36" s="1163"/>
      <c r="N36" s="1163"/>
    </row>
    <row r="37" spans="1:14" ht="15.75" thickBot="1">
      <c r="A37" s="1163"/>
      <c r="B37" s="1163"/>
      <c r="C37" s="1694"/>
      <c r="D37" s="1225" t="s">
        <v>428</v>
      </c>
      <c r="E37" s="1222">
        <v>0</v>
      </c>
      <c r="F37" s="1222">
        <v>0</v>
      </c>
      <c r="G37" s="1223">
        <v>0</v>
      </c>
      <c r="H37" s="1163"/>
      <c r="I37" s="1163"/>
      <c r="J37" s="1163"/>
      <c r="K37" s="1163"/>
      <c r="L37" s="1213"/>
      <c r="M37" s="1163"/>
      <c r="N37" s="1163"/>
    </row>
    <row r="38" spans="1:14" ht="15">
      <c r="A38" s="1163"/>
      <c r="B38" s="1163"/>
      <c r="C38" s="1692" t="s">
        <v>223</v>
      </c>
      <c r="D38" s="1218" t="s">
        <v>429</v>
      </c>
      <c r="E38" s="1219">
        <v>7.5</v>
      </c>
      <c r="F38" s="1180">
        <v>0</v>
      </c>
      <c r="G38" s="1220">
        <v>7.5</v>
      </c>
      <c r="H38" s="1163"/>
      <c r="I38" s="1163"/>
      <c r="J38" s="1163"/>
      <c r="K38" s="1163"/>
      <c r="L38" s="1213"/>
      <c r="M38" s="1163"/>
      <c r="N38" s="1163"/>
    </row>
    <row r="39" spans="1:14" ht="15">
      <c r="A39" s="1163"/>
      <c r="B39" s="1163"/>
      <c r="C39" s="1693"/>
      <c r="D39" s="1224" t="s">
        <v>592</v>
      </c>
      <c r="E39" s="1219">
        <v>0.6</v>
      </c>
      <c r="F39" s="1180">
        <v>0.6</v>
      </c>
      <c r="G39" s="1184">
        <v>1.2</v>
      </c>
      <c r="H39" s="1163"/>
      <c r="I39" s="1163"/>
      <c r="J39" s="1163"/>
      <c r="K39" s="1163"/>
      <c r="L39" s="1213"/>
      <c r="M39" s="1163"/>
      <c r="N39" s="1163"/>
    </row>
    <row r="40" spans="1:14" ht="15">
      <c r="A40" s="1163"/>
      <c r="B40" s="1163"/>
      <c r="C40" s="1693"/>
      <c r="D40" s="1226" t="s">
        <v>430</v>
      </c>
      <c r="E40" s="1219">
        <v>0</v>
      </c>
      <c r="F40" s="1180">
        <v>0</v>
      </c>
      <c r="G40" s="1184">
        <v>0</v>
      </c>
      <c r="H40" s="1163"/>
      <c r="I40" s="1163"/>
      <c r="J40" s="1163"/>
      <c r="K40" s="1163"/>
      <c r="L40" s="1213"/>
      <c r="M40" s="1163"/>
      <c r="N40" s="1163"/>
    </row>
    <row r="41" spans="1:14" ht="15">
      <c r="A41" s="1163"/>
      <c r="B41" s="1163"/>
      <c r="C41" s="1693"/>
      <c r="D41" s="1226" t="s">
        <v>428</v>
      </c>
      <c r="E41" s="1219">
        <v>2.5</v>
      </c>
      <c r="F41" s="1180">
        <v>0.1</v>
      </c>
      <c r="G41" s="1184">
        <v>2.6</v>
      </c>
      <c r="H41" s="1163"/>
      <c r="I41" s="1163"/>
      <c r="J41" s="1163"/>
      <c r="K41" s="1163"/>
      <c r="L41" s="1213"/>
      <c r="M41" s="1163"/>
      <c r="N41" s="1163"/>
    </row>
    <row r="42" spans="1:14" ht="15">
      <c r="A42" s="1163"/>
      <c r="B42" s="1163"/>
      <c r="C42" s="1693"/>
      <c r="D42" s="1224" t="s">
        <v>431</v>
      </c>
      <c r="E42" s="1219">
        <v>1</v>
      </c>
      <c r="F42" s="1180">
        <v>0.3</v>
      </c>
      <c r="G42" s="1184">
        <v>1.3</v>
      </c>
      <c r="H42" s="1163"/>
      <c r="I42" s="1163"/>
      <c r="J42" s="1163"/>
      <c r="K42" s="1163"/>
      <c r="L42" s="1213"/>
      <c r="M42" s="1163"/>
      <c r="N42" s="1163"/>
    </row>
    <row r="43" spans="1:14" ht="15.75" thickBot="1">
      <c r="A43" s="1163"/>
      <c r="B43" s="1163"/>
      <c r="C43" s="1694"/>
      <c r="D43" s="1221" t="s">
        <v>432</v>
      </c>
      <c r="E43" s="1222">
        <v>1.1000000000000001</v>
      </c>
      <c r="F43" s="1222">
        <v>0</v>
      </c>
      <c r="G43" s="1223">
        <v>1.1000000000000001</v>
      </c>
      <c r="H43" s="1163"/>
      <c r="I43" s="1163"/>
      <c r="J43" s="1163"/>
      <c r="K43" s="1163"/>
      <c r="L43" s="1213"/>
      <c r="M43" s="1163"/>
      <c r="N43" s="1163"/>
    </row>
    <row r="44" spans="1:14" ht="15">
      <c r="A44" s="1163"/>
      <c r="B44" s="1163"/>
      <c r="C44" s="1692" t="s">
        <v>402</v>
      </c>
      <c r="D44" s="1218" t="s">
        <v>429</v>
      </c>
      <c r="E44" s="1219">
        <v>0.8</v>
      </c>
      <c r="F44" s="1180">
        <v>0</v>
      </c>
      <c r="G44" s="1220">
        <v>0.8</v>
      </c>
      <c r="H44" s="1163"/>
      <c r="I44" s="1163"/>
      <c r="J44" s="1163"/>
      <c r="K44" s="1163"/>
      <c r="L44" s="1213"/>
      <c r="M44" s="1163"/>
      <c r="N44" s="1163"/>
    </row>
    <row r="45" spans="1:14" ht="15">
      <c r="A45" s="1163"/>
      <c r="B45" s="1163"/>
      <c r="C45" s="1693"/>
      <c r="D45" s="1224" t="s">
        <v>592</v>
      </c>
      <c r="E45" s="1219">
        <v>0.6</v>
      </c>
      <c r="F45" s="1180">
        <v>0.2</v>
      </c>
      <c r="G45" s="1184">
        <v>0.8</v>
      </c>
      <c r="H45" s="1163"/>
      <c r="I45" s="1163"/>
      <c r="J45" s="1163"/>
      <c r="K45" s="1163"/>
      <c r="L45" s="1213"/>
      <c r="M45" s="1163"/>
      <c r="N45" s="1163"/>
    </row>
    <row r="46" spans="1:14" ht="15">
      <c r="A46" s="1163"/>
      <c r="B46" s="1163"/>
      <c r="C46" s="1693"/>
      <c r="D46" s="1224" t="s">
        <v>430</v>
      </c>
      <c r="E46" s="1219">
        <v>0</v>
      </c>
      <c r="F46" s="1180">
        <v>0</v>
      </c>
      <c r="G46" s="1184">
        <v>0</v>
      </c>
      <c r="H46" s="1163"/>
      <c r="I46" s="1163"/>
      <c r="J46" s="1163"/>
      <c r="K46" s="1163"/>
      <c r="L46" s="1213"/>
      <c r="M46" s="1163"/>
      <c r="N46" s="1163"/>
    </row>
    <row r="47" spans="1:14" ht="15">
      <c r="A47" s="1163"/>
      <c r="B47" s="1163"/>
      <c r="C47" s="1693"/>
      <c r="D47" s="1224" t="s">
        <v>428</v>
      </c>
      <c r="E47" s="1219">
        <v>0.7</v>
      </c>
      <c r="F47" s="1180">
        <v>0</v>
      </c>
      <c r="G47" s="1184">
        <v>0.7</v>
      </c>
      <c r="H47" s="1163"/>
      <c r="I47" s="1163"/>
      <c r="J47" s="1163"/>
      <c r="K47" s="1163"/>
      <c r="L47" s="1213"/>
      <c r="M47" s="1163"/>
      <c r="N47" s="1163"/>
    </row>
    <row r="48" spans="1:14" ht="15">
      <c r="A48" s="1163"/>
      <c r="B48" s="1163"/>
      <c r="C48" s="1693"/>
      <c r="D48" s="1224" t="s">
        <v>431</v>
      </c>
      <c r="E48" s="1219">
        <v>1.4</v>
      </c>
      <c r="F48" s="1180">
        <v>0</v>
      </c>
      <c r="G48" s="1184">
        <v>1.4</v>
      </c>
      <c r="H48" s="1163"/>
      <c r="I48" s="1163"/>
      <c r="J48" s="1163"/>
      <c r="K48" s="1163"/>
      <c r="L48" s="1213"/>
      <c r="M48" s="1163"/>
      <c r="N48" s="1163"/>
    </row>
    <row r="49" spans="1:14" ht="15.75" thickBot="1">
      <c r="A49" s="1163"/>
      <c r="B49" s="1163"/>
      <c r="C49" s="1694"/>
      <c r="D49" s="1227" t="s">
        <v>432</v>
      </c>
      <c r="E49" s="1222">
        <v>0.7</v>
      </c>
      <c r="F49" s="1222">
        <v>0</v>
      </c>
      <c r="G49" s="1223">
        <v>0.7</v>
      </c>
      <c r="H49" s="1163"/>
      <c r="I49" s="1163"/>
      <c r="J49" s="1163"/>
      <c r="K49" s="1163"/>
      <c r="L49" s="1213"/>
      <c r="M49" s="1163"/>
      <c r="N49" s="1163"/>
    </row>
    <row r="50" spans="1:14" ht="15">
      <c r="A50" s="1163"/>
      <c r="B50" s="1163"/>
      <c r="C50" s="1692" t="s">
        <v>401</v>
      </c>
      <c r="D50" s="1228" t="s">
        <v>429</v>
      </c>
      <c r="E50" s="1219">
        <v>5.7</v>
      </c>
      <c r="F50" s="1180">
        <v>0</v>
      </c>
      <c r="G50" s="1220">
        <v>5.7</v>
      </c>
      <c r="H50" s="1163"/>
      <c r="I50" s="1163"/>
      <c r="J50" s="1163"/>
      <c r="K50" s="1163"/>
      <c r="L50" s="1213"/>
      <c r="M50" s="1163"/>
      <c r="N50" s="1163"/>
    </row>
    <row r="51" spans="1:14" ht="15">
      <c r="A51" s="1163"/>
      <c r="B51" s="1163"/>
      <c r="C51" s="1693"/>
      <c r="D51" s="1224" t="s">
        <v>592</v>
      </c>
      <c r="E51" s="1219">
        <v>0.8</v>
      </c>
      <c r="F51" s="1180">
        <v>0</v>
      </c>
      <c r="G51" s="1184">
        <v>0.8</v>
      </c>
      <c r="H51" s="1163"/>
      <c r="I51" s="1163"/>
      <c r="J51" s="1163"/>
      <c r="K51" s="1163"/>
      <c r="L51" s="1213"/>
      <c r="M51" s="1163"/>
      <c r="N51" s="1163"/>
    </row>
    <row r="52" spans="1:14" ht="15">
      <c r="A52" s="1163"/>
      <c r="B52" s="1163"/>
      <c r="C52" s="1693"/>
      <c r="D52" s="1229" t="s">
        <v>629</v>
      </c>
      <c r="E52" s="1219">
        <v>0</v>
      </c>
      <c r="F52" s="1180">
        <v>0</v>
      </c>
      <c r="G52" s="1184">
        <v>0</v>
      </c>
      <c r="H52" s="1163"/>
      <c r="I52" s="1163"/>
      <c r="J52" s="1163"/>
      <c r="K52" s="1163"/>
      <c r="L52" s="1213"/>
      <c r="M52" s="1163"/>
      <c r="N52" s="1163"/>
    </row>
    <row r="53" spans="1:14" ht="15">
      <c r="A53" s="1163"/>
      <c r="B53" s="1163"/>
      <c r="C53" s="1693"/>
      <c r="D53" s="1229" t="s">
        <v>428</v>
      </c>
      <c r="E53" s="1219">
        <v>0.3</v>
      </c>
      <c r="F53" s="1180">
        <v>0</v>
      </c>
      <c r="G53" s="1184">
        <v>0.3</v>
      </c>
      <c r="H53" s="1163"/>
      <c r="I53" s="1163"/>
      <c r="J53" s="1163"/>
      <c r="K53" s="1163"/>
      <c r="L53" s="1213"/>
      <c r="M53" s="1163"/>
      <c r="N53" s="1163"/>
    </row>
    <row r="54" spans="1:14" ht="15">
      <c r="A54" s="1163"/>
      <c r="B54" s="1163"/>
      <c r="C54" s="1693"/>
      <c r="D54" s="1229" t="s">
        <v>431</v>
      </c>
      <c r="E54" s="1219">
        <v>1</v>
      </c>
      <c r="F54" s="1180">
        <v>0</v>
      </c>
      <c r="G54" s="1184">
        <v>1</v>
      </c>
      <c r="H54" s="1163"/>
      <c r="I54" s="1163"/>
      <c r="J54" s="1163"/>
      <c r="K54" s="1163"/>
      <c r="L54" s="1213"/>
      <c r="M54" s="1163"/>
      <c r="N54" s="1163"/>
    </row>
    <row r="55" spans="1:14" ht="15.75" thickBot="1">
      <c r="A55" s="1163"/>
      <c r="B55" s="1163"/>
      <c r="C55" s="1694"/>
      <c r="D55" s="1227" t="s">
        <v>432</v>
      </c>
      <c r="E55" s="1219">
        <v>0.8</v>
      </c>
      <c r="F55" s="1180">
        <v>0</v>
      </c>
      <c r="G55" s="1184">
        <v>0.8</v>
      </c>
      <c r="H55" s="1163"/>
      <c r="I55" s="1163"/>
      <c r="J55" s="1163"/>
      <c r="K55" s="1163"/>
      <c r="L55" s="1213"/>
      <c r="M55" s="1163"/>
      <c r="N55" s="1163"/>
    </row>
    <row r="56" spans="1:14" ht="15.75" thickBot="1">
      <c r="A56" s="1163"/>
      <c r="B56" s="1163"/>
      <c r="C56" s="1678" t="s">
        <v>630</v>
      </c>
      <c r="D56" s="1695"/>
      <c r="E56" s="1230">
        <v>35.299999999999997</v>
      </c>
      <c r="F56" s="1230">
        <v>2.5</v>
      </c>
      <c r="G56" s="1230">
        <v>37.799999999999997</v>
      </c>
      <c r="H56" s="1201"/>
      <c r="I56" s="1163"/>
      <c r="J56" s="1163"/>
      <c r="K56" s="1163"/>
      <c r="L56" s="1163"/>
      <c r="M56" s="1213"/>
      <c r="N56" s="1163"/>
    </row>
    <row r="57" spans="1:14" ht="15.75" thickBot="1">
      <c r="A57" s="1163"/>
      <c r="B57" s="1163"/>
      <c r="C57" s="1678" t="s">
        <v>622</v>
      </c>
      <c r="D57" s="1695"/>
      <c r="E57" s="1219">
        <v>-1.2</v>
      </c>
      <c r="F57" s="1180"/>
      <c r="G57" s="1184">
        <v>-1.2</v>
      </c>
      <c r="H57" s="1201"/>
      <c r="I57" s="1201"/>
      <c r="J57" s="1201"/>
      <c r="K57" s="1163"/>
      <c r="L57" s="1163"/>
      <c r="M57" s="1213"/>
      <c r="N57" s="1163"/>
    </row>
    <row r="58" spans="1:14" ht="15.75" thickBot="1">
      <c r="A58" s="1163"/>
      <c r="B58" s="1163"/>
      <c r="C58" s="1678" t="s">
        <v>631</v>
      </c>
      <c r="D58" s="1695"/>
      <c r="E58" s="1230">
        <v>34.1</v>
      </c>
      <c r="F58" s="1230">
        <v>2.5</v>
      </c>
      <c r="G58" s="1230">
        <v>36.6</v>
      </c>
      <c r="H58" s="1163"/>
      <c r="I58" s="1163"/>
      <c r="J58" s="1163"/>
      <c r="K58" s="1163"/>
      <c r="L58" s="1213"/>
      <c r="M58" s="1163"/>
      <c r="N58" s="1163"/>
    </row>
    <row r="59" spans="1:14" ht="13.5" thickBot="1">
      <c r="A59" s="1231"/>
      <c r="B59" s="1231"/>
      <c r="C59" s="1231"/>
      <c r="D59" s="1231"/>
      <c r="E59" s="1231"/>
      <c r="F59" s="1231"/>
      <c r="G59" s="1231"/>
      <c r="H59" s="1231"/>
      <c r="I59" s="1231"/>
      <c r="J59" s="1231"/>
      <c r="K59" s="1231"/>
      <c r="L59" s="1231"/>
      <c r="M59" s="1231"/>
      <c r="N59" s="1231"/>
    </row>
    <row r="60" spans="1:14" ht="15.75" thickBot="1">
      <c r="A60" s="1163"/>
      <c r="B60" s="1163"/>
      <c r="C60" s="1232" t="s">
        <v>632</v>
      </c>
      <c r="D60" s="1233"/>
      <c r="E60" s="1234" t="s">
        <v>222</v>
      </c>
      <c r="F60" s="1234" t="s">
        <v>223</v>
      </c>
      <c r="G60" s="1234" t="s">
        <v>402</v>
      </c>
      <c r="H60" s="1234" t="s">
        <v>401</v>
      </c>
      <c r="I60" s="1234" t="s">
        <v>200</v>
      </c>
      <c r="J60" s="1163"/>
      <c r="K60" s="1163"/>
      <c r="L60" s="1163"/>
      <c r="M60" s="1213"/>
      <c r="N60" s="1163"/>
    </row>
    <row r="61" spans="1:14" ht="18.75" thickBot="1">
      <c r="A61" s="1163"/>
      <c r="B61" s="1163"/>
      <c r="C61" s="1696" t="s">
        <v>609</v>
      </c>
      <c r="D61" s="1697"/>
      <c r="E61" s="1217" t="s">
        <v>566</v>
      </c>
      <c r="F61" s="1217" t="s">
        <v>566</v>
      </c>
      <c r="G61" s="1217" t="s">
        <v>566</v>
      </c>
      <c r="H61" s="1217" t="s">
        <v>566</v>
      </c>
      <c r="I61" s="1217" t="s">
        <v>566</v>
      </c>
      <c r="J61" s="1163"/>
      <c r="K61" s="1163"/>
      <c r="L61" s="1163"/>
      <c r="M61" s="1163"/>
      <c r="N61" s="1213"/>
    </row>
    <row r="62" spans="1:14" ht="15">
      <c r="A62" s="1163"/>
      <c r="B62" s="1163"/>
      <c r="C62" s="1686" t="s">
        <v>633</v>
      </c>
      <c r="D62" s="1698"/>
      <c r="E62" s="1219">
        <v>0.1</v>
      </c>
      <c r="F62" s="1180">
        <v>2</v>
      </c>
      <c r="G62" s="1180">
        <v>0</v>
      </c>
      <c r="H62" s="1180">
        <v>0</v>
      </c>
      <c r="I62" s="1235">
        <v>2.1</v>
      </c>
      <c r="J62" s="1163"/>
      <c r="K62" s="1163"/>
      <c r="L62" s="1163"/>
      <c r="M62" s="1163"/>
      <c r="N62" s="1213"/>
    </row>
    <row r="63" spans="1:14" ht="15">
      <c r="A63" s="1163"/>
      <c r="B63" s="1163"/>
      <c r="C63" s="1674" t="s">
        <v>634</v>
      </c>
      <c r="D63" s="1688"/>
      <c r="E63" s="1219">
        <v>0</v>
      </c>
      <c r="F63" s="1180">
        <v>0</v>
      </c>
      <c r="G63" s="1180">
        <v>0</v>
      </c>
      <c r="H63" s="1180">
        <v>0</v>
      </c>
      <c r="I63" s="1193">
        <v>0</v>
      </c>
      <c r="J63" s="1163"/>
      <c r="K63" s="1163"/>
      <c r="L63" s="1163"/>
      <c r="M63" s="1163"/>
      <c r="N63" s="1213"/>
    </row>
    <row r="64" spans="1:14" ht="15">
      <c r="A64" s="1163"/>
      <c r="B64" s="1163"/>
      <c r="C64" s="1674" t="s">
        <v>635</v>
      </c>
      <c r="D64" s="1688"/>
      <c r="E64" s="1219">
        <v>0</v>
      </c>
      <c r="F64" s="1180">
        <v>0</v>
      </c>
      <c r="G64" s="1180">
        <v>0</v>
      </c>
      <c r="H64" s="1180">
        <v>0</v>
      </c>
      <c r="I64" s="1193">
        <v>0</v>
      </c>
      <c r="J64" s="1163"/>
      <c r="K64" s="1163"/>
      <c r="L64" s="1163"/>
      <c r="M64" s="1163"/>
      <c r="N64" s="1213"/>
    </row>
    <row r="65" spans="1:14" ht="15">
      <c r="A65" s="1163"/>
      <c r="B65" s="1163"/>
      <c r="C65" s="1674" t="s">
        <v>636</v>
      </c>
      <c r="D65" s="1688"/>
      <c r="E65" s="1219">
        <v>0</v>
      </c>
      <c r="F65" s="1180">
        <v>0</v>
      </c>
      <c r="G65" s="1180">
        <v>0</v>
      </c>
      <c r="H65" s="1180">
        <v>0</v>
      </c>
      <c r="I65" s="1193">
        <v>0</v>
      </c>
      <c r="J65" s="1163"/>
      <c r="K65" s="1163"/>
      <c r="L65" s="1163"/>
      <c r="M65" s="1163"/>
      <c r="N65" s="1213"/>
    </row>
    <row r="66" spans="1:14" ht="15">
      <c r="A66" s="1163"/>
      <c r="B66" s="1163"/>
      <c r="C66" s="1674" t="s">
        <v>465</v>
      </c>
      <c r="D66" s="1688"/>
      <c r="E66" s="1219">
        <v>0</v>
      </c>
      <c r="F66" s="1180">
        <v>0</v>
      </c>
      <c r="G66" s="1180">
        <v>0</v>
      </c>
      <c r="H66" s="1180">
        <v>0</v>
      </c>
      <c r="I66" s="1193">
        <v>0</v>
      </c>
      <c r="J66" s="1163"/>
      <c r="K66" s="1163"/>
      <c r="L66" s="1163"/>
      <c r="M66" s="1163"/>
      <c r="N66" s="1213"/>
    </row>
    <row r="67" spans="1:14" ht="15">
      <c r="A67" s="1163"/>
      <c r="B67" s="1163"/>
      <c r="C67" s="1674" t="s">
        <v>637</v>
      </c>
      <c r="D67" s="1688"/>
      <c r="E67" s="1219">
        <v>0</v>
      </c>
      <c r="F67" s="1180">
        <v>0</v>
      </c>
      <c r="G67" s="1180">
        <v>0</v>
      </c>
      <c r="H67" s="1180">
        <v>0</v>
      </c>
      <c r="I67" s="1193">
        <v>0</v>
      </c>
      <c r="J67" s="1163"/>
      <c r="K67" s="1163"/>
      <c r="L67" s="1163"/>
      <c r="M67" s="1163"/>
      <c r="N67" s="1213"/>
    </row>
    <row r="68" spans="1:14" ht="15">
      <c r="A68" s="1163"/>
      <c r="B68" s="1163"/>
      <c r="C68" s="1674" t="s">
        <v>638</v>
      </c>
      <c r="D68" s="1688"/>
      <c r="E68" s="1219">
        <v>0</v>
      </c>
      <c r="F68" s="1180">
        <v>0</v>
      </c>
      <c r="G68" s="1180">
        <v>0</v>
      </c>
      <c r="H68" s="1180">
        <v>0</v>
      </c>
      <c r="I68" s="1193">
        <v>0</v>
      </c>
      <c r="J68" s="1163"/>
      <c r="K68" s="1163"/>
      <c r="L68" s="1163"/>
      <c r="M68" s="1163"/>
      <c r="N68" s="1213"/>
    </row>
    <row r="69" spans="1:14" ht="15">
      <c r="A69" s="1163"/>
      <c r="B69" s="1163"/>
      <c r="C69" s="1674" t="s">
        <v>639</v>
      </c>
      <c r="D69" s="1688"/>
      <c r="E69" s="1219">
        <v>0</v>
      </c>
      <c r="F69" s="1180">
        <v>3.4</v>
      </c>
      <c r="G69" s="1180">
        <v>0</v>
      </c>
      <c r="H69" s="1180">
        <v>0</v>
      </c>
      <c r="I69" s="1200">
        <v>3.4</v>
      </c>
      <c r="J69" s="1163"/>
      <c r="K69" s="1163"/>
      <c r="L69" s="1163"/>
      <c r="M69" s="1163"/>
      <c r="N69" s="1213"/>
    </row>
    <row r="70" spans="1:14" ht="15.75" thickBot="1">
      <c r="A70" s="1163"/>
      <c r="B70" s="1163"/>
      <c r="C70" s="1676" t="s">
        <v>640</v>
      </c>
      <c r="D70" s="1689"/>
      <c r="E70" s="1219">
        <v>0.8</v>
      </c>
      <c r="F70" s="1180">
        <v>0.8</v>
      </c>
      <c r="G70" s="1180">
        <v>0.3</v>
      </c>
      <c r="H70" s="1180">
        <v>0</v>
      </c>
      <c r="I70" s="1236">
        <v>1.9</v>
      </c>
      <c r="J70" s="1163"/>
      <c r="K70" s="1163"/>
      <c r="L70" s="1163"/>
      <c r="M70" s="1163"/>
      <c r="N70" s="1213"/>
    </row>
    <row r="71" spans="1:14" ht="15.75" thickBot="1">
      <c r="A71" s="1163"/>
      <c r="B71" s="1163"/>
      <c r="C71" s="1680" t="s">
        <v>641</v>
      </c>
      <c r="D71" s="1681"/>
      <c r="E71" s="1205">
        <v>0.9</v>
      </c>
      <c r="F71" s="1205">
        <v>6.2</v>
      </c>
      <c r="G71" s="1205">
        <v>0.3</v>
      </c>
      <c r="H71" s="1205">
        <v>0</v>
      </c>
      <c r="I71" s="1205">
        <v>7.4</v>
      </c>
      <c r="J71" s="1163"/>
      <c r="K71" s="1163"/>
      <c r="L71" s="1163"/>
      <c r="M71" s="1163"/>
      <c r="N71" s="1213"/>
    </row>
    <row r="72" spans="1:14" ht="15.75" thickBot="1">
      <c r="A72" s="1163"/>
      <c r="B72" s="1163"/>
      <c r="C72" s="1690" t="s">
        <v>622</v>
      </c>
      <c r="D72" s="1691"/>
      <c r="E72" s="1219"/>
      <c r="F72" s="1180">
        <v>-0.1</v>
      </c>
      <c r="G72" s="1180"/>
      <c r="H72" s="1180"/>
      <c r="I72" s="1205">
        <v>-0.1</v>
      </c>
      <c r="J72" s="1163"/>
      <c r="K72" s="1163"/>
      <c r="L72" s="1163"/>
      <c r="M72" s="1213"/>
      <c r="N72" s="1163"/>
    </row>
    <row r="73" spans="1:14" ht="15.75" thickBot="1">
      <c r="A73" s="1163"/>
      <c r="B73" s="1163"/>
      <c r="C73" s="1680" t="s">
        <v>642</v>
      </c>
      <c r="D73" s="1681"/>
      <c r="E73" s="1237">
        <v>0.9</v>
      </c>
      <c r="F73" s="1237">
        <v>6.1</v>
      </c>
      <c r="G73" s="1237">
        <v>0.3</v>
      </c>
      <c r="H73" s="1237">
        <v>0</v>
      </c>
      <c r="I73" s="1237">
        <v>7.3</v>
      </c>
      <c r="J73" s="1163"/>
      <c r="K73" s="1163"/>
      <c r="L73" s="1163"/>
      <c r="M73" s="1213"/>
      <c r="N73" s="1163"/>
    </row>
    <row r="74" spans="1:14" ht="15.75" thickBot="1">
      <c r="A74" s="1163"/>
      <c r="B74" s="1163"/>
      <c r="C74" s="1238"/>
      <c r="D74" s="1239"/>
      <c r="E74" s="1240"/>
      <c r="F74" s="1240"/>
      <c r="G74" s="1240"/>
      <c r="H74" s="1241"/>
      <c r="I74" s="1241"/>
      <c r="J74" s="1241"/>
      <c r="K74" s="1241"/>
      <c r="L74" s="1163"/>
      <c r="M74" s="1163"/>
      <c r="N74" s="1163"/>
    </row>
    <row r="75" spans="1:14" ht="15.75" thickBot="1">
      <c r="A75" s="1163"/>
      <c r="B75" s="1163"/>
      <c r="C75" s="1680" t="s">
        <v>643</v>
      </c>
      <c r="D75" s="1681"/>
      <c r="E75" s="1242">
        <v>45.2</v>
      </c>
      <c r="F75" s="1201"/>
      <c r="G75" s="1163"/>
      <c r="H75" s="1163"/>
      <c r="I75" s="1163"/>
      <c r="J75" s="1163"/>
      <c r="K75" s="1163"/>
      <c r="L75" s="1163"/>
      <c r="M75" s="1213"/>
      <c r="N75" s="1163"/>
    </row>
    <row r="76" spans="1:14" ht="15.75" thickBot="1">
      <c r="A76" s="1163"/>
      <c r="B76" s="1163"/>
      <c r="C76" s="1680" t="s">
        <v>622</v>
      </c>
      <c r="D76" s="1681"/>
      <c r="E76" s="1243">
        <v>-1.3</v>
      </c>
      <c r="F76" s="1201"/>
      <c r="G76" s="1163"/>
      <c r="H76" s="1163"/>
      <c r="I76" s="1163"/>
      <c r="J76" s="1163"/>
      <c r="K76" s="1163"/>
      <c r="L76" s="1163"/>
      <c r="M76" s="1213"/>
      <c r="N76" s="1163"/>
    </row>
    <row r="77" spans="1:14" ht="15.75" thickBot="1">
      <c r="A77" s="1163"/>
      <c r="B77" s="1163"/>
      <c r="C77" s="1680" t="s">
        <v>644</v>
      </c>
      <c r="D77" s="1681"/>
      <c r="E77" s="1237">
        <v>43.9</v>
      </c>
      <c r="F77" s="1163"/>
      <c r="G77" s="1163"/>
      <c r="H77" s="1163"/>
      <c r="I77" s="1163"/>
      <c r="J77" s="1163"/>
      <c r="K77" s="1163"/>
      <c r="L77" s="1163"/>
      <c r="M77" s="1213"/>
      <c r="N77" s="1163"/>
    </row>
    <row r="78" spans="1:14" ht="15" thickBot="1">
      <c r="A78" s="1163"/>
      <c r="B78" s="1163"/>
      <c r="C78" s="1244"/>
      <c r="D78" s="1244"/>
      <c r="E78" s="1244"/>
      <c r="F78" s="1244"/>
      <c r="G78" s="1244"/>
      <c r="H78" s="1244"/>
      <c r="I78" s="1244"/>
      <c r="J78" s="1244"/>
      <c r="K78" s="1244"/>
      <c r="L78" s="1163"/>
      <c r="M78" s="1163"/>
      <c r="N78" s="1163"/>
    </row>
    <row r="79" spans="1:14" ht="18.75" thickBot="1">
      <c r="A79" s="1163"/>
      <c r="B79" s="1163"/>
      <c r="C79" s="1245" t="s">
        <v>645</v>
      </c>
      <c r="D79" s="1246"/>
      <c r="E79" s="1247"/>
      <c r="F79" s="1247"/>
      <c r="G79" s="1248"/>
      <c r="H79" s="1163"/>
      <c r="I79" s="1163"/>
      <c r="J79" s="1163"/>
      <c r="K79" s="1163"/>
      <c r="L79" s="1163"/>
      <c r="M79" s="1163"/>
      <c r="N79" s="1163"/>
    </row>
    <row r="80" spans="1:14" ht="60.75" thickBot="1">
      <c r="A80" s="1163"/>
      <c r="B80" s="1163"/>
      <c r="C80" s="1682" t="s">
        <v>609</v>
      </c>
      <c r="D80" s="1683"/>
      <c r="E80" s="1249" t="s">
        <v>200</v>
      </c>
      <c r="F80" s="1250" t="s">
        <v>646</v>
      </c>
      <c r="G80" s="1250" t="s">
        <v>647</v>
      </c>
      <c r="H80" s="1163"/>
      <c r="I80" s="1163"/>
      <c r="J80" s="1163"/>
      <c r="K80" s="1163"/>
      <c r="L80" s="1163"/>
      <c r="M80" s="1163"/>
      <c r="N80" s="1163"/>
    </row>
    <row r="81" spans="1:14" ht="15.75" thickBot="1">
      <c r="A81" s="1163"/>
      <c r="B81" s="1163"/>
      <c r="C81" s="1684"/>
      <c r="D81" s="1685"/>
      <c r="E81" s="1251" t="s">
        <v>566</v>
      </c>
      <c r="F81" s="1217" t="s">
        <v>566</v>
      </c>
      <c r="G81" s="1217" t="s">
        <v>566</v>
      </c>
      <c r="H81" s="1163"/>
      <c r="I81" s="1163"/>
      <c r="J81" s="1163"/>
      <c r="K81" s="1163"/>
      <c r="L81" s="1163"/>
      <c r="M81" s="1163"/>
      <c r="N81" s="1163"/>
    </row>
    <row r="82" spans="1:14" ht="14.25">
      <c r="A82" s="1163"/>
      <c r="B82" s="1163"/>
      <c r="C82" s="1686" t="s">
        <v>648</v>
      </c>
      <c r="D82" s="1687"/>
      <c r="E82" s="1220">
        <v>8.8000000000000007</v>
      </c>
      <c r="F82" s="1180">
        <v>8.8000000000000007</v>
      </c>
      <c r="G82" s="1219">
        <v>0</v>
      </c>
      <c r="H82" s="1163"/>
      <c r="I82" s="1163"/>
      <c r="J82" s="1163"/>
      <c r="K82" s="1163"/>
      <c r="L82" s="1163"/>
      <c r="M82" s="1163"/>
      <c r="N82" s="1163"/>
    </row>
    <row r="83" spans="1:14" ht="14.25">
      <c r="A83" s="1163"/>
      <c r="B83" s="1163"/>
      <c r="C83" s="1674" t="s">
        <v>649</v>
      </c>
      <c r="D83" s="1675"/>
      <c r="E83" s="1184">
        <v>0</v>
      </c>
      <c r="F83" s="1180">
        <v>0</v>
      </c>
      <c r="G83" s="1219">
        <v>0</v>
      </c>
      <c r="H83" s="1163"/>
      <c r="I83" s="1163"/>
      <c r="J83" s="1163"/>
      <c r="K83" s="1163"/>
      <c r="L83" s="1163"/>
      <c r="M83" s="1163"/>
      <c r="N83" s="1163"/>
    </row>
    <row r="84" spans="1:14" ht="14.25">
      <c r="A84" s="1163"/>
      <c r="B84" s="1163"/>
      <c r="C84" s="1674" t="s">
        <v>650</v>
      </c>
      <c r="D84" s="1675"/>
      <c r="E84" s="1184">
        <v>2.6</v>
      </c>
      <c r="F84" s="1180">
        <v>2.6</v>
      </c>
      <c r="G84" s="1219">
        <v>0</v>
      </c>
      <c r="H84" s="1163"/>
      <c r="I84" s="1163"/>
      <c r="J84" s="1163"/>
      <c r="K84" s="1163"/>
      <c r="L84" s="1163"/>
      <c r="M84" s="1163"/>
      <c r="N84" s="1163"/>
    </row>
    <row r="85" spans="1:14" ht="14.25">
      <c r="A85" s="1163"/>
      <c r="B85" s="1163"/>
      <c r="C85" s="1674" t="s">
        <v>651</v>
      </c>
      <c r="D85" s="1675"/>
      <c r="E85" s="1184">
        <v>0.4</v>
      </c>
      <c r="F85" s="1180">
        <v>0.4</v>
      </c>
      <c r="G85" s="1219">
        <v>0</v>
      </c>
      <c r="H85" s="1163"/>
      <c r="I85" s="1163"/>
      <c r="J85" s="1163"/>
      <c r="K85" s="1163"/>
      <c r="L85" s="1163"/>
      <c r="M85" s="1163"/>
      <c r="N85" s="1163"/>
    </row>
    <row r="86" spans="1:14" ht="14.25">
      <c r="A86" s="1163"/>
      <c r="B86" s="1163"/>
      <c r="C86" s="1674" t="s">
        <v>652</v>
      </c>
      <c r="D86" s="1675"/>
      <c r="E86" s="1184">
        <v>2</v>
      </c>
      <c r="F86" s="1180">
        <v>2</v>
      </c>
      <c r="G86" s="1219">
        <v>0</v>
      </c>
      <c r="H86" s="1163"/>
      <c r="I86" s="1163"/>
      <c r="J86" s="1163"/>
      <c r="K86" s="1163"/>
      <c r="L86" s="1163"/>
      <c r="M86" s="1163"/>
      <c r="N86" s="1163"/>
    </row>
    <row r="87" spans="1:14" ht="14.25">
      <c r="A87" s="1163"/>
      <c r="B87" s="1163"/>
      <c r="C87" s="1674" t="s">
        <v>653</v>
      </c>
      <c r="D87" s="1675"/>
      <c r="E87" s="1184">
        <v>0.6</v>
      </c>
      <c r="F87" s="1180">
        <v>0.6</v>
      </c>
      <c r="G87" s="1219">
        <v>0</v>
      </c>
      <c r="H87" s="1163"/>
      <c r="I87" s="1163"/>
      <c r="J87" s="1163"/>
      <c r="K87" s="1163"/>
      <c r="L87" s="1163"/>
      <c r="M87" s="1163"/>
      <c r="N87" s="1163"/>
    </row>
    <row r="88" spans="1:14" ht="15" thickBot="1">
      <c r="A88" s="1163"/>
      <c r="B88" s="1163"/>
      <c r="C88" s="1676" t="s">
        <v>654</v>
      </c>
      <c r="D88" s="1677"/>
      <c r="E88" s="1184">
        <v>0.5</v>
      </c>
      <c r="F88" s="1180">
        <v>0</v>
      </c>
      <c r="G88" s="1219">
        <v>0.5</v>
      </c>
      <c r="H88" s="1201"/>
      <c r="I88" s="1163"/>
      <c r="J88" s="1163"/>
      <c r="K88" s="1163"/>
      <c r="L88" s="1163"/>
      <c r="M88" s="1163"/>
      <c r="N88" s="1163"/>
    </row>
    <row r="89" spans="1:14" ht="15.75" thickBot="1">
      <c r="A89" s="1163"/>
      <c r="B89" s="1163"/>
      <c r="C89" s="1678" t="s">
        <v>655</v>
      </c>
      <c r="D89" s="1679"/>
      <c r="E89" s="1205">
        <v>14.9</v>
      </c>
      <c r="F89" s="1205">
        <v>14.4</v>
      </c>
      <c r="G89" s="1205">
        <v>0.5</v>
      </c>
      <c r="H89" s="1201"/>
      <c r="I89" s="1163"/>
      <c r="J89" s="1163"/>
      <c r="K89" s="1163"/>
      <c r="L89" s="1163"/>
      <c r="M89" s="1163"/>
      <c r="N89" s="1163"/>
    </row>
  </sheetData>
  <mergeCells count="53">
    <mergeCell ref="C20:D20"/>
    <mergeCell ref="C8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44:C49"/>
    <mergeCell ref="C21:D21"/>
    <mergeCell ref="C22:D22"/>
    <mergeCell ref="C23:D23"/>
    <mergeCell ref="C24:D24"/>
    <mergeCell ref="C25:D25"/>
    <mergeCell ref="C28:D30"/>
    <mergeCell ref="E28:F28"/>
    <mergeCell ref="C31:C32"/>
    <mergeCell ref="C33:C34"/>
    <mergeCell ref="C35:C37"/>
    <mergeCell ref="C38:C43"/>
    <mergeCell ref="C68:D68"/>
    <mergeCell ref="C50:C55"/>
    <mergeCell ref="C56:D56"/>
    <mergeCell ref="C57:D57"/>
    <mergeCell ref="C58:D58"/>
    <mergeCell ref="C61:D61"/>
    <mergeCell ref="C62:D62"/>
    <mergeCell ref="C63:D63"/>
    <mergeCell ref="C64:D64"/>
    <mergeCell ref="C65:D65"/>
    <mergeCell ref="C66:D66"/>
    <mergeCell ref="C67:D67"/>
    <mergeCell ref="C84:D84"/>
    <mergeCell ref="C69:D69"/>
    <mergeCell ref="C70:D70"/>
    <mergeCell ref="C71:D71"/>
    <mergeCell ref="C72:D72"/>
    <mergeCell ref="C73:D73"/>
    <mergeCell ref="C75:D75"/>
    <mergeCell ref="C76:D76"/>
    <mergeCell ref="C77:D77"/>
    <mergeCell ref="C80:D81"/>
    <mergeCell ref="C82:D82"/>
    <mergeCell ref="C83:D83"/>
    <mergeCell ref="C85:D85"/>
    <mergeCell ref="C86:D86"/>
    <mergeCell ref="C87:D87"/>
    <mergeCell ref="C88:D88"/>
    <mergeCell ref="C89:D89"/>
  </mergeCells>
  <phoneticPr fontId="1" type="noConversion"/>
  <dataValidations count="1">
    <dataValidation type="decimal" operator="lessThanOrEqual" allowBlank="1" showInputMessage="1" showErrorMessage="1" sqref="K24 E72:I72 E57:F57 E24:G24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C5FFFF"/>
    <pageSetUpPr fitToPage="1"/>
  </sheetPr>
  <dimension ref="A1:M101"/>
  <sheetViews>
    <sheetView workbookViewId="0">
      <selection sqref="A1:XFD1048576"/>
    </sheetView>
  </sheetViews>
  <sheetFormatPr defaultColWidth="8.85546875" defaultRowHeight="12.75"/>
  <cols>
    <col min="1" max="5" width="8.85546875" style="62" customWidth="1"/>
    <col min="6" max="6" width="25" style="62" customWidth="1"/>
    <col min="7" max="7" width="10.42578125" style="62" customWidth="1"/>
    <col min="8" max="8" width="11.7109375" style="62" customWidth="1"/>
    <col min="9" max="9" width="10.5703125" style="62" bestFit="1" customWidth="1"/>
    <col min="10" max="10" width="9.5703125" style="62" customWidth="1"/>
    <col min="11" max="11" width="8.5703125" style="62" bestFit="1" customWidth="1"/>
    <col min="12" max="12" width="7" style="62" bestFit="1" customWidth="1"/>
    <col min="13" max="16384" width="8.85546875" style="62"/>
  </cols>
  <sheetData>
    <row r="1" spans="1:13" ht="16.5" customHeight="1">
      <c r="A1" s="681" t="s">
        <v>656</v>
      </c>
      <c r="F1" s="118" t="s">
        <v>984</v>
      </c>
    </row>
    <row r="2" spans="1:13" ht="16.5" customHeight="1">
      <c r="A2" s="681"/>
    </row>
    <row r="3" spans="1:13" ht="16.5" customHeight="1">
      <c r="A3" s="681" t="s">
        <v>81</v>
      </c>
    </row>
    <row r="5" spans="1:13" ht="16.5" customHeight="1">
      <c r="A5" s="1252" t="s">
        <v>657</v>
      </c>
      <c r="B5" s="1053"/>
      <c r="C5" s="1053"/>
      <c r="D5" s="1053"/>
      <c r="E5" s="1053"/>
      <c r="F5" s="1253"/>
      <c r="G5" s="1253"/>
      <c r="H5" s="1253"/>
      <c r="I5" s="1253"/>
      <c r="J5" s="1253"/>
      <c r="K5" s="1253"/>
      <c r="L5" s="1253"/>
      <c r="M5" s="1253"/>
    </row>
    <row r="6" spans="1:13" ht="16.5" customHeight="1" thickBot="1">
      <c r="A6" s="1254"/>
      <c r="B6" s="1255"/>
      <c r="C6" s="1256"/>
      <c r="D6" s="1142"/>
      <c r="E6" s="1255"/>
      <c r="F6" s="1255"/>
      <c r="G6" s="1254"/>
      <c r="H6" s="1254"/>
      <c r="I6" s="1254"/>
      <c r="J6" s="1254"/>
      <c r="K6" s="1254"/>
      <c r="L6" s="1254"/>
      <c r="M6" s="1254"/>
    </row>
    <row r="7" spans="1:13" ht="16.5" customHeight="1" thickBot="1">
      <c r="A7" s="1253"/>
      <c r="B7" s="1257"/>
      <c r="C7" s="1258" t="s">
        <v>658</v>
      </c>
      <c r="D7" s="1259"/>
      <c r="E7" s="1260"/>
      <c r="F7" s="1260"/>
      <c r="G7" s="1260"/>
      <c r="H7" s="1261"/>
      <c r="I7" s="1262"/>
      <c r="J7" s="1253"/>
      <c r="K7" s="1253"/>
      <c r="L7" s="1253"/>
      <c r="M7" s="1253"/>
    </row>
    <row r="8" spans="1:13" ht="16.5" customHeight="1" thickBot="1">
      <c r="A8" s="1253"/>
      <c r="B8" s="1263"/>
      <c r="C8" s="1052"/>
      <c r="D8" s="1052"/>
      <c r="E8" s="1253"/>
      <c r="F8" s="1253"/>
      <c r="G8" s="1264" t="s">
        <v>566</v>
      </c>
      <c r="H8" s="1264" t="s">
        <v>566</v>
      </c>
      <c r="I8" s="1265"/>
      <c r="J8" s="1253"/>
      <c r="K8" s="1253"/>
      <c r="L8" s="1253"/>
      <c r="M8" s="1253"/>
    </row>
    <row r="9" spans="1:13" ht="16.5" customHeight="1">
      <c r="A9" s="1253"/>
      <c r="B9" s="1266"/>
      <c r="C9" s="1745" t="s">
        <v>659</v>
      </c>
      <c r="D9" s="1745"/>
      <c r="E9" s="1745"/>
      <c r="F9" s="1746"/>
      <c r="G9" s="1267"/>
      <c r="H9" s="1268"/>
      <c r="I9" s="1269"/>
      <c r="J9" s="1270"/>
      <c r="K9" s="1270"/>
      <c r="L9" s="1270"/>
      <c r="M9" s="1270"/>
    </row>
    <row r="10" spans="1:13" ht="16.5" customHeight="1">
      <c r="A10" s="1253"/>
      <c r="B10" s="1271"/>
      <c r="C10" s="1041"/>
      <c r="D10" s="1737" t="s">
        <v>660</v>
      </c>
      <c r="E10" s="1737"/>
      <c r="F10" s="1738"/>
      <c r="G10" s="1272">
        <v>5.1675739700000003</v>
      </c>
      <c r="H10" s="1273"/>
      <c r="I10" s="1274"/>
      <c r="J10" s="1275"/>
      <c r="K10" s="1275"/>
      <c r="L10" s="1275"/>
      <c r="M10" s="1270"/>
    </row>
    <row r="11" spans="1:13" ht="16.5" customHeight="1">
      <c r="A11" s="1253"/>
      <c r="B11" s="1271"/>
      <c r="C11" s="1041"/>
      <c r="D11" s="1737" t="s">
        <v>661</v>
      </c>
      <c r="E11" s="1737"/>
      <c r="F11" s="1738"/>
      <c r="G11" s="1272">
        <v>0.22460693000000001</v>
      </c>
      <c r="H11" s="1273"/>
      <c r="I11" s="1274"/>
      <c r="J11" s="1275"/>
      <c r="K11" s="1275"/>
      <c r="L11" s="1275"/>
      <c r="M11" s="1270"/>
    </row>
    <row r="12" spans="1:13" ht="16.5" customHeight="1">
      <c r="A12" s="1253"/>
      <c r="B12" s="1271"/>
      <c r="C12" s="1041"/>
      <c r="D12" s="1737" t="s">
        <v>662</v>
      </c>
      <c r="E12" s="1737"/>
      <c r="F12" s="1738"/>
      <c r="G12" s="1272">
        <v>18.0171204</v>
      </c>
      <c r="H12" s="1273"/>
      <c r="I12" s="1274"/>
      <c r="J12" s="1275"/>
      <c r="K12" s="1275"/>
      <c r="L12" s="1275"/>
      <c r="M12" s="1270"/>
    </row>
    <row r="13" spans="1:13" ht="16.5" customHeight="1">
      <c r="A13" s="1253"/>
      <c r="B13" s="1271"/>
      <c r="C13" s="1041"/>
      <c r="D13" s="1737" t="s">
        <v>663</v>
      </c>
      <c r="E13" s="1737"/>
      <c r="F13" s="1738"/>
      <c r="G13" s="1272">
        <v>0.71999599999999997</v>
      </c>
      <c r="H13" s="1273"/>
      <c r="I13" s="1274"/>
      <c r="J13" s="1275"/>
      <c r="K13" s="1275"/>
      <c r="L13" s="1275"/>
      <c r="M13" s="1270"/>
    </row>
    <row r="14" spans="1:13" ht="16.5" customHeight="1">
      <c r="A14" s="1253"/>
      <c r="B14" s="1271"/>
      <c r="C14" s="1041"/>
      <c r="D14" s="1737" t="s">
        <v>664</v>
      </c>
      <c r="E14" s="1737"/>
      <c r="F14" s="1738"/>
      <c r="G14" s="1272">
        <v>0</v>
      </c>
      <c r="H14" s="1273"/>
      <c r="I14" s="1274"/>
      <c r="J14" s="1275"/>
      <c r="K14" s="1275"/>
      <c r="L14" s="1275"/>
      <c r="M14" s="1270"/>
    </row>
    <row r="15" spans="1:13" ht="29.25" customHeight="1">
      <c r="A15" s="1253"/>
      <c r="B15" s="1271"/>
      <c r="C15" s="1276"/>
      <c r="D15" s="1573" t="s">
        <v>665</v>
      </c>
      <c r="E15" s="1573"/>
      <c r="F15" s="1744"/>
      <c r="G15" s="1277">
        <v>0</v>
      </c>
      <c r="H15" s="1273">
        <v>24.129297299999998</v>
      </c>
      <c r="I15" s="1274"/>
      <c r="J15" s="1275"/>
      <c r="K15" s="1275"/>
      <c r="L15" s="1275"/>
      <c r="M15" s="1270"/>
    </row>
    <row r="16" spans="1:13" ht="16.5" customHeight="1">
      <c r="A16" s="1253"/>
      <c r="B16" s="1271"/>
      <c r="C16" s="1745" t="s">
        <v>666</v>
      </c>
      <c r="D16" s="1745"/>
      <c r="E16" s="1745"/>
      <c r="F16" s="1746"/>
      <c r="G16" s="1278"/>
      <c r="H16" s="1279"/>
      <c r="I16" s="1274"/>
      <c r="J16" s="1275"/>
      <c r="K16" s="1275"/>
      <c r="L16" s="1275"/>
      <c r="M16" s="1270"/>
    </row>
    <row r="17" spans="1:13" ht="16.5" customHeight="1">
      <c r="A17" s="1253"/>
      <c r="B17" s="1271"/>
      <c r="C17" s="1276"/>
      <c r="D17" s="1735" t="s">
        <v>667</v>
      </c>
      <c r="E17" s="1735"/>
      <c r="F17" s="1736"/>
      <c r="G17" s="1272">
        <v>0</v>
      </c>
      <c r="H17" s="1273"/>
      <c r="I17" s="1274"/>
      <c r="J17" s="1275"/>
      <c r="K17" s="1275"/>
      <c r="L17" s="1275"/>
      <c r="M17" s="1270"/>
    </row>
    <row r="18" spans="1:13" ht="16.5" customHeight="1">
      <c r="A18" s="1253"/>
      <c r="B18" s="1271"/>
      <c r="C18" s="1276"/>
      <c r="D18" s="1747" t="s">
        <v>668</v>
      </c>
      <c r="E18" s="1740"/>
      <c r="F18" s="1725"/>
      <c r="G18" s="1272">
        <v>0</v>
      </c>
      <c r="H18" s="1273"/>
      <c r="I18" s="1274"/>
      <c r="J18" s="1275"/>
      <c r="K18" s="1275"/>
      <c r="L18" s="1275"/>
      <c r="M18" s="1270"/>
    </row>
    <row r="19" spans="1:13" ht="16.5" customHeight="1">
      <c r="A19" s="1253"/>
      <c r="B19" s="1271"/>
      <c r="C19" s="1276"/>
      <c r="D19" s="1747" t="s">
        <v>669</v>
      </c>
      <c r="E19" s="1740"/>
      <c r="F19" s="1725"/>
      <c r="G19" s="1277">
        <v>0</v>
      </c>
      <c r="H19" s="1273">
        <v>0</v>
      </c>
      <c r="I19" s="1274"/>
      <c r="J19" s="1275"/>
      <c r="K19" s="1275"/>
      <c r="L19" s="1275"/>
      <c r="M19" s="1270"/>
    </row>
    <row r="20" spans="1:13" ht="16.5" customHeight="1">
      <c r="A20" s="1253"/>
      <c r="B20" s="1271"/>
      <c r="C20" s="1745" t="s">
        <v>670</v>
      </c>
      <c r="D20" s="1740"/>
      <c r="E20" s="1740"/>
      <c r="F20" s="1725"/>
      <c r="G20" s="1278"/>
      <c r="H20" s="1279"/>
      <c r="I20" s="1274"/>
      <c r="J20" s="1275"/>
      <c r="K20" s="1275"/>
      <c r="L20" s="1275"/>
      <c r="M20" s="1270"/>
    </row>
    <row r="21" spans="1:13" ht="32.25" customHeight="1">
      <c r="A21" s="1253"/>
      <c r="B21" s="1271"/>
      <c r="C21" s="1276"/>
      <c r="D21" s="1735" t="s">
        <v>671</v>
      </c>
      <c r="E21" s="1735"/>
      <c r="F21" s="1736"/>
      <c r="G21" s="1272">
        <v>-0.5</v>
      </c>
      <c r="H21" s="1273"/>
      <c r="I21" s="1274"/>
      <c r="J21" s="1275"/>
      <c r="K21" s="1275"/>
      <c r="L21" s="1275"/>
      <c r="M21" s="1270"/>
    </row>
    <row r="22" spans="1:13" ht="16.5" customHeight="1">
      <c r="A22" s="1253"/>
      <c r="B22" s="1271"/>
      <c r="C22" s="1276"/>
      <c r="D22" s="1737" t="s">
        <v>672</v>
      </c>
      <c r="E22" s="1737"/>
      <c r="F22" s="1738"/>
      <c r="G22" s="1272">
        <v>23.1</v>
      </c>
      <c r="H22" s="1273"/>
      <c r="I22" s="1274"/>
      <c r="J22" s="1275"/>
      <c r="K22" s="1275"/>
      <c r="L22" s="1275"/>
      <c r="M22" s="1270"/>
    </row>
    <row r="23" spans="1:13" ht="16.5" customHeight="1">
      <c r="A23" s="1253"/>
      <c r="B23" s="1271"/>
      <c r="C23" s="1276"/>
      <c r="D23" s="1739" t="s">
        <v>673</v>
      </c>
      <c r="E23" s="1740"/>
      <c r="F23" s="1725"/>
      <c r="G23" s="1277">
        <v>20.5</v>
      </c>
      <c r="H23" s="1273">
        <v>43.1</v>
      </c>
      <c r="I23" s="1274"/>
      <c r="J23" s="1275"/>
      <c r="K23" s="1275"/>
      <c r="L23" s="1275"/>
      <c r="M23" s="1270"/>
    </row>
    <row r="24" spans="1:13" ht="16.5" customHeight="1">
      <c r="A24" s="1253"/>
      <c r="B24" s="1271"/>
      <c r="C24" s="1276"/>
      <c r="D24" s="1280"/>
      <c r="E24" s="1281"/>
      <c r="F24" s="1282"/>
      <c r="G24" s="1278"/>
      <c r="H24" s="1279"/>
      <c r="I24" s="1274"/>
      <c r="J24" s="1275"/>
      <c r="K24" s="1275"/>
      <c r="L24" s="1275"/>
      <c r="M24" s="1270"/>
    </row>
    <row r="25" spans="1:13" ht="16.5" customHeight="1" thickBot="1">
      <c r="A25" s="1253"/>
      <c r="B25" s="1283"/>
      <c r="C25" s="1721" t="s">
        <v>674</v>
      </c>
      <c r="D25" s="1741"/>
      <c r="E25" s="1741"/>
      <c r="F25" s="1727"/>
      <c r="G25" s="1284"/>
      <c r="H25" s="1285">
        <v>67.229297299999999</v>
      </c>
      <c r="I25" s="1274"/>
      <c r="J25" s="1275"/>
      <c r="K25" s="1275"/>
      <c r="L25" s="1275"/>
      <c r="M25" s="1270"/>
    </row>
    <row r="26" spans="1:13" ht="16.5" customHeight="1" thickBot="1">
      <c r="A26" s="1253"/>
      <c r="B26" s="1286"/>
      <c r="C26" s="1287"/>
      <c r="D26" s="1287"/>
      <c r="E26" s="1287"/>
      <c r="F26" s="1288"/>
      <c r="G26" s="1289"/>
      <c r="H26" s="1289"/>
      <c r="I26" s="1290"/>
      <c r="J26" s="1275"/>
      <c r="K26" s="1275"/>
      <c r="L26" s="1275"/>
      <c r="M26" s="1270"/>
    </row>
    <row r="27" spans="1:13" ht="16.5" customHeight="1" thickBot="1">
      <c r="A27" s="1253"/>
      <c r="B27" s="1255"/>
      <c r="C27" s="1260"/>
      <c r="D27" s="1253"/>
      <c r="E27" s="1291"/>
      <c r="F27" s="1255"/>
      <c r="G27" s="1275"/>
      <c r="H27" s="1275"/>
      <c r="I27" s="1275"/>
      <c r="J27" s="1275"/>
      <c r="K27" s="1275"/>
      <c r="L27" s="1275"/>
      <c r="M27" s="1270"/>
    </row>
    <row r="28" spans="1:13" ht="16.5" customHeight="1">
      <c r="A28" s="1253"/>
      <c r="B28" s="1257"/>
      <c r="C28" s="1292" t="s">
        <v>675</v>
      </c>
      <c r="D28" s="1260"/>
      <c r="E28" s="1260"/>
      <c r="F28" s="1293"/>
      <c r="G28" s="1294"/>
      <c r="H28" s="1295"/>
      <c r="I28" s="1295"/>
      <c r="J28" s="1295"/>
      <c r="K28" s="1295"/>
      <c r="L28" s="1295"/>
      <c r="M28" s="1296"/>
    </row>
    <row r="29" spans="1:13" ht="16.5" customHeight="1" thickBot="1">
      <c r="A29" s="1253"/>
      <c r="B29" s="1263"/>
      <c r="C29" s="1253"/>
      <c r="D29" s="1258" t="s">
        <v>676</v>
      </c>
      <c r="E29" s="1258"/>
      <c r="F29" s="1254"/>
      <c r="G29" s="1297"/>
      <c r="H29" s="1297"/>
      <c r="I29" s="1275"/>
      <c r="J29" s="1275"/>
      <c r="K29" s="1275"/>
      <c r="L29" s="1275"/>
      <c r="M29" s="1269"/>
    </row>
    <row r="30" spans="1:13" ht="16.5" customHeight="1" thickBot="1">
      <c r="A30" s="1253"/>
      <c r="B30" s="1298"/>
      <c r="C30" s="1253"/>
      <c r="D30" s="1282"/>
      <c r="E30" s="1276" t="s">
        <v>677</v>
      </c>
      <c r="F30" s="1282"/>
      <c r="G30" s="1299" t="s">
        <v>566</v>
      </c>
      <c r="H30" s="1300"/>
      <c r="I30" s="1275"/>
      <c r="J30" s="1275"/>
      <c r="K30" s="1275"/>
      <c r="L30" s="1275"/>
      <c r="M30" s="1269"/>
    </row>
    <row r="31" spans="1:13" ht="16.5" customHeight="1">
      <c r="A31" s="1253"/>
      <c r="B31" s="1298"/>
      <c r="C31" s="1253"/>
      <c r="D31" s="1282"/>
      <c r="E31" s="1301" t="s">
        <v>678</v>
      </c>
      <c r="F31" s="1253"/>
      <c r="G31" s="1302">
        <v>-0.3</v>
      </c>
      <c r="H31" s="1300"/>
      <c r="I31" s="1275"/>
      <c r="J31" s="1275"/>
      <c r="K31" s="1275"/>
      <c r="L31" s="1275"/>
      <c r="M31" s="1269"/>
    </row>
    <row r="32" spans="1:13" ht="16.5" customHeight="1">
      <c r="A32" s="1253"/>
      <c r="B32" s="1298"/>
      <c r="C32" s="1253"/>
      <c r="D32" s="1282"/>
      <c r="E32" s="1301" t="s">
        <v>679</v>
      </c>
      <c r="F32" s="1253"/>
      <c r="G32" s="1302">
        <v>-0.5</v>
      </c>
      <c r="H32" s="1300"/>
      <c r="I32" s="1275"/>
      <c r="J32" s="1275"/>
      <c r="K32" s="1275"/>
      <c r="L32" s="1275"/>
      <c r="M32" s="1269"/>
    </row>
    <row r="33" spans="1:13" ht="16.5" customHeight="1">
      <c r="A33" s="1254"/>
      <c r="B33" s="1303"/>
      <c r="C33" s="1254"/>
      <c r="D33" s="1282"/>
      <c r="E33" s="1301" t="s">
        <v>680</v>
      </c>
      <c r="F33" s="1254"/>
      <c r="G33" s="1302">
        <v>-0.2</v>
      </c>
      <c r="H33" s="1300"/>
      <c r="I33" s="1297"/>
      <c r="J33" s="1297"/>
      <c r="K33" s="1297"/>
      <c r="L33" s="1297"/>
      <c r="M33" s="1304"/>
    </row>
    <row r="34" spans="1:13" ht="16.5" customHeight="1" thickBot="1">
      <c r="A34" s="1254"/>
      <c r="B34" s="1303"/>
      <c r="C34" s="1254"/>
      <c r="D34" s="1282"/>
      <c r="E34" s="1726" t="s">
        <v>200</v>
      </c>
      <c r="F34" s="1742"/>
      <c r="G34" s="1305">
        <v>-1</v>
      </c>
      <c r="H34" s="1300"/>
      <c r="I34" s="1297"/>
      <c r="J34" s="1297"/>
      <c r="K34" s="1297"/>
      <c r="L34" s="1297"/>
      <c r="M34" s="1304"/>
    </row>
    <row r="35" spans="1:13" ht="16.5" customHeight="1" thickTop="1">
      <c r="A35" s="1254"/>
      <c r="B35" s="1303"/>
      <c r="C35" s="1142"/>
      <c r="D35" s="1282"/>
      <c r="E35" s="1282"/>
      <c r="F35" s="1282"/>
      <c r="G35" s="1300"/>
      <c r="H35" s="1300"/>
      <c r="I35" s="1297"/>
      <c r="J35" s="1297"/>
      <c r="K35" s="1297"/>
      <c r="L35" s="1297"/>
      <c r="M35" s="1304"/>
    </row>
    <row r="36" spans="1:13" ht="48.75" customHeight="1">
      <c r="A36" s="1254"/>
      <c r="B36" s="1283"/>
      <c r="C36" s="1282"/>
      <c r="D36" s="1282"/>
      <c r="E36" s="1743" t="s">
        <v>681</v>
      </c>
      <c r="F36" s="1743"/>
      <c r="G36" s="1306" t="s">
        <v>682</v>
      </c>
      <c r="H36" s="1306" t="s">
        <v>683</v>
      </c>
      <c r="I36" s="1306" t="s">
        <v>684</v>
      </c>
      <c r="J36" s="1306" t="s">
        <v>685</v>
      </c>
      <c r="K36" s="1307" t="s">
        <v>686</v>
      </c>
      <c r="L36" s="1308" t="s">
        <v>687</v>
      </c>
      <c r="M36" s="1304"/>
    </row>
    <row r="37" spans="1:13" ht="16.5" customHeight="1">
      <c r="A37" s="1254"/>
      <c r="B37" s="1283"/>
      <c r="C37" s="1282"/>
      <c r="D37" s="1282"/>
      <c r="E37" s="1733" t="s">
        <v>688</v>
      </c>
      <c r="F37" s="1733"/>
      <c r="G37" s="1309" t="s">
        <v>203</v>
      </c>
      <c r="H37" s="1309" t="s">
        <v>203</v>
      </c>
      <c r="I37" s="1309" t="s">
        <v>203</v>
      </c>
      <c r="J37" s="1309" t="s">
        <v>203</v>
      </c>
      <c r="K37" s="1310" t="s">
        <v>203</v>
      </c>
      <c r="L37" s="1309"/>
      <c r="M37" s="1304"/>
    </row>
    <row r="38" spans="1:13" ht="16.5" customHeight="1">
      <c r="A38" s="1254"/>
      <c r="B38" s="1283"/>
      <c r="C38" s="1282"/>
      <c r="D38" s="1282"/>
      <c r="E38" s="1730" t="s">
        <v>994</v>
      </c>
      <c r="F38" s="1734"/>
      <c r="G38" s="1311">
        <v>10.9</v>
      </c>
      <c r="H38" s="1311">
        <v>10.6</v>
      </c>
      <c r="I38" s="1312">
        <v>0.30000000000000071</v>
      </c>
      <c r="J38" s="1311">
        <v>0.3</v>
      </c>
      <c r="K38" s="1312">
        <v>7.2164496600635175E-16</v>
      </c>
      <c r="L38" s="1313"/>
      <c r="M38" s="1304"/>
    </row>
    <row r="39" spans="1:13" ht="16.5" customHeight="1">
      <c r="A39" s="1254"/>
      <c r="B39" s="1283"/>
      <c r="C39" s="1282"/>
      <c r="D39" s="1282"/>
      <c r="E39" s="1730" t="s">
        <v>995</v>
      </c>
      <c r="F39" s="1731"/>
      <c r="G39" s="1311">
        <v>1.1000000000000001</v>
      </c>
      <c r="H39" s="1311">
        <v>1.1000000000000001</v>
      </c>
      <c r="I39" s="1312">
        <v>0</v>
      </c>
      <c r="J39" s="1311">
        <v>0.5</v>
      </c>
      <c r="K39" s="1312">
        <v>-0.5</v>
      </c>
      <c r="L39" s="1314"/>
      <c r="M39" s="1304"/>
    </row>
    <row r="40" spans="1:13" ht="16.5" customHeight="1">
      <c r="A40" s="1254"/>
      <c r="B40" s="1283"/>
      <c r="C40" s="1282"/>
      <c r="D40" s="1282"/>
      <c r="E40" s="1730" t="s">
        <v>996</v>
      </c>
      <c r="F40" s="1731"/>
      <c r="G40" s="1311">
        <v>2.9</v>
      </c>
      <c r="H40" s="1311">
        <v>2.7</v>
      </c>
      <c r="I40" s="1312">
        <v>0.2</v>
      </c>
      <c r="J40" s="1311">
        <v>0.2</v>
      </c>
      <c r="K40" s="1312">
        <v>-2.7755575615628914E-16</v>
      </c>
      <c r="L40" s="1314"/>
      <c r="M40" s="1304"/>
    </row>
    <row r="41" spans="1:13" ht="16.5" customHeight="1">
      <c r="A41" s="1254"/>
      <c r="B41" s="1283"/>
      <c r="C41" s="1282"/>
      <c r="D41" s="1282"/>
      <c r="E41" s="1730"/>
      <c r="F41" s="1731"/>
      <c r="G41" s="1311"/>
      <c r="H41" s="1311"/>
      <c r="I41" s="1312">
        <v>0</v>
      </c>
      <c r="J41" s="1311"/>
      <c r="K41" s="1312">
        <v>0</v>
      </c>
      <c r="L41" s="1314"/>
      <c r="M41" s="1304"/>
    </row>
    <row r="42" spans="1:13" ht="16.5" customHeight="1">
      <c r="A42" s="1254"/>
      <c r="B42" s="1283"/>
      <c r="C42" s="1282"/>
      <c r="D42" s="1282"/>
      <c r="E42" s="1730"/>
      <c r="F42" s="1731"/>
      <c r="G42" s="1311"/>
      <c r="H42" s="1311"/>
      <c r="I42" s="1312">
        <v>0</v>
      </c>
      <c r="J42" s="1311"/>
      <c r="K42" s="1312">
        <v>0</v>
      </c>
      <c r="L42" s="1314"/>
      <c r="M42" s="1304"/>
    </row>
    <row r="43" spans="1:13" ht="16.5" customHeight="1">
      <c r="A43" s="1254"/>
      <c r="B43" s="1283"/>
      <c r="C43" s="1282"/>
      <c r="D43" s="1282"/>
      <c r="E43" s="1730"/>
      <c r="F43" s="1731"/>
      <c r="G43" s="1311"/>
      <c r="H43" s="1311"/>
      <c r="I43" s="1312">
        <v>0</v>
      </c>
      <c r="J43" s="1311"/>
      <c r="K43" s="1312">
        <v>0</v>
      </c>
      <c r="L43" s="1314"/>
      <c r="M43" s="1304"/>
    </row>
    <row r="44" spans="1:13" ht="16.5" customHeight="1">
      <c r="A44" s="1254"/>
      <c r="B44" s="1283"/>
      <c r="C44" s="1282"/>
      <c r="D44" s="1282"/>
      <c r="E44" s="1730"/>
      <c r="F44" s="1731"/>
      <c r="G44" s="1311"/>
      <c r="H44" s="1311"/>
      <c r="I44" s="1312">
        <v>0</v>
      </c>
      <c r="J44" s="1311"/>
      <c r="K44" s="1312">
        <v>0</v>
      </c>
      <c r="L44" s="1314"/>
      <c r="M44" s="1304"/>
    </row>
    <row r="45" spans="1:13" ht="16.5" customHeight="1">
      <c r="A45" s="1254"/>
      <c r="B45" s="1283"/>
      <c r="C45" s="1282"/>
      <c r="D45" s="1282"/>
      <c r="E45" s="1730"/>
      <c r="F45" s="1731"/>
      <c r="G45" s="1311"/>
      <c r="H45" s="1311"/>
      <c r="I45" s="1312">
        <v>0</v>
      </c>
      <c r="J45" s="1311"/>
      <c r="K45" s="1312">
        <v>0</v>
      </c>
      <c r="L45" s="1314"/>
      <c r="M45" s="1304"/>
    </row>
    <row r="46" spans="1:13" ht="16.5" customHeight="1">
      <c r="A46" s="1254"/>
      <c r="B46" s="1283"/>
      <c r="C46" s="1282"/>
      <c r="D46" s="1282"/>
      <c r="E46" s="1730"/>
      <c r="F46" s="1731"/>
      <c r="G46" s="1311"/>
      <c r="H46" s="1311"/>
      <c r="I46" s="1312">
        <v>0</v>
      </c>
      <c r="J46" s="1311"/>
      <c r="K46" s="1312">
        <v>0</v>
      </c>
      <c r="L46" s="1314"/>
      <c r="M46" s="1304"/>
    </row>
    <row r="47" spans="1:13" ht="16.5" customHeight="1">
      <c r="A47" s="1254"/>
      <c r="B47" s="1283"/>
      <c r="C47" s="1282"/>
      <c r="D47" s="1282"/>
      <c r="E47" s="1730"/>
      <c r="F47" s="1731"/>
      <c r="G47" s="1311"/>
      <c r="H47" s="1311"/>
      <c r="I47" s="1312">
        <v>0</v>
      </c>
      <c r="J47" s="1311"/>
      <c r="K47" s="1312">
        <v>0</v>
      </c>
      <c r="L47" s="1314"/>
      <c r="M47" s="1304"/>
    </row>
    <row r="48" spans="1:13" ht="16.5" customHeight="1">
      <c r="A48" s="1254"/>
      <c r="B48" s="1283"/>
      <c r="C48" s="1282"/>
      <c r="D48" s="1282"/>
      <c r="E48" s="1730"/>
      <c r="F48" s="1731"/>
      <c r="G48" s="1311"/>
      <c r="H48" s="1311"/>
      <c r="I48" s="1312">
        <v>0</v>
      </c>
      <c r="J48" s="1311"/>
      <c r="K48" s="1312">
        <v>0</v>
      </c>
      <c r="L48" s="1314"/>
      <c r="M48" s="1304"/>
    </row>
    <row r="49" spans="1:13" ht="16.5" customHeight="1">
      <c r="A49" s="1254"/>
      <c r="B49" s="1283"/>
      <c r="C49" s="1282"/>
      <c r="D49" s="1282"/>
      <c r="E49" s="1730"/>
      <c r="F49" s="1731"/>
      <c r="G49" s="1311"/>
      <c r="H49" s="1311"/>
      <c r="I49" s="1312">
        <v>0</v>
      </c>
      <c r="J49" s="1311"/>
      <c r="K49" s="1312">
        <v>0</v>
      </c>
      <c r="L49" s="1314"/>
      <c r="M49" s="1304"/>
    </row>
    <row r="50" spans="1:13" ht="16.5" customHeight="1">
      <c r="A50" s="1254"/>
      <c r="B50" s="1283"/>
      <c r="C50" s="1282"/>
      <c r="D50" s="1282"/>
      <c r="E50" s="1730"/>
      <c r="F50" s="1731"/>
      <c r="G50" s="1311"/>
      <c r="H50" s="1311"/>
      <c r="I50" s="1312">
        <v>0</v>
      </c>
      <c r="J50" s="1311"/>
      <c r="K50" s="1312">
        <v>0</v>
      </c>
      <c r="L50" s="1315"/>
      <c r="M50" s="1304"/>
    </row>
    <row r="51" spans="1:13" ht="16.5" customHeight="1">
      <c r="A51" s="1254"/>
      <c r="B51" s="1283"/>
      <c r="C51" s="1282"/>
      <c r="D51" s="1282"/>
      <c r="E51" s="1732" t="s">
        <v>200</v>
      </c>
      <c r="F51" s="1725"/>
      <c r="G51" s="1316">
        <v>14.9</v>
      </c>
      <c r="H51" s="1316">
        <v>14.4</v>
      </c>
      <c r="I51" s="1316">
        <v>0.5</v>
      </c>
      <c r="J51" s="1316">
        <v>1</v>
      </c>
      <c r="K51" s="1316">
        <v>-0.5</v>
      </c>
      <c r="L51" s="1317"/>
      <c r="M51" s="1304"/>
    </row>
    <row r="52" spans="1:13" ht="16.5" customHeight="1">
      <c r="A52" s="1254"/>
      <c r="B52" s="1283"/>
      <c r="C52" s="1282"/>
      <c r="D52" s="1282"/>
      <c r="E52" s="1282"/>
      <c r="F52" s="1282"/>
      <c r="G52" s="1317"/>
      <c r="H52" s="1317"/>
      <c r="I52" s="1317"/>
      <c r="J52" s="1318" t="s">
        <v>689</v>
      </c>
      <c r="K52" s="1318" t="s">
        <v>689</v>
      </c>
      <c r="L52" s="1317"/>
      <c r="M52" s="1304"/>
    </row>
    <row r="53" spans="1:13" ht="16.5" customHeight="1" thickBot="1">
      <c r="A53" s="1254"/>
      <c r="B53" s="1283"/>
      <c r="C53" s="1282"/>
      <c r="D53" s="1282"/>
      <c r="E53" s="1282"/>
      <c r="F53" s="1282"/>
      <c r="G53" s="1317"/>
      <c r="H53" s="1317"/>
      <c r="I53" s="1317"/>
      <c r="J53" s="1317"/>
      <c r="K53" s="1317"/>
      <c r="L53" s="1317"/>
      <c r="M53" s="1304"/>
    </row>
    <row r="54" spans="1:13" ht="16.5" customHeight="1" thickBot="1">
      <c r="A54" s="1254"/>
      <c r="B54" s="1283"/>
      <c r="C54" s="1319"/>
      <c r="D54" s="1258" t="s">
        <v>690</v>
      </c>
      <c r="E54" s="1320"/>
      <c r="F54" s="1254"/>
      <c r="G54" s="1299" t="s">
        <v>203</v>
      </c>
      <c r="H54" s="1299" t="s">
        <v>203</v>
      </c>
      <c r="I54" s="1317"/>
      <c r="J54" s="1297"/>
      <c r="K54" s="1297"/>
      <c r="L54" s="1297"/>
      <c r="M54" s="1321"/>
    </row>
    <row r="55" spans="1:13" ht="33" customHeight="1" thickBot="1">
      <c r="A55" s="1254"/>
      <c r="B55" s="1283"/>
      <c r="C55" s="1282"/>
      <c r="D55" s="1254"/>
      <c r="E55" s="1254"/>
      <c r="F55" s="1254"/>
      <c r="G55" s="1322"/>
      <c r="H55" s="1323" t="s">
        <v>691</v>
      </c>
      <c r="I55" s="1317"/>
      <c r="J55" s="1297"/>
      <c r="K55" s="1297"/>
      <c r="L55" s="1297"/>
      <c r="M55" s="1321"/>
    </row>
    <row r="56" spans="1:13" ht="16.5" customHeight="1">
      <c r="A56" s="1254"/>
      <c r="B56" s="1283"/>
      <c r="C56" s="1282"/>
      <c r="D56" s="1254"/>
      <c r="E56" s="1320" t="s">
        <v>692</v>
      </c>
      <c r="F56" s="1254"/>
      <c r="G56" s="1302"/>
      <c r="H56" s="1324"/>
      <c r="I56" s="1317"/>
      <c r="J56" s="1297"/>
      <c r="K56" s="1297"/>
      <c r="L56" s="1297"/>
      <c r="M56" s="1321"/>
    </row>
    <row r="57" spans="1:13" ht="16.5" customHeight="1" thickBot="1">
      <c r="A57" s="1254"/>
      <c r="B57" s="1283"/>
      <c r="C57" s="1282"/>
      <c r="D57" s="1254"/>
      <c r="E57" s="1320" t="s">
        <v>693</v>
      </c>
      <c r="F57" s="1254"/>
      <c r="G57" s="1302"/>
      <c r="H57" s="1325"/>
      <c r="I57" s="1317"/>
      <c r="J57" s="1297"/>
      <c r="K57" s="1297"/>
      <c r="L57" s="1297"/>
      <c r="M57" s="1321"/>
    </row>
    <row r="58" spans="1:13" ht="16.5" customHeight="1" thickBot="1">
      <c r="A58" s="1254"/>
      <c r="B58" s="1283"/>
      <c r="C58" s="1282"/>
      <c r="D58" s="1282"/>
      <c r="E58" s="1326" t="s">
        <v>694</v>
      </c>
      <c r="F58" s="1254"/>
      <c r="G58" s="1327"/>
      <c r="H58" s="1297"/>
      <c r="I58" s="1317"/>
      <c r="J58" s="1297"/>
      <c r="K58" s="1297"/>
      <c r="L58" s="1297"/>
      <c r="M58" s="1321"/>
    </row>
    <row r="59" spans="1:13" ht="16.5" customHeight="1" thickTop="1" thickBot="1">
      <c r="A59" s="1254"/>
      <c r="B59" s="1283"/>
      <c r="C59" s="1282"/>
      <c r="D59" s="1282"/>
      <c r="E59" s="1326"/>
      <c r="F59" s="1254"/>
      <c r="G59" s="1297"/>
      <c r="H59" s="1297"/>
      <c r="I59" s="1317"/>
      <c r="J59" s="1297"/>
      <c r="K59" s="1297"/>
      <c r="L59" s="1297"/>
      <c r="M59" s="1321"/>
    </row>
    <row r="60" spans="1:13" ht="65.25" customHeight="1" thickBot="1">
      <c r="A60" s="1254"/>
      <c r="B60" s="1283"/>
      <c r="C60" s="1282"/>
      <c r="D60" s="1718" t="s">
        <v>695</v>
      </c>
      <c r="E60" s="1718"/>
      <c r="F60" s="1254"/>
      <c r="G60" s="1328" t="s">
        <v>200</v>
      </c>
      <c r="H60" s="1329" t="s">
        <v>696</v>
      </c>
      <c r="I60" s="1329" t="s">
        <v>697</v>
      </c>
      <c r="J60" s="1329" t="s">
        <v>698</v>
      </c>
      <c r="K60" s="1329" t="s">
        <v>699</v>
      </c>
      <c r="L60" s="1297"/>
      <c r="M60" s="1304"/>
    </row>
    <row r="61" spans="1:13" ht="16.5" customHeight="1" thickBot="1">
      <c r="A61" s="1254"/>
      <c r="B61" s="1303"/>
      <c r="C61" s="1142"/>
      <c r="D61" s="1258"/>
      <c r="E61" s="1041"/>
      <c r="F61" s="1282"/>
      <c r="G61" s="1299" t="s">
        <v>203</v>
      </c>
      <c r="H61" s="1299" t="s">
        <v>203</v>
      </c>
      <c r="I61" s="1299" t="s">
        <v>203</v>
      </c>
      <c r="J61" s="1299" t="s">
        <v>203</v>
      </c>
      <c r="K61" s="1299" t="s">
        <v>203</v>
      </c>
      <c r="L61" s="1297"/>
      <c r="M61" s="1304"/>
    </row>
    <row r="62" spans="1:13" ht="16.5" customHeight="1">
      <c r="A62" s="1254"/>
      <c r="B62" s="1303"/>
      <c r="C62" s="1142"/>
      <c r="D62" s="1276"/>
      <c r="E62" s="1041" t="s">
        <v>700</v>
      </c>
      <c r="F62" s="1282"/>
      <c r="G62" s="1330"/>
      <c r="H62" s="1331"/>
      <c r="I62" s="1332"/>
      <c r="J62" s="1332"/>
      <c r="K62" s="1333"/>
      <c r="L62" s="1297"/>
      <c r="M62" s="1304"/>
    </row>
    <row r="63" spans="1:13" ht="16.5" customHeight="1" thickBot="1">
      <c r="A63" s="1254"/>
      <c r="B63" s="1303"/>
      <c r="C63" s="1142"/>
      <c r="D63" s="1276"/>
      <c r="E63" s="1041" t="s">
        <v>701</v>
      </c>
      <c r="F63" s="1282"/>
      <c r="G63" s="1334"/>
      <c r="H63" s="1335"/>
      <c r="I63" s="1336"/>
      <c r="J63" s="1336"/>
      <c r="K63" s="1337"/>
      <c r="L63" s="1297"/>
      <c r="M63" s="1304"/>
    </row>
    <row r="64" spans="1:13" ht="16.5" customHeight="1" thickBot="1">
      <c r="A64" s="1254"/>
      <c r="B64" s="1303"/>
      <c r="C64" s="1142"/>
      <c r="D64" s="1282"/>
      <c r="E64" s="1282"/>
      <c r="F64" s="1282"/>
      <c r="G64" s="1300"/>
      <c r="H64" s="1300"/>
      <c r="I64" s="1297"/>
      <c r="J64" s="1297"/>
      <c r="K64" s="1297"/>
      <c r="L64" s="1297"/>
      <c r="M64" s="1304"/>
    </row>
    <row r="65" spans="1:13" ht="77.25" customHeight="1" thickBot="1">
      <c r="A65" s="1254"/>
      <c r="B65" s="1283"/>
      <c r="C65" s="1282"/>
      <c r="D65" s="1718" t="s">
        <v>702</v>
      </c>
      <c r="E65" s="1718"/>
      <c r="F65" s="1254"/>
      <c r="G65" s="1338" t="s">
        <v>200</v>
      </c>
      <c r="H65" s="1339" t="s">
        <v>608</v>
      </c>
      <c r="I65" s="1339" t="s">
        <v>703</v>
      </c>
      <c r="J65" s="1339" t="s">
        <v>548</v>
      </c>
      <c r="K65" s="1339" t="s">
        <v>704</v>
      </c>
      <c r="L65" s="1339" t="s">
        <v>550</v>
      </c>
      <c r="M65" s="1304"/>
    </row>
    <row r="66" spans="1:13" ht="16.5" customHeight="1" thickBot="1">
      <c r="A66" s="1254"/>
      <c r="B66" s="1283"/>
      <c r="C66" s="1282"/>
      <c r="D66" s="1320"/>
      <c r="E66" s="1254"/>
      <c r="F66" s="1254"/>
      <c r="G66" s="1299" t="s">
        <v>203</v>
      </c>
      <c r="H66" s="1299" t="s">
        <v>203</v>
      </c>
      <c r="I66" s="1299" t="s">
        <v>203</v>
      </c>
      <c r="J66" s="1299" t="s">
        <v>203</v>
      </c>
      <c r="K66" s="1299" t="s">
        <v>203</v>
      </c>
      <c r="L66" s="1299" t="s">
        <v>203</v>
      </c>
      <c r="M66" s="1304"/>
    </row>
    <row r="67" spans="1:13" ht="16.5" customHeight="1">
      <c r="A67" s="1254"/>
      <c r="B67" s="1283"/>
      <c r="C67" s="1282"/>
      <c r="D67" s="1320"/>
      <c r="E67" s="1340" t="s">
        <v>705</v>
      </c>
      <c r="F67" s="1254"/>
      <c r="G67" s="1341"/>
      <c r="H67" s="1342"/>
      <c r="I67" s="1343"/>
      <c r="J67" s="1343"/>
      <c r="K67" s="1344"/>
      <c r="L67" s="1345"/>
      <c r="M67" s="1304"/>
    </row>
    <row r="68" spans="1:13" ht="16.5" customHeight="1">
      <c r="A68" s="1254"/>
      <c r="B68" s="1283"/>
      <c r="C68" s="1282"/>
      <c r="D68" s="1254"/>
      <c r="E68" s="1320" t="s">
        <v>706</v>
      </c>
      <c r="F68" s="1254"/>
      <c r="G68" s="1341"/>
      <c r="H68" s="1342"/>
      <c r="I68" s="1343"/>
      <c r="J68" s="1343"/>
      <c r="K68" s="1344"/>
      <c r="L68" s="1345"/>
      <c r="M68" s="1304"/>
    </row>
    <row r="69" spans="1:13" ht="16.5" customHeight="1">
      <c r="A69" s="1254"/>
      <c r="B69" s="1283"/>
      <c r="C69" s="1282"/>
      <c r="D69" s="1254"/>
      <c r="E69" s="1320" t="s">
        <v>707</v>
      </c>
      <c r="F69" s="1254"/>
      <c r="G69" s="1341"/>
      <c r="H69" s="1342"/>
      <c r="I69" s="1343"/>
      <c r="J69" s="1343"/>
      <c r="K69" s="1344"/>
      <c r="L69" s="1345"/>
      <c r="M69" s="1304"/>
    </row>
    <row r="70" spans="1:13" ht="16.5" customHeight="1">
      <c r="A70" s="1254"/>
      <c r="B70" s="1283"/>
      <c r="C70" s="1282"/>
      <c r="D70" s="1254"/>
      <c r="E70" s="1320" t="s">
        <v>708</v>
      </c>
      <c r="F70" s="1254"/>
      <c r="G70" s="1341"/>
      <c r="H70" s="1346"/>
      <c r="I70" s="1347"/>
      <c r="J70" s="1347"/>
      <c r="K70" s="1348"/>
      <c r="L70" s="1349"/>
      <c r="M70" s="1304"/>
    </row>
    <row r="71" spans="1:13" ht="16.5" customHeight="1" thickBot="1">
      <c r="A71" s="1254"/>
      <c r="B71" s="1283"/>
      <c r="C71" s="1282"/>
      <c r="D71" s="1282"/>
      <c r="E71" s="1326" t="s">
        <v>709</v>
      </c>
      <c r="F71" s="1254"/>
      <c r="G71" s="1350"/>
      <c r="H71" s="1350"/>
      <c r="I71" s="1350"/>
      <c r="J71" s="1350"/>
      <c r="K71" s="1350"/>
      <c r="L71" s="1350"/>
      <c r="M71" s="1304"/>
    </row>
    <row r="72" spans="1:13" ht="16.5" customHeight="1" thickBot="1">
      <c r="A72" s="1254"/>
      <c r="B72" s="1351"/>
      <c r="C72" s="1352"/>
      <c r="D72" s="1352"/>
      <c r="E72" s="1353"/>
      <c r="F72" s="1354"/>
      <c r="G72" s="1355"/>
      <c r="H72" s="1356"/>
      <c r="I72" s="1357"/>
      <c r="J72" s="1357"/>
      <c r="K72" s="1357"/>
      <c r="L72" s="1357"/>
      <c r="M72" s="1358"/>
    </row>
    <row r="73" spans="1:13" ht="16.5" customHeight="1" thickBot="1">
      <c r="A73" s="1254"/>
      <c r="B73" s="1254"/>
      <c r="C73" s="1354"/>
      <c r="D73" s="1254"/>
      <c r="E73" s="1254"/>
      <c r="F73" s="1254"/>
      <c r="G73" s="1297"/>
      <c r="H73" s="1297"/>
      <c r="I73" s="1297"/>
      <c r="J73" s="1297"/>
      <c r="K73" s="1297"/>
      <c r="L73" s="1297"/>
      <c r="M73" s="1317"/>
    </row>
    <row r="74" spans="1:13" ht="16.5" customHeight="1">
      <c r="A74" s="1254"/>
      <c r="B74" s="1257"/>
      <c r="C74" s="1258" t="s">
        <v>710</v>
      </c>
      <c r="D74" s="1260"/>
      <c r="E74" s="1359"/>
      <c r="F74" s="1260"/>
      <c r="G74" s="1295"/>
      <c r="H74" s="1295"/>
      <c r="I74" s="1294"/>
      <c r="J74" s="1294"/>
      <c r="K74" s="1294"/>
      <c r="L74" s="1294"/>
      <c r="M74" s="1360"/>
    </row>
    <row r="75" spans="1:13" ht="16.5" customHeight="1" thickBot="1">
      <c r="A75" s="1254"/>
      <c r="B75" s="1263"/>
      <c r="C75" s="1319"/>
      <c r="D75" s="1253"/>
      <c r="E75" s="1280"/>
      <c r="F75" s="1253"/>
      <c r="G75" s="1275"/>
      <c r="H75" s="1275"/>
      <c r="I75" s="1297"/>
      <c r="J75" s="1297"/>
      <c r="K75" s="1297"/>
      <c r="L75" s="1297"/>
      <c r="M75" s="1304"/>
    </row>
    <row r="76" spans="1:13" ht="81.75" customHeight="1" thickBot="1">
      <c r="A76" s="1254"/>
      <c r="B76" s="1283"/>
      <c r="C76" s="1282"/>
      <c r="D76" s="1718" t="s">
        <v>711</v>
      </c>
      <c r="E76" s="1718"/>
      <c r="F76" s="1719"/>
      <c r="G76" s="1338" t="s">
        <v>200</v>
      </c>
      <c r="H76" s="1339" t="s">
        <v>608</v>
      </c>
      <c r="I76" s="1339" t="s">
        <v>703</v>
      </c>
      <c r="J76" s="1339" t="s">
        <v>548</v>
      </c>
      <c r="K76" s="1339" t="s">
        <v>704</v>
      </c>
      <c r="L76" s="1339" t="s">
        <v>550</v>
      </c>
      <c r="M76" s="1304"/>
    </row>
    <row r="77" spans="1:13" ht="16.5" customHeight="1" thickBot="1">
      <c r="A77" s="1254"/>
      <c r="B77" s="1283"/>
      <c r="C77" s="1282"/>
      <c r="D77" s="1320"/>
      <c r="E77" s="1254"/>
      <c r="F77" s="1254"/>
      <c r="G77" s="1299" t="s">
        <v>203</v>
      </c>
      <c r="H77" s="1299" t="s">
        <v>203</v>
      </c>
      <c r="I77" s="1299" t="s">
        <v>203</v>
      </c>
      <c r="J77" s="1299" t="s">
        <v>203</v>
      </c>
      <c r="K77" s="1299" t="s">
        <v>203</v>
      </c>
      <c r="L77" s="1299" t="s">
        <v>203</v>
      </c>
      <c r="M77" s="1304"/>
    </row>
    <row r="78" spans="1:13" ht="16.5" customHeight="1">
      <c r="A78" s="1254"/>
      <c r="B78" s="1283"/>
      <c r="C78" s="1282"/>
      <c r="D78" s="1254"/>
      <c r="E78" s="1723" t="s">
        <v>706</v>
      </c>
      <c r="F78" s="1724"/>
      <c r="G78" s="1361"/>
      <c r="H78" s="1362"/>
      <c r="I78" s="1363"/>
      <c r="J78" s="1363"/>
      <c r="K78" s="1364"/>
      <c r="L78" s="1365"/>
      <c r="M78" s="1304"/>
    </row>
    <row r="79" spans="1:13" ht="16.5" customHeight="1">
      <c r="A79" s="1254"/>
      <c r="B79" s="1283"/>
      <c r="C79" s="1282"/>
      <c r="D79" s="1254"/>
      <c r="E79" s="1723" t="s">
        <v>707</v>
      </c>
      <c r="F79" s="1725"/>
      <c r="G79" s="1361"/>
      <c r="H79" s="1362"/>
      <c r="I79" s="1363"/>
      <c r="J79" s="1363"/>
      <c r="K79" s="1364"/>
      <c r="L79" s="1365"/>
      <c r="M79" s="1304"/>
    </row>
    <row r="80" spans="1:13" ht="16.5" customHeight="1">
      <c r="A80" s="1254"/>
      <c r="B80" s="1283"/>
      <c r="C80" s="1282"/>
      <c r="D80" s="1254"/>
      <c r="E80" s="1723" t="s">
        <v>708</v>
      </c>
      <c r="F80" s="1725"/>
      <c r="G80" s="1361"/>
      <c r="H80" s="1366"/>
      <c r="I80" s="1367"/>
      <c r="J80" s="1367"/>
      <c r="K80" s="1368"/>
      <c r="L80" s="1369"/>
      <c r="M80" s="1304"/>
    </row>
    <row r="81" spans="1:13" ht="16.5" customHeight="1" thickBot="1">
      <c r="A81" s="1254"/>
      <c r="B81" s="1283"/>
      <c r="C81" s="1282"/>
      <c r="D81" s="1282"/>
      <c r="E81" s="1726" t="s">
        <v>200</v>
      </c>
      <c r="F81" s="1727"/>
      <c r="G81" s="1370"/>
      <c r="H81" s="1370"/>
      <c r="I81" s="1370"/>
      <c r="J81" s="1370"/>
      <c r="K81" s="1370"/>
      <c r="L81" s="1370"/>
      <c r="M81" s="1304"/>
    </row>
    <row r="82" spans="1:13" ht="16.5" customHeight="1" thickBot="1">
      <c r="A82" s="1254"/>
      <c r="B82" s="1283"/>
      <c r="C82" s="1282"/>
      <c r="D82" s="1282"/>
      <c r="E82" s="1320"/>
      <c r="F82" s="1254"/>
      <c r="G82" s="1371"/>
      <c r="H82" s="1371"/>
      <c r="I82" s="1297"/>
      <c r="J82" s="1297"/>
      <c r="K82" s="1297"/>
      <c r="L82" s="1297"/>
      <c r="M82" s="1304"/>
    </row>
    <row r="83" spans="1:13" ht="16.5" customHeight="1" thickBot="1">
      <c r="A83" s="1254"/>
      <c r="B83" s="1283"/>
      <c r="C83" s="1282"/>
      <c r="D83" s="1728" t="s">
        <v>712</v>
      </c>
      <c r="E83" s="1728"/>
      <c r="F83" s="1729"/>
      <c r="G83" s="1372">
        <v>0.4</v>
      </c>
      <c r="H83" s="1373"/>
      <c r="I83" s="1374">
        <v>0.4</v>
      </c>
      <c r="J83" s="1373"/>
      <c r="K83" s="1375"/>
      <c r="L83" s="1376"/>
      <c r="M83" s="1304"/>
    </row>
    <row r="84" spans="1:13" ht="16.5" customHeight="1" thickBot="1">
      <c r="A84" s="1254"/>
      <c r="B84" s="1351"/>
      <c r="C84" s="1352"/>
      <c r="D84" s="1352"/>
      <c r="E84" s="1377"/>
      <c r="F84" s="1354"/>
      <c r="G84" s="1378"/>
      <c r="H84" s="1379"/>
      <c r="I84" s="1378"/>
      <c r="J84" s="1378"/>
      <c r="K84" s="1378"/>
      <c r="L84" s="1378"/>
      <c r="M84" s="1380"/>
    </row>
    <row r="85" spans="1:13" ht="16.5" customHeight="1" thickBot="1">
      <c r="A85" s="1320"/>
      <c r="B85" s="1320"/>
      <c r="C85" s="1381"/>
      <c r="D85" s="1282"/>
      <c r="E85" s="1320"/>
      <c r="F85" s="1254"/>
      <c r="G85" s="1297"/>
      <c r="H85" s="1371"/>
      <c r="I85" s="1297"/>
      <c r="J85" s="1297"/>
      <c r="K85" s="1297"/>
      <c r="L85" s="1297"/>
      <c r="M85" s="1317"/>
    </row>
    <row r="86" spans="1:13" ht="16.5" customHeight="1" thickBot="1">
      <c r="A86" s="1254"/>
      <c r="B86" s="1382"/>
      <c r="C86" s="1292" t="s">
        <v>713</v>
      </c>
      <c r="D86" s="1383"/>
      <c r="E86" s="1384"/>
      <c r="F86" s="1385"/>
      <c r="G86" s="1386"/>
      <c r="H86" s="1386"/>
      <c r="I86" s="1387"/>
      <c r="J86" s="1297"/>
      <c r="K86" s="1297"/>
      <c r="L86" s="1297"/>
      <c r="M86" s="1317"/>
    </row>
    <row r="87" spans="1:13" ht="16.5" customHeight="1" thickBot="1">
      <c r="A87" s="1254"/>
      <c r="B87" s="1283"/>
      <c r="C87" s="1282"/>
      <c r="D87" s="1282"/>
      <c r="E87" s="1326"/>
      <c r="F87" s="1254"/>
      <c r="G87" s="1299" t="s">
        <v>203</v>
      </c>
      <c r="H87" s="1371"/>
      <c r="I87" s="1321"/>
      <c r="J87" s="1297"/>
      <c r="K87" s="1297"/>
      <c r="L87" s="1297"/>
      <c r="M87" s="1317"/>
    </row>
    <row r="88" spans="1:13" ht="30.75" customHeight="1" thickBot="1">
      <c r="A88" s="1254"/>
      <c r="B88" s="1283"/>
      <c r="C88" s="1282"/>
      <c r="D88" s="1718" t="s">
        <v>714</v>
      </c>
      <c r="E88" s="1718"/>
      <c r="F88" s="1719"/>
      <c r="G88" s="1388"/>
      <c r="H88" s="1297"/>
      <c r="I88" s="1321"/>
      <c r="J88" s="1297"/>
      <c r="K88" s="1297"/>
      <c r="L88" s="1297"/>
      <c r="M88" s="1317"/>
    </row>
    <row r="89" spans="1:13" ht="31.5" customHeight="1" thickBot="1">
      <c r="A89" s="1254"/>
      <c r="B89" s="1283"/>
      <c r="C89" s="1282"/>
      <c r="D89" s="1718" t="s">
        <v>997</v>
      </c>
      <c r="E89" s="1718"/>
      <c r="F89" s="1719"/>
      <c r="G89" s="1388"/>
      <c r="H89" s="1297"/>
      <c r="I89" s="1321"/>
      <c r="J89" s="1297"/>
      <c r="K89" s="1297"/>
      <c r="L89" s="1297"/>
      <c r="M89" s="1317"/>
    </row>
    <row r="90" spans="1:13" ht="16.5" customHeight="1" thickBot="1">
      <c r="A90" s="1254"/>
      <c r="B90" s="1283"/>
      <c r="C90" s="1282"/>
      <c r="D90" s="1282"/>
      <c r="E90" s="1320"/>
      <c r="F90" s="1254"/>
      <c r="G90" s="1297"/>
      <c r="H90" s="1297"/>
      <c r="I90" s="1321"/>
      <c r="J90" s="1297"/>
      <c r="K90" s="1297"/>
      <c r="L90" s="1297"/>
      <c r="M90" s="1317"/>
    </row>
    <row r="91" spans="1:13" ht="16.5" customHeight="1" thickBot="1">
      <c r="A91" s="1254"/>
      <c r="B91" s="1283"/>
      <c r="C91" s="1282"/>
      <c r="D91" s="1282"/>
      <c r="E91" s="1389"/>
      <c r="F91" s="1254"/>
      <c r="G91" s="1299" t="s">
        <v>203</v>
      </c>
      <c r="H91" s="1299" t="s">
        <v>516</v>
      </c>
      <c r="I91" s="1390"/>
      <c r="J91" s="1391"/>
      <c r="K91" s="1391"/>
      <c r="L91" s="1297"/>
      <c r="M91" s="1317"/>
    </row>
    <row r="92" spans="1:13" ht="32.25" customHeight="1" thickBot="1">
      <c r="A92" s="1254"/>
      <c r="B92" s="1283"/>
      <c r="C92" s="1282"/>
      <c r="D92" s="1718" t="s">
        <v>715</v>
      </c>
      <c r="E92" s="1718"/>
      <c r="F92" s="1719"/>
      <c r="G92" s="1392"/>
      <c r="H92" s="1393"/>
      <c r="I92" s="1394"/>
      <c r="J92" s="1395"/>
      <c r="K92" s="1395"/>
      <c r="L92" s="1297"/>
      <c r="M92" s="1317"/>
    </row>
    <row r="93" spans="1:13" ht="16.5" customHeight="1" thickTop="1" thickBot="1">
      <c r="A93" s="1254"/>
      <c r="B93" s="1303"/>
      <c r="C93" s="1254"/>
      <c r="D93" s="1396"/>
      <c r="E93" s="1254"/>
      <c r="F93" s="1254"/>
      <c r="G93" s="1317"/>
      <c r="H93" s="1317"/>
      <c r="I93" s="1394"/>
      <c r="J93" s="1397"/>
      <c r="K93" s="1397"/>
      <c r="L93" s="1297"/>
      <c r="M93" s="1317"/>
    </row>
    <row r="94" spans="1:13" ht="33.75" customHeight="1" thickBot="1">
      <c r="A94" s="1254"/>
      <c r="B94" s="1283"/>
      <c r="C94" s="1282"/>
      <c r="D94" s="1718" t="s">
        <v>716</v>
      </c>
      <c r="E94" s="1718"/>
      <c r="F94" s="1719"/>
      <c r="G94" s="1299" t="s">
        <v>203</v>
      </c>
      <c r="H94" s="1299" t="s">
        <v>516</v>
      </c>
      <c r="I94" s="1398"/>
      <c r="J94" s="1397"/>
      <c r="K94" s="1397"/>
      <c r="L94" s="1297"/>
      <c r="M94" s="1317"/>
    </row>
    <row r="95" spans="1:13" ht="16.5" customHeight="1">
      <c r="A95" s="1254"/>
      <c r="B95" s="1283"/>
      <c r="C95" s="1282"/>
      <c r="D95" s="1254"/>
      <c r="E95" s="1320" t="s">
        <v>222</v>
      </c>
      <c r="F95" s="1254"/>
      <c r="G95" s="1302"/>
      <c r="H95" s="1302"/>
      <c r="I95" s="1394"/>
      <c r="J95" s="1395"/>
      <c r="K95" s="1395"/>
      <c r="L95" s="1297"/>
      <c r="M95" s="1317"/>
    </row>
    <row r="96" spans="1:13" ht="16.5" customHeight="1">
      <c r="A96" s="1254"/>
      <c r="B96" s="1283"/>
      <c r="C96" s="1282"/>
      <c r="D96" s="1254"/>
      <c r="E96" s="1320" t="s">
        <v>223</v>
      </c>
      <c r="F96" s="1254"/>
      <c r="G96" s="1302"/>
      <c r="H96" s="1302"/>
      <c r="I96" s="1394"/>
      <c r="J96" s="1395"/>
      <c r="K96" s="1395"/>
      <c r="L96" s="1297"/>
      <c r="M96" s="1317"/>
    </row>
    <row r="97" spans="1:13" ht="16.5" customHeight="1" thickBot="1">
      <c r="A97" s="1254"/>
      <c r="B97" s="1283"/>
      <c r="C97" s="1282"/>
      <c r="D97" s="1254"/>
      <c r="E97" s="1320" t="s">
        <v>717</v>
      </c>
      <c r="F97" s="1254"/>
      <c r="G97" s="1302"/>
      <c r="H97" s="1325"/>
      <c r="I97" s="1394"/>
      <c r="J97" s="1395"/>
      <c r="K97" s="1395"/>
      <c r="L97" s="1297"/>
      <c r="M97" s="1317"/>
    </row>
    <row r="98" spans="1:13" ht="27" customHeight="1">
      <c r="A98" s="1254"/>
      <c r="B98" s="1283"/>
      <c r="C98" s="1282"/>
      <c r="D98" s="1254"/>
      <c r="E98" s="1574" t="s">
        <v>718</v>
      </c>
      <c r="F98" s="1720"/>
      <c r="G98" s="1399"/>
      <c r="H98" s="1400"/>
      <c r="I98" s="1394"/>
      <c r="J98" s="1395"/>
      <c r="K98" s="1397"/>
      <c r="L98" s="1297"/>
      <c r="M98" s="1317"/>
    </row>
    <row r="99" spans="1:13" ht="16.5" customHeight="1" thickBot="1">
      <c r="A99" s="1254"/>
      <c r="B99" s="1283"/>
      <c r="C99" s="1721" t="s">
        <v>719</v>
      </c>
      <c r="D99" s="1721"/>
      <c r="E99" s="1721"/>
      <c r="F99" s="1722"/>
      <c r="G99" s="1327"/>
      <c r="H99" s="1327"/>
      <c r="I99" s="1401"/>
      <c r="J99" s="1402"/>
      <c r="K99" s="1402"/>
      <c r="L99" s="1297"/>
      <c r="M99" s="1317"/>
    </row>
    <row r="100" spans="1:13" ht="16.5" customHeight="1" thickTop="1" thickBot="1">
      <c r="A100" s="1254"/>
      <c r="B100" s="1351"/>
      <c r="C100" s="1352"/>
      <c r="D100" s="1352"/>
      <c r="E100" s="1352"/>
      <c r="F100" s="1352"/>
      <c r="G100" s="1403"/>
      <c r="H100" s="1403"/>
      <c r="I100" s="1380"/>
      <c r="J100" s="1317"/>
      <c r="K100" s="1317"/>
      <c r="L100" s="1317"/>
      <c r="M100" s="1317"/>
    </row>
    <row r="101" spans="1:13" ht="16.5" customHeight="1">
      <c r="A101" s="1254"/>
      <c r="B101" s="1051"/>
      <c r="C101" s="1051"/>
      <c r="D101" s="1051"/>
      <c r="E101" s="1051"/>
      <c r="F101" s="1051"/>
      <c r="G101" s="1254"/>
      <c r="H101" s="1254"/>
      <c r="I101" s="1254"/>
      <c r="J101" s="1254"/>
      <c r="K101" s="1254"/>
      <c r="L101" s="1254"/>
      <c r="M101" s="1254"/>
    </row>
  </sheetData>
  <mergeCells count="47">
    <mergeCell ref="D14:F14"/>
    <mergeCell ref="C9:F9"/>
    <mergeCell ref="D10:F10"/>
    <mergeCell ref="D11:F11"/>
    <mergeCell ref="D12:F12"/>
    <mergeCell ref="D13:F13"/>
    <mergeCell ref="E36:F36"/>
    <mergeCell ref="D15:F15"/>
    <mergeCell ref="C16:F16"/>
    <mergeCell ref="D17:F17"/>
    <mergeCell ref="D18:F18"/>
    <mergeCell ref="D19:F19"/>
    <mergeCell ref="C20:F20"/>
    <mergeCell ref="D21:F21"/>
    <mergeCell ref="D22:F22"/>
    <mergeCell ref="D23:F23"/>
    <mergeCell ref="C25:F25"/>
    <mergeCell ref="E34:F34"/>
    <mergeCell ref="E48:F48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D88:F88"/>
    <mergeCell ref="E49:F49"/>
    <mergeCell ref="E50:F50"/>
    <mergeCell ref="E51:F51"/>
    <mergeCell ref="D60:E60"/>
    <mergeCell ref="D65:E65"/>
    <mergeCell ref="D76:F76"/>
    <mergeCell ref="E78:F78"/>
    <mergeCell ref="E79:F79"/>
    <mergeCell ref="E80:F80"/>
    <mergeCell ref="E81:F81"/>
    <mergeCell ref="D83:F83"/>
    <mergeCell ref="D89:F89"/>
    <mergeCell ref="D92:F92"/>
    <mergeCell ref="D94:F94"/>
    <mergeCell ref="E98:F98"/>
    <mergeCell ref="C99:F99"/>
  </mergeCells>
  <phoneticPr fontId="1" type="noConversion"/>
  <dataValidations count="2">
    <dataValidation type="decimal" operator="greaterThanOrEqual" allowBlank="1" showInputMessage="1" showErrorMessage="1" sqref="J38:J41 G38:H41">
      <formula1>0</formula1>
    </dataValidation>
    <dataValidation type="decimal" operator="lessThanOrEqual" allowBlank="1" showInputMessage="1" showErrorMessage="1" sqref="G32:G33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4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C5FFFF"/>
  </sheetPr>
  <dimension ref="A1:I80"/>
  <sheetViews>
    <sheetView topLeftCell="A13" workbookViewId="0">
      <selection sqref="A1:XFD1048576"/>
    </sheetView>
  </sheetViews>
  <sheetFormatPr defaultRowHeight="10.5"/>
  <cols>
    <col min="1" max="1" width="8.140625" style="1407" customWidth="1"/>
    <col min="2" max="2" width="15.42578125" style="1407" customWidth="1"/>
    <col min="3" max="3" width="48.7109375" style="1407" bestFit="1" customWidth="1"/>
    <col min="4" max="4" width="15.42578125" style="1407" bestFit="1" customWidth="1"/>
    <col min="5" max="16384" width="9.140625" style="1407"/>
  </cols>
  <sheetData>
    <row r="1" spans="1:9" ht="12.75" customHeight="1">
      <c r="A1" s="1404" t="s">
        <v>526</v>
      </c>
      <c r="B1" s="1405"/>
      <c r="C1" s="1405"/>
      <c r="D1" s="1405"/>
      <c r="E1" s="1405"/>
      <c r="F1" s="1406" t="s">
        <v>984</v>
      </c>
      <c r="G1" s="1405"/>
      <c r="H1" s="1405"/>
      <c r="I1" s="1405"/>
    </row>
    <row r="2" spans="1:9" s="1410" customFormat="1" ht="12.75">
      <c r="A2" s="1408"/>
      <c r="B2" s="1409"/>
      <c r="C2" s="1409"/>
      <c r="D2" s="1409"/>
      <c r="E2" s="1409"/>
      <c r="F2" s="1409"/>
      <c r="G2" s="1409"/>
      <c r="H2" s="1409"/>
      <c r="I2" s="1409"/>
    </row>
    <row r="3" spans="1:9" ht="12.75">
      <c r="A3" s="1404" t="s">
        <v>81</v>
      </c>
      <c r="B3" s="1405"/>
      <c r="C3" s="1405"/>
      <c r="D3" s="1405"/>
      <c r="E3" s="1405"/>
      <c r="F3" s="1405"/>
      <c r="G3" s="1405"/>
      <c r="H3" s="1405"/>
      <c r="I3" s="1405"/>
    </row>
    <row r="4" spans="1:9" ht="12.75">
      <c r="A4" s="1404"/>
      <c r="B4" s="1405"/>
      <c r="C4" s="1405"/>
      <c r="D4" s="1405"/>
      <c r="E4" s="1405"/>
      <c r="F4" s="1405"/>
      <c r="G4" s="1405"/>
      <c r="H4" s="1405"/>
      <c r="I4" s="1405"/>
    </row>
    <row r="5" spans="1:9" ht="20.25">
      <c r="A5" s="1748" t="s">
        <v>720</v>
      </c>
      <c r="B5" s="1748"/>
      <c r="C5" s="1748"/>
      <c r="D5" s="1411"/>
      <c r="E5" s="1412"/>
      <c r="F5" s="1412"/>
      <c r="G5" s="1412"/>
    </row>
    <row r="6" spans="1:9" ht="15" thickBot="1">
      <c r="A6" s="1413"/>
      <c r="B6" s="1413"/>
      <c r="C6" s="740"/>
      <c r="D6" s="740"/>
      <c r="E6" s="1414"/>
      <c r="F6" s="1414"/>
      <c r="G6" s="1414"/>
    </row>
    <row r="7" spans="1:9" ht="15.75" thickBot="1">
      <c r="A7" s="1413"/>
      <c r="B7" s="1413"/>
      <c r="C7" s="1415"/>
      <c r="D7" s="1416" t="s">
        <v>190</v>
      </c>
      <c r="E7" s="1416" t="s">
        <v>79</v>
      </c>
      <c r="F7" s="1416" t="s">
        <v>80</v>
      </c>
      <c r="G7" s="1417" t="s">
        <v>81</v>
      </c>
      <c r="H7" s="1418" t="s">
        <v>82</v>
      </c>
      <c r="I7" s="1419" t="s">
        <v>44</v>
      </c>
    </row>
    <row r="8" spans="1:9" ht="15">
      <c r="A8" s="1413"/>
      <c r="B8" s="1413"/>
      <c r="C8" s="1420" t="s">
        <v>721</v>
      </c>
      <c r="D8" s="1421"/>
      <c r="E8" s="1749" t="s">
        <v>722</v>
      </c>
      <c r="F8" s="1750"/>
      <c r="G8" s="1751"/>
      <c r="H8" s="1752" t="s">
        <v>723</v>
      </c>
      <c r="I8" s="1752"/>
    </row>
    <row r="9" spans="1:9" ht="14.25">
      <c r="A9" s="1413"/>
      <c r="B9" s="1413"/>
      <c r="C9" s="1422" t="s">
        <v>724</v>
      </c>
      <c r="D9" s="1423" t="s">
        <v>725</v>
      </c>
      <c r="E9" s="1424"/>
      <c r="F9" s="1425"/>
      <c r="G9" s="1426">
        <v>1.5045980000000001</v>
      </c>
    </row>
    <row r="10" spans="1:9" ht="14.25">
      <c r="A10" s="1413"/>
      <c r="B10" s="1413"/>
      <c r="C10" s="1422" t="s">
        <v>726</v>
      </c>
      <c r="D10" s="1423" t="s">
        <v>727</v>
      </c>
      <c r="E10" s="1424"/>
      <c r="F10" s="1425"/>
      <c r="G10" s="1426">
        <v>79</v>
      </c>
    </row>
    <row r="11" spans="1:9" ht="14.25">
      <c r="A11" s="1413"/>
      <c r="B11" s="1413"/>
      <c r="C11" s="1422" t="s">
        <v>728</v>
      </c>
      <c r="D11" s="1423" t="s">
        <v>729</v>
      </c>
      <c r="E11" s="1424"/>
      <c r="F11" s="1425"/>
      <c r="G11" s="1426">
        <v>55.6</v>
      </c>
    </row>
    <row r="12" spans="1:9" ht="15.75" thickBot="1">
      <c r="A12" s="1413"/>
      <c r="B12" s="1413"/>
      <c r="C12" s="1422"/>
      <c r="D12" s="1427"/>
      <c r="E12" s="1428"/>
      <c r="F12" s="1429"/>
      <c r="G12" s="1429"/>
    </row>
    <row r="13" spans="1:9" ht="15">
      <c r="A13" s="1413"/>
      <c r="B13" s="1413"/>
      <c r="C13" s="1430" t="s">
        <v>730</v>
      </c>
      <c r="D13" s="1421"/>
      <c r="E13" s="1431"/>
      <c r="F13" s="1414"/>
      <c r="G13" s="1414"/>
    </row>
    <row r="14" spans="1:9" ht="14.25">
      <c r="A14" s="1413"/>
      <c r="B14" s="1413"/>
      <c r="C14" s="1432"/>
      <c r="D14" s="1423"/>
      <c r="E14" s="1431"/>
      <c r="F14" s="1414"/>
      <c r="G14" s="1414"/>
    </row>
    <row r="15" spans="1:9" ht="14.25">
      <c r="A15" s="1413"/>
      <c r="B15" s="1413"/>
      <c r="C15" s="1433" t="s">
        <v>731</v>
      </c>
      <c r="D15" s="1423"/>
      <c r="E15" s="1431"/>
      <c r="F15" s="1414"/>
      <c r="G15" s="1414"/>
    </row>
    <row r="16" spans="1:9" ht="14.25">
      <c r="A16" s="1413"/>
      <c r="B16" s="1413"/>
      <c r="C16" s="1433" t="s">
        <v>732</v>
      </c>
      <c r="D16" s="1423"/>
      <c r="E16" s="1431"/>
      <c r="F16" s="1414"/>
      <c r="G16" s="1414"/>
    </row>
    <row r="17" spans="1:7" ht="14.25">
      <c r="A17" s="1413"/>
      <c r="B17" s="1413"/>
      <c r="C17" s="1434" t="s">
        <v>733</v>
      </c>
      <c r="D17" s="1423" t="s">
        <v>734</v>
      </c>
      <c r="E17" s="1424"/>
      <c r="F17" s="1425"/>
      <c r="G17" s="1426">
        <v>0</v>
      </c>
    </row>
    <row r="18" spans="1:7" ht="14.25">
      <c r="A18" s="1413"/>
      <c r="B18" s="1413"/>
      <c r="C18" s="1434" t="s">
        <v>223</v>
      </c>
      <c r="D18" s="1423" t="s">
        <v>734</v>
      </c>
      <c r="E18" s="1424"/>
      <c r="F18" s="1425"/>
      <c r="G18" s="1426">
        <v>25</v>
      </c>
    </row>
    <row r="19" spans="1:7" ht="14.25">
      <c r="A19" s="1413"/>
      <c r="B19" s="1413"/>
      <c r="C19" s="1434" t="s">
        <v>222</v>
      </c>
      <c r="D19" s="1423" t="s">
        <v>734</v>
      </c>
      <c r="E19" s="1424"/>
      <c r="F19" s="1425"/>
      <c r="G19" s="1426">
        <v>20123</v>
      </c>
    </row>
    <row r="20" spans="1:7" ht="14.25">
      <c r="A20" s="1413"/>
      <c r="B20" s="1413"/>
      <c r="C20" s="1434" t="s">
        <v>735</v>
      </c>
      <c r="D20" s="1423" t="s">
        <v>734</v>
      </c>
      <c r="E20" s="1424"/>
      <c r="F20" s="1425"/>
      <c r="G20" s="1426">
        <v>3</v>
      </c>
    </row>
    <row r="21" spans="1:7" ht="14.25">
      <c r="A21" s="1413"/>
      <c r="B21" s="1413"/>
      <c r="C21" s="1432"/>
      <c r="D21" s="1423"/>
      <c r="E21" s="1431"/>
      <c r="F21" s="1414"/>
      <c r="G21" s="1414"/>
    </row>
    <row r="22" spans="1:7" ht="14.25">
      <c r="A22" s="1413"/>
      <c r="B22" s="1413"/>
      <c r="C22" s="1433" t="s">
        <v>736</v>
      </c>
      <c r="D22" s="1423"/>
      <c r="E22" s="1431"/>
      <c r="F22" s="1414"/>
      <c r="G22" s="1414"/>
    </row>
    <row r="23" spans="1:7" ht="14.25">
      <c r="A23" s="1413"/>
      <c r="B23" s="1413"/>
      <c r="C23" s="1434" t="s">
        <v>401</v>
      </c>
      <c r="D23" s="1423" t="s">
        <v>210</v>
      </c>
      <c r="E23" s="1424"/>
      <c r="F23" s="1425"/>
      <c r="G23" s="1426">
        <v>108.8</v>
      </c>
    </row>
    <row r="24" spans="1:7" ht="14.25">
      <c r="A24" s="1413"/>
      <c r="B24" s="1413"/>
      <c r="C24" s="1434" t="s">
        <v>402</v>
      </c>
      <c r="D24" s="1423" t="s">
        <v>210</v>
      </c>
      <c r="E24" s="1424"/>
      <c r="F24" s="1425"/>
      <c r="G24" s="1426">
        <v>74.2</v>
      </c>
    </row>
    <row r="25" spans="1:7" ht="14.25">
      <c r="A25" s="1413"/>
      <c r="B25" s="1413"/>
      <c r="C25" s="1434" t="s">
        <v>223</v>
      </c>
      <c r="D25" s="1423" t="s">
        <v>210</v>
      </c>
      <c r="E25" s="1424"/>
      <c r="F25" s="1425"/>
      <c r="G25" s="1426">
        <v>172.6</v>
      </c>
    </row>
    <row r="26" spans="1:7" ht="15" thickBot="1">
      <c r="A26" s="1413"/>
      <c r="B26" s="1413"/>
      <c r="C26" s="1434" t="s">
        <v>222</v>
      </c>
      <c r="D26" s="1423" t="s">
        <v>210</v>
      </c>
      <c r="E26" s="1424"/>
      <c r="F26" s="1425"/>
      <c r="G26" s="1426">
        <v>7.3</v>
      </c>
    </row>
    <row r="27" spans="1:7" ht="15" thickBot="1">
      <c r="A27" s="1413"/>
      <c r="B27" s="1413"/>
      <c r="C27" s="1435" t="s">
        <v>200</v>
      </c>
      <c r="D27" s="1423"/>
      <c r="E27" s="1436"/>
      <c r="F27" s="1437"/>
      <c r="G27" s="1437">
        <v>362.9</v>
      </c>
    </row>
    <row r="28" spans="1:7" ht="14.25">
      <c r="A28" s="1413"/>
      <c r="B28" s="1413"/>
      <c r="C28" s="1432"/>
      <c r="D28" s="1423"/>
      <c r="E28" s="1438"/>
      <c r="F28" s="1439"/>
      <c r="G28" s="1231"/>
    </row>
    <row r="29" spans="1:7" ht="14.25">
      <c r="A29" s="1413"/>
      <c r="B29" s="1413"/>
      <c r="C29" s="1433" t="s">
        <v>737</v>
      </c>
      <c r="D29" s="1423"/>
      <c r="E29" s="1438"/>
      <c r="F29" s="1439"/>
      <c r="G29" s="1231"/>
    </row>
    <row r="30" spans="1:7" ht="14.25">
      <c r="A30" s="1413"/>
      <c r="B30" s="1413"/>
      <c r="C30" s="1434" t="s">
        <v>738</v>
      </c>
      <c r="D30" s="1423" t="s">
        <v>210</v>
      </c>
      <c r="E30" s="1424"/>
      <c r="F30" s="1425"/>
      <c r="G30" s="1426">
        <v>2953.3786</v>
      </c>
    </row>
    <row r="31" spans="1:7" ht="14.25">
      <c r="A31" s="1413"/>
      <c r="B31" s="1413"/>
      <c r="C31" s="1434" t="s">
        <v>739</v>
      </c>
      <c r="D31" s="1423" t="s">
        <v>210</v>
      </c>
      <c r="E31" s="1424"/>
      <c r="F31" s="1425"/>
      <c r="G31" s="1426">
        <v>2953.3786</v>
      </c>
    </row>
    <row r="32" spans="1:7" ht="14.25">
      <c r="A32" s="1413"/>
      <c r="B32" s="1413"/>
      <c r="C32" s="1432"/>
      <c r="D32" s="1423"/>
      <c r="E32" s="1438"/>
      <c r="F32" s="1439"/>
      <c r="G32" s="1231"/>
    </row>
    <row r="33" spans="1:7" ht="14.25">
      <c r="A33" s="1413"/>
      <c r="B33" s="1413"/>
      <c r="C33" s="1433" t="s">
        <v>740</v>
      </c>
      <c r="D33" s="1423"/>
      <c r="E33" s="1438"/>
      <c r="F33" s="1439"/>
      <c r="G33" s="1231"/>
    </row>
    <row r="34" spans="1:7" ht="14.25">
      <c r="A34" s="1413"/>
      <c r="B34" s="1413"/>
      <c r="C34" s="1434" t="s">
        <v>733</v>
      </c>
      <c r="D34" s="1423" t="s">
        <v>215</v>
      </c>
      <c r="E34" s="1424"/>
      <c r="F34" s="1425"/>
      <c r="G34" s="1426">
        <v>519.3929296</v>
      </c>
    </row>
    <row r="35" spans="1:7" ht="14.25">
      <c r="A35" s="1413"/>
      <c r="B35" s="1413"/>
      <c r="C35" s="1434" t="s">
        <v>223</v>
      </c>
      <c r="D35" s="1423" t="s">
        <v>215</v>
      </c>
      <c r="E35" s="1424"/>
      <c r="F35" s="1425"/>
      <c r="G35" s="1426">
        <v>3560.4307964999998</v>
      </c>
    </row>
    <row r="36" spans="1:7" ht="15" thickBot="1">
      <c r="A36" s="1413"/>
      <c r="B36" s="1413"/>
      <c r="C36" s="1434" t="s">
        <v>222</v>
      </c>
      <c r="D36" s="1423" t="s">
        <v>215</v>
      </c>
      <c r="E36" s="1424"/>
      <c r="F36" s="1425"/>
      <c r="G36" s="1426">
        <v>11135.698339690003</v>
      </c>
    </row>
    <row r="37" spans="1:7" ht="15" thickBot="1">
      <c r="A37" s="1413"/>
      <c r="B37" s="1413"/>
      <c r="C37" s="1435" t="s">
        <v>200</v>
      </c>
      <c r="D37" s="1423"/>
      <c r="E37" s="1436"/>
      <c r="F37" s="1437"/>
      <c r="G37" s="1437">
        <v>15215.522065790003</v>
      </c>
    </row>
    <row r="38" spans="1:7" ht="14.25">
      <c r="A38" s="1413"/>
      <c r="B38" s="1413"/>
      <c r="C38" s="1432"/>
      <c r="D38" s="1423"/>
      <c r="E38" s="1431"/>
      <c r="F38" s="1414"/>
      <c r="G38" s="1414"/>
    </row>
    <row r="39" spans="1:7" ht="14.25">
      <c r="A39" s="1413"/>
      <c r="B39" s="1413"/>
      <c r="C39" s="1433" t="s">
        <v>741</v>
      </c>
      <c r="D39" s="1423"/>
      <c r="E39" s="1431"/>
      <c r="F39" s="1414"/>
      <c r="G39" s="1414"/>
    </row>
    <row r="40" spans="1:7" ht="14.25">
      <c r="A40" s="1413"/>
      <c r="B40" s="1413"/>
      <c r="C40" s="1434" t="s">
        <v>742</v>
      </c>
      <c r="D40" s="1423" t="s">
        <v>743</v>
      </c>
      <c r="E40" s="1424"/>
      <c r="F40" s="1425"/>
      <c r="G40" s="1426">
        <v>1023.462</v>
      </c>
    </row>
    <row r="41" spans="1:7" ht="14.25">
      <c r="A41" s="1413"/>
      <c r="B41" s="1413"/>
      <c r="C41" s="1434" t="s">
        <v>744</v>
      </c>
      <c r="D41" s="1423" t="s">
        <v>745</v>
      </c>
      <c r="E41" s="1424"/>
      <c r="F41" s="1425"/>
      <c r="G41" s="1440">
        <v>6.7264336746033368E-2</v>
      </c>
    </row>
    <row r="42" spans="1:7" ht="14.25">
      <c r="A42" s="1413"/>
      <c r="B42" s="1413"/>
      <c r="C42" s="1432"/>
      <c r="D42" s="1423"/>
      <c r="E42" s="1438"/>
      <c r="F42" s="1439"/>
      <c r="G42" s="1231"/>
    </row>
    <row r="43" spans="1:7" ht="15.75" thickBot="1">
      <c r="A43" s="1413"/>
      <c r="B43" s="1413"/>
      <c r="C43" s="1422"/>
      <c r="D43" s="1427"/>
      <c r="E43" s="1428"/>
      <c r="F43" s="1429"/>
      <c r="G43" s="1429"/>
    </row>
    <row r="44" spans="1:7" ht="15">
      <c r="A44" s="1413"/>
      <c r="B44" s="1413"/>
      <c r="C44" s="1430" t="s">
        <v>746</v>
      </c>
      <c r="D44" s="1423"/>
      <c r="E44" s="1438"/>
      <c r="F44" s="1439"/>
      <c r="G44" s="1231"/>
    </row>
    <row r="45" spans="1:7" ht="14.25">
      <c r="A45" s="1413"/>
      <c r="B45" s="1413"/>
      <c r="C45" s="1432"/>
      <c r="D45" s="1423"/>
      <c r="E45" s="1438"/>
      <c r="F45" s="1439"/>
      <c r="G45" s="1231"/>
    </row>
    <row r="46" spans="1:7" ht="14.25">
      <c r="A46" s="1413"/>
      <c r="B46" s="1413"/>
      <c r="C46" s="1433" t="s">
        <v>747</v>
      </c>
      <c r="D46" s="1423"/>
      <c r="E46" s="1438"/>
      <c r="F46" s="1439"/>
      <c r="G46" s="1231"/>
    </row>
    <row r="47" spans="1:7" ht="14.25">
      <c r="A47" s="1413"/>
      <c r="B47" s="1413"/>
      <c r="C47" s="1434" t="s">
        <v>401</v>
      </c>
      <c r="D47" s="1423" t="s">
        <v>748</v>
      </c>
      <c r="E47" s="1424"/>
      <c r="F47" s="1425"/>
      <c r="G47" s="1441">
        <v>1442.1</v>
      </c>
    </row>
    <row r="48" spans="1:7" ht="14.25">
      <c r="A48" s="1413"/>
      <c r="B48" s="1413"/>
      <c r="C48" s="1434" t="s">
        <v>402</v>
      </c>
      <c r="D48" s="1423" t="s">
        <v>748</v>
      </c>
      <c r="E48" s="1424"/>
      <c r="F48" s="1425"/>
      <c r="G48" s="1441">
        <v>2900</v>
      </c>
    </row>
    <row r="49" spans="1:7" ht="14.25">
      <c r="A49" s="1413"/>
      <c r="B49" s="1413"/>
      <c r="C49" s="1434" t="s">
        <v>223</v>
      </c>
      <c r="D49" s="1423" t="s">
        <v>748</v>
      </c>
      <c r="E49" s="1424"/>
      <c r="F49" s="1425"/>
      <c r="G49" s="1441">
        <v>16591</v>
      </c>
    </row>
    <row r="50" spans="1:7" ht="15" thickBot="1">
      <c r="A50" s="1413"/>
      <c r="B50" s="1413"/>
      <c r="C50" s="1434" t="s">
        <v>222</v>
      </c>
      <c r="D50" s="1423" t="s">
        <v>748</v>
      </c>
      <c r="E50" s="1424"/>
      <c r="F50" s="1425"/>
      <c r="G50" s="1441">
        <v>7460</v>
      </c>
    </row>
    <row r="51" spans="1:7" ht="15" thickBot="1">
      <c r="A51" s="1413"/>
      <c r="B51" s="1413"/>
      <c r="C51" s="1435" t="s">
        <v>200</v>
      </c>
      <c r="D51" s="1423" t="s">
        <v>748</v>
      </c>
      <c r="E51" s="1436"/>
      <c r="F51" s="1437"/>
      <c r="G51" s="1437">
        <v>28393.1</v>
      </c>
    </row>
    <row r="52" spans="1:7" ht="14.25">
      <c r="A52" s="1413"/>
      <c r="B52" s="1413"/>
      <c r="C52" s="1432"/>
      <c r="D52" s="1423"/>
      <c r="E52" s="1438"/>
      <c r="F52" s="1439"/>
      <c r="G52" s="1231"/>
    </row>
    <row r="53" spans="1:7" ht="14.25">
      <c r="A53" s="1413"/>
      <c r="B53" s="1413"/>
      <c r="C53" s="1433" t="s">
        <v>749</v>
      </c>
      <c r="D53" s="1423"/>
      <c r="E53" s="1438"/>
      <c r="F53" s="1439"/>
      <c r="G53" s="1231"/>
    </row>
    <row r="54" spans="1:7" ht="14.25">
      <c r="A54" s="1413"/>
      <c r="B54" s="1413"/>
      <c r="C54" s="1434" t="s">
        <v>401</v>
      </c>
      <c r="D54" s="1423" t="s">
        <v>748</v>
      </c>
      <c r="E54" s="1424"/>
      <c r="F54" s="1425"/>
      <c r="G54" s="1441">
        <v>75.430000000000007</v>
      </c>
    </row>
    <row r="55" spans="1:7" ht="14.25">
      <c r="A55" s="1413"/>
      <c r="B55" s="1413"/>
      <c r="C55" s="1434" t="s">
        <v>402</v>
      </c>
      <c r="D55" s="1423" t="s">
        <v>748</v>
      </c>
      <c r="E55" s="1424"/>
      <c r="F55" s="1425"/>
      <c r="G55" s="1441">
        <v>910.30499999999995</v>
      </c>
    </row>
    <row r="56" spans="1:7" ht="14.25">
      <c r="A56" s="1413"/>
      <c r="B56" s="1413"/>
      <c r="C56" s="1434" t="s">
        <v>223</v>
      </c>
      <c r="D56" s="1423" t="s">
        <v>748</v>
      </c>
      <c r="E56" s="1424"/>
      <c r="F56" s="1425"/>
      <c r="G56" s="1441">
        <v>6485.3</v>
      </c>
    </row>
    <row r="57" spans="1:7" ht="15" thickBot="1">
      <c r="A57" s="1413"/>
      <c r="B57" s="1413"/>
      <c r="C57" s="1434" t="s">
        <v>222</v>
      </c>
      <c r="D57" s="1423" t="s">
        <v>748</v>
      </c>
      <c r="E57" s="1424"/>
      <c r="F57" s="1425"/>
      <c r="G57" s="1441">
        <v>13748.322</v>
      </c>
    </row>
    <row r="58" spans="1:7" ht="15" thickBot="1">
      <c r="A58" s="1413"/>
      <c r="B58" s="1413"/>
      <c r="C58" s="1442" t="s">
        <v>200</v>
      </c>
      <c r="D58" s="1423" t="s">
        <v>748</v>
      </c>
      <c r="E58" s="1436"/>
      <c r="F58" s="1437"/>
      <c r="G58" s="1437">
        <v>21219.356999999996</v>
      </c>
    </row>
    <row r="59" spans="1:7" ht="14.25">
      <c r="A59" s="1413"/>
      <c r="B59" s="1413"/>
      <c r="C59" s="1432"/>
      <c r="D59" s="1423"/>
      <c r="E59" s="1438"/>
      <c r="F59" s="1439"/>
      <c r="G59" s="1231"/>
    </row>
    <row r="60" spans="1:7" ht="14.25">
      <c r="A60" s="1413"/>
      <c r="B60" s="1413"/>
      <c r="C60" s="1433" t="s">
        <v>750</v>
      </c>
      <c r="D60" s="1423"/>
      <c r="E60" s="1438"/>
      <c r="F60" s="1439"/>
      <c r="G60" s="1231"/>
    </row>
    <row r="61" spans="1:7" ht="14.25">
      <c r="A61" s="1413"/>
      <c r="B61" s="1413"/>
      <c r="C61" s="1434" t="s">
        <v>401</v>
      </c>
      <c r="D61" s="1423" t="s">
        <v>748</v>
      </c>
      <c r="E61" s="1443"/>
      <c r="F61" s="1441"/>
      <c r="G61" s="1441">
        <v>1517.53</v>
      </c>
    </row>
    <row r="62" spans="1:7" ht="14.25">
      <c r="A62" s="1413"/>
      <c r="B62" s="1413"/>
      <c r="C62" s="1434" t="s">
        <v>402</v>
      </c>
      <c r="D62" s="1423" t="s">
        <v>748</v>
      </c>
      <c r="E62" s="1443"/>
      <c r="F62" s="1441"/>
      <c r="G62" s="1441">
        <v>3810.3050000000003</v>
      </c>
    </row>
    <row r="63" spans="1:7" ht="14.25">
      <c r="A63" s="1413"/>
      <c r="B63" s="1413"/>
      <c r="C63" s="1434" t="s">
        <v>223</v>
      </c>
      <c r="D63" s="1423" t="s">
        <v>748</v>
      </c>
      <c r="E63" s="1443"/>
      <c r="F63" s="1441"/>
      <c r="G63" s="1441">
        <v>23076.3</v>
      </c>
    </row>
    <row r="64" spans="1:7" ht="15" thickBot="1">
      <c r="A64" s="1413"/>
      <c r="B64" s="1413"/>
      <c r="C64" s="1434" t="s">
        <v>222</v>
      </c>
      <c r="D64" s="1423" t="s">
        <v>748</v>
      </c>
      <c r="E64" s="1443"/>
      <c r="F64" s="1441"/>
      <c r="G64" s="1441">
        <v>21208.322</v>
      </c>
    </row>
    <row r="65" spans="1:7" ht="15" thickBot="1">
      <c r="A65" s="1413"/>
      <c r="B65" s="1413"/>
      <c r="C65" s="1435" t="s">
        <v>200</v>
      </c>
      <c r="D65" s="1423" t="s">
        <v>748</v>
      </c>
      <c r="E65" s="1436"/>
      <c r="F65" s="1437"/>
      <c r="G65" s="1437">
        <v>49612.456999999995</v>
      </c>
    </row>
    <row r="66" spans="1:7" ht="14.25">
      <c r="A66" s="1413"/>
      <c r="B66" s="1413"/>
      <c r="C66" s="1432"/>
      <c r="D66" s="1423"/>
      <c r="E66" s="1438"/>
      <c r="F66" s="1439"/>
      <c r="G66" s="1231"/>
    </row>
    <row r="67" spans="1:7" ht="14.25">
      <c r="A67" s="1413"/>
      <c r="B67" s="1413"/>
      <c r="C67" s="1433" t="s">
        <v>751</v>
      </c>
      <c r="D67" s="1423"/>
      <c r="E67" s="1438"/>
      <c r="F67" s="1439"/>
      <c r="G67" s="1231"/>
    </row>
    <row r="68" spans="1:7" ht="14.25">
      <c r="A68" s="1413"/>
      <c r="B68" s="1413"/>
      <c r="C68" s="1434" t="s">
        <v>401</v>
      </c>
      <c r="D68" s="1423" t="s">
        <v>752</v>
      </c>
      <c r="E68" s="1424"/>
      <c r="F68" s="1425"/>
      <c r="G68" s="1426">
        <v>58</v>
      </c>
    </row>
    <row r="69" spans="1:7" ht="14.25">
      <c r="A69" s="1413"/>
      <c r="B69" s="1413"/>
      <c r="C69" s="1434" t="s">
        <v>753</v>
      </c>
      <c r="D69" s="1423" t="s">
        <v>752</v>
      </c>
      <c r="E69" s="1424"/>
      <c r="F69" s="1425"/>
      <c r="G69" s="1426">
        <v>315</v>
      </c>
    </row>
    <row r="70" spans="1:7" ht="14.25">
      <c r="A70" s="1413"/>
      <c r="B70" s="1413"/>
      <c r="C70" s="1434" t="s">
        <v>754</v>
      </c>
      <c r="D70" s="1423" t="s">
        <v>752</v>
      </c>
      <c r="E70" s="1424"/>
      <c r="F70" s="1425"/>
      <c r="G70" s="1426">
        <v>1</v>
      </c>
    </row>
    <row r="71" spans="1:7" ht="14.25">
      <c r="A71" s="1413"/>
      <c r="B71" s="1413"/>
      <c r="C71" s="1434" t="s">
        <v>755</v>
      </c>
      <c r="D71" s="1423" t="s">
        <v>752</v>
      </c>
      <c r="E71" s="1424"/>
      <c r="F71" s="1425"/>
      <c r="G71" s="1426">
        <v>12432</v>
      </c>
    </row>
    <row r="72" spans="1:7" ht="15" thickBot="1">
      <c r="A72" s="1413"/>
      <c r="B72" s="1413"/>
      <c r="C72" s="1434" t="s">
        <v>756</v>
      </c>
      <c r="D72" s="1423" t="s">
        <v>752</v>
      </c>
      <c r="E72" s="1424"/>
      <c r="F72" s="1425"/>
      <c r="G72" s="1426">
        <v>37737</v>
      </c>
    </row>
    <row r="73" spans="1:7" ht="15" thickBot="1">
      <c r="A73" s="1413"/>
      <c r="B73" s="1413"/>
      <c r="C73" s="1435" t="s">
        <v>200</v>
      </c>
      <c r="D73" s="1423" t="s">
        <v>752</v>
      </c>
      <c r="E73" s="1436"/>
      <c r="F73" s="1437"/>
      <c r="G73" s="1437">
        <v>50543</v>
      </c>
    </row>
    <row r="74" spans="1:7" ht="15.75" thickBot="1">
      <c r="A74" s="1413"/>
      <c r="B74" s="1413"/>
      <c r="C74" s="1428"/>
      <c r="D74" s="1427"/>
      <c r="E74" s="1428"/>
      <c r="F74" s="1429"/>
      <c r="G74" s="1429"/>
    </row>
    <row r="75" spans="1:7" ht="14.25">
      <c r="A75" s="740"/>
      <c r="B75" s="740"/>
      <c r="C75" s="740"/>
      <c r="D75" s="740"/>
      <c r="E75" s="740"/>
      <c r="F75" s="740"/>
      <c r="G75" s="740"/>
    </row>
    <row r="76" spans="1:7" ht="14.25">
      <c r="A76" s="1413"/>
      <c r="B76" s="1413"/>
      <c r="C76" s="740"/>
      <c r="D76" s="740"/>
      <c r="E76" s="740"/>
      <c r="F76" s="740"/>
      <c r="G76" s="740"/>
    </row>
    <row r="77" spans="1:7" ht="14.25">
      <c r="A77" s="1413"/>
      <c r="B77" s="1413"/>
      <c r="C77" s="740"/>
      <c r="D77" s="740"/>
      <c r="E77" s="740"/>
      <c r="F77" s="740"/>
      <c r="G77" s="740"/>
    </row>
    <row r="78" spans="1:7" ht="14.25">
      <c r="A78" s="1413"/>
      <c r="B78" s="1413"/>
      <c r="C78" s="740"/>
      <c r="D78" s="740"/>
      <c r="E78" s="740"/>
      <c r="F78" s="740"/>
      <c r="G78" s="740"/>
    </row>
    <row r="79" spans="1:7" ht="14.25">
      <c r="A79" s="1413"/>
      <c r="B79" s="1413"/>
      <c r="C79" s="740"/>
      <c r="D79" s="740"/>
      <c r="E79" s="740"/>
      <c r="F79" s="740"/>
      <c r="G79" s="740"/>
    </row>
    <row r="80" spans="1:7" ht="14.25">
      <c r="A80" s="1413"/>
      <c r="B80" s="1413"/>
      <c r="C80" s="740"/>
      <c r="D80" s="740"/>
      <c r="E80" s="740"/>
      <c r="F80" s="740"/>
      <c r="G80" s="740"/>
    </row>
  </sheetData>
  <mergeCells count="3">
    <mergeCell ref="A5:C5"/>
    <mergeCell ref="E8:G8"/>
    <mergeCell ref="H8:I8"/>
  </mergeCells>
  <hyperlinks>
    <hyperlink ref="F1" location="Inputs!A1" display="Index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C5FFFF"/>
    <pageSetUpPr fitToPage="1"/>
  </sheetPr>
  <dimension ref="A1:L49"/>
  <sheetViews>
    <sheetView workbookViewId="0">
      <selection activeCell="H11" sqref="H11:L49"/>
    </sheetView>
  </sheetViews>
  <sheetFormatPr defaultColWidth="8.85546875" defaultRowHeight="15"/>
  <cols>
    <col min="1" max="4" width="8.85546875" style="2" customWidth="1"/>
    <col min="5" max="5" width="17.42578125" style="2" customWidth="1"/>
    <col min="6" max="7" width="8.85546875" style="2" customWidth="1"/>
    <col min="8" max="12" width="8.42578125" style="2" bestFit="1" customWidth="1"/>
    <col min="13" max="16384" width="8.85546875" style="2"/>
  </cols>
  <sheetData>
    <row r="1" spans="1:12">
      <c r="C1" s="2" t="s">
        <v>757</v>
      </c>
    </row>
    <row r="8" spans="1:12">
      <c r="A8" s="2" t="s">
        <v>758</v>
      </c>
      <c r="H8" s="29" t="s">
        <v>79</v>
      </c>
      <c r="I8" s="29" t="s">
        <v>80</v>
      </c>
      <c r="J8" s="29" t="s">
        <v>81</v>
      </c>
      <c r="K8" s="29" t="s">
        <v>82</v>
      </c>
      <c r="L8" s="29" t="s">
        <v>44</v>
      </c>
    </row>
    <row r="9" spans="1:12">
      <c r="H9" s="29">
        <v>16</v>
      </c>
      <c r="I9" s="29">
        <v>17</v>
      </c>
      <c r="J9" s="29">
        <v>18</v>
      </c>
      <c r="K9" s="29">
        <v>19</v>
      </c>
      <c r="L9" s="29">
        <v>20</v>
      </c>
    </row>
    <row r="11" spans="1:12">
      <c r="B11" s="2" t="s">
        <v>759</v>
      </c>
      <c r="F11" s="2" t="s">
        <v>203</v>
      </c>
      <c r="H11" s="47">
        <v>190.2</v>
      </c>
      <c r="I11" s="47">
        <v>193.48948300000001</v>
      </c>
      <c r="J11" s="47">
        <v>200.65765400000001</v>
      </c>
      <c r="K11" s="47">
        <v>1.882347</v>
      </c>
      <c r="L11" s="47" t="e">
        <v>#DIV/0!</v>
      </c>
    </row>
    <row r="12" spans="1:12">
      <c r="B12" s="2" t="s">
        <v>760</v>
      </c>
      <c r="F12" s="2" t="s">
        <v>203</v>
      </c>
      <c r="H12" s="47">
        <v>1.407349</v>
      </c>
      <c r="I12" s="47">
        <v>-1.3617870000000001</v>
      </c>
      <c r="J12" s="47">
        <v>-3.144495</v>
      </c>
      <c r="K12" s="47">
        <v>-22.663311</v>
      </c>
      <c r="L12" s="47">
        <v>-22.663311</v>
      </c>
    </row>
    <row r="13" spans="1:12">
      <c r="B13" s="2" t="s">
        <v>761</v>
      </c>
      <c r="F13" s="2" t="s">
        <v>203</v>
      </c>
      <c r="H13" s="47">
        <v>13.526795</v>
      </c>
      <c r="I13" s="47">
        <v>9.6839169999999992</v>
      </c>
      <c r="J13" s="47">
        <v>7.4753319999999999</v>
      </c>
      <c r="K13" s="47">
        <v>0</v>
      </c>
      <c r="L13" s="47">
        <v>0</v>
      </c>
    </row>
    <row r="14" spans="1:12">
      <c r="B14" s="2" t="s">
        <v>762</v>
      </c>
      <c r="F14" s="2" t="s">
        <v>203</v>
      </c>
      <c r="H14" s="47">
        <v>-0.93646700000000005</v>
      </c>
      <c r="I14" s="47">
        <v>-6.8244220000000002</v>
      </c>
      <c r="J14" s="47">
        <v>-12.14462</v>
      </c>
      <c r="K14" s="47">
        <v>3.417392</v>
      </c>
      <c r="L14" s="47">
        <v>24.561330999999999</v>
      </c>
    </row>
    <row r="15" spans="1:12">
      <c r="H15" s="48"/>
      <c r="I15" s="48"/>
      <c r="J15" s="48"/>
      <c r="K15" s="48"/>
      <c r="L15" s="48"/>
    </row>
    <row r="16" spans="1:12">
      <c r="B16" s="2" t="s">
        <v>763</v>
      </c>
      <c r="F16" s="2" t="s">
        <v>203</v>
      </c>
      <c r="H16" s="49">
        <v>206.07061100000001</v>
      </c>
      <c r="I16" s="49">
        <v>208.63603499999999</v>
      </c>
      <c r="J16" s="49">
        <v>217.13311100000001</v>
      </c>
      <c r="K16" s="49">
        <v>-24.198356</v>
      </c>
      <c r="L16" s="49" t="e">
        <v>#DIV/0!</v>
      </c>
    </row>
    <row r="17" spans="1:12">
      <c r="H17" s="50"/>
      <c r="I17" s="50"/>
      <c r="J17" s="50"/>
      <c r="K17" s="50"/>
      <c r="L17" s="50"/>
    </row>
    <row r="18" spans="1:12">
      <c r="B18" s="2" t="s">
        <v>764</v>
      </c>
      <c r="F18" s="2" t="s">
        <v>203</v>
      </c>
      <c r="H18" s="47">
        <v>199.56</v>
      </c>
      <c r="I18" s="47">
        <v>197.13</v>
      </c>
      <c r="J18" s="47">
        <v>220.5</v>
      </c>
      <c r="K18" s="47">
        <v>0</v>
      </c>
      <c r="L18" s="47">
        <v>0</v>
      </c>
    </row>
    <row r="19" spans="1:12">
      <c r="B19" s="2" t="s">
        <v>765</v>
      </c>
      <c r="F19" s="2" t="s">
        <v>203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</row>
    <row r="20" spans="1:12">
      <c r="H20" s="48"/>
      <c r="I20" s="48"/>
      <c r="J20" s="48"/>
      <c r="K20" s="48"/>
      <c r="L20" s="48"/>
    </row>
    <row r="21" spans="1:12">
      <c r="B21" s="2" t="s">
        <v>766</v>
      </c>
      <c r="F21" s="2" t="s">
        <v>203</v>
      </c>
      <c r="H21" s="51">
        <v>-6.5106109999999999</v>
      </c>
      <c r="I21" s="51">
        <v>-11.506035000000001</v>
      </c>
      <c r="J21" s="51">
        <v>3.366889</v>
      </c>
      <c r="K21" s="51">
        <v>24.198356</v>
      </c>
      <c r="L21" s="51" t="e">
        <v>#DIV/0!</v>
      </c>
    </row>
    <row r="22" spans="1:12">
      <c r="H22" s="50"/>
      <c r="I22" s="50"/>
      <c r="J22" s="50"/>
      <c r="K22" s="50"/>
      <c r="L22" s="50"/>
    </row>
    <row r="23" spans="1:12">
      <c r="H23" s="50"/>
      <c r="I23" s="50"/>
      <c r="J23" s="50"/>
      <c r="K23" s="50"/>
      <c r="L23" s="50"/>
    </row>
    <row r="24" spans="1:12">
      <c r="A24" s="2" t="s">
        <v>767</v>
      </c>
      <c r="H24" s="50"/>
      <c r="I24" s="50"/>
      <c r="J24" s="50"/>
      <c r="K24" s="50"/>
      <c r="L24" s="50"/>
    </row>
    <row r="25" spans="1:12">
      <c r="H25" s="50"/>
      <c r="I25" s="50"/>
      <c r="J25" s="50"/>
      <c r="K25" s="50"/>
      <c r="L25" s="50"/>
    </row>
    <row r="26" spans="1:12">
      <c r="B26" s="2" t="s">
        <v>768</v>
      </c>
      <c r="F26" s="2" t="s">
        <v>203</v>
      </c>
      <c r="H26" s="47">
        <v>5.0000000000000001E-3</v>
      </c>
      <c r="I26" s="47">
        <v>2.0516E-2</v>
      </c>
      <c r="J26" s="47">
        <v>3.1919000000000003E-2</v>
      </c>
      <c r="K26" s="47">
        <v>0</v>
      </c>
      <c r="L26" s="47">
        <v>0</v>
      </c>
    </row>
    <row r="27" spans="1:12">
      <c r="B27" s="2" t="s">
        <v>769</v>
      </c>
      <c r="F27" s="2" t="s">
        <v>203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</row>
    <row r="28" spans="1:12">
      <c r="B28" s="2" t="s">
        <v>770</v>
      </c>
      <c r="F28" s="2" t="s">
        <v>203</v>
      </c>
      <c r="H28" s="47">
        <v>0</v>
      </c>
      <c r="I28" s="47">
        <v>-5.241E-3</v>
      </c>
      <c r="J28" s="47">
        <v>-6.0769999999999999E-3</v>
      </c>
      <c r="K28" s="47">
        <v>2.2334E-2</v>
      </c>
      <c r="L28" s="47">
        <v>2.2669000000000002E-2</v>
      </c>
    </row>
    <row r="29" spans="1:12">
      <c r="H29" s="48"/>
      <c r="I29" s="48"/>
      <c r="J29" s="48"/>
      <c r="K29" s="48"/>
      <c r="L29" s="48"/>
    </row>
    <row r="30" spans="1:12">
      <c r="B30" s="2" t="s">
        <v>767</v>
      </c>
      <c r="F30" s="2" t="s">
        <v>203</v>
      </c>
      <c r="H30" s="49">
        <v>5.0000000000000001E-3</v>
      </c>
      <c r="I30" s="49">
        <v>2.5756999999999999E-2</v>
      </c>
      <c r="J30" s="49">
        <v>3.7996000000000002E-2</v>
      </c>
      <c r="K30" s="49">
        <v>-2.2334E-2</v>
      </c>
      <c r="L30" s="49">
        <v>-2.2669000000000002E-2</v>
      </c>
    </row>
    <row r="31" spans="1:12">
      <c r="H31" s="50"/>
      <c r="I31" s="50"/>
      <c r="J31" s="50"/>
      <c r="K31" s="50"/>
      <c r="L31" s="50"/>
    </row>
    <row r="32" spans="1:12">
      <c r="B32" s="2" t="s">
        <v>771</v>
      </c>
      <c r="F32" s="2" t="s">
        <v>203</v>
      </c>
      <c r="H32" s="47">
        <v>0</v>
      </c>
      <c r="I32" s="47">
        <v>0.02</v>
      </c>
      <c r="J32" s="47">
        <v>0.06</v>
      </c>
      <c r="K32" s="47">
        <v>0</v>
      </c>
      <c r="L32" s="47">
        <v>0</v>
      </c>
    </row>
    <row r="33" spans="1:12">
      <c r="H33" s="50"/>
      <c r="I33" s="50"/>
      <c r="J33" s="50"/>
      <c r="K33" s="50"/>
      <c r="L33" s="50"/>
    </row>
    <row r="34" spans="1:12">
      <c r="B34" s="2" t="s">
        <v>766</v>
      </c>
      <c r="F34" s="2" t="s">
        <v>203</v>
      </c>
      <c r="H34" s="51">
        <v>-5.0000000000000001E-3</v>
      </c>
      <c r="I34" s="51">
        <v>-5.757E-3</v>
      </c>
      <c r="J34" s="51">
        <v>2.2003999999999999E-2</v>
      </c>
      <c r="K34" s="51">
        <v>2.2334E-2</v>
      </c>
      <c r="L34" s="51">
        <v>2.2669000000000002E-2</v>
      </c>
    </row>
    <row r="35" spans="1:12">
      <c r="H35" s="50"/>
      <c r="I35" s="50"/>
      <c r="J35" s="50"/>
      <c r="K35" s="50"/>
      <c r="L35" s="50"/>
    </row>
    <row r="36" spans="1:12">
      <c r="H36" s="50"/>
      <c r="I36" s="50"/>
      <c r="J36" s="50"/>
      <c r="K36" s="50"/>
      <c r="L36" s="50"/>
    </row>
    <row r="37" spans="1:12">
      <c r="A37" s="2" t="s">
        <v>772</v>
      </c>
      <c r="H37" s="52"/>
      <c r="I37" s="52"/>
      <c r="J37" s="52"/>
      <c r="K37" s="52"/>
      <c r="L37" s="52"/>
    </row>
    <row r="38" spans="1:12">
      <c r="B38" s="2" t="s">
        <v>773</v>
      </c>
      <c r="F38" s="2" t="s">
        <v>203</v>
      </c>
      <c r="H38" s="47">
        <v>4.05</v>
      </c>
      <c r="I38" s="47">
        <v>4.76</v>
      </c>
      <c r="J38" s="47">
        <v>4.66</v>
      </c>
      <c r="K38" s="47">
        <v>0</v>
      </c>
      <c r="L38" s="47">
        <v>0</v>
      </c>
    </row>
    <row r="39" spans="1:12">
      <c r="B39" s="2" t="s">
        <v>774</v>
      </c>
      <c r="F39" s="2" t="s">
        <v>203</v>
      </c>
      <c r="H39" s="47">
        <v>5.0028579999999998</v>
      </c>
      <c r="I39" s="47">
        <v>4.9531080000000003</v>
      </c>
      <c r="J39" s="53">
        <v>0</v>
      </c>
      <c r="K39" s="53">
        <v>0</v>
      </c>
      <c r="L39" s="53">
        <v>0</v>
      </c>
    </row>
    <row r="40" spans="1:12">
      <c r="H40" s="50"/>
      <c r="I40" s="50"/>
      <c r="J40" s="50"/>
      <c r="K40" s="50"/>
      <c r="L40" s="50"/>
    </row>
    <row r="41" spans="1:12">
      <c r="H41" s="54">
        <v>9.0528580000000005</v>
      </c>
      <c r="I41" s="54">
        <v>9.7131080000000001</v>
      </c>
      <c r="J41" s="54">
        <v>4.66</v>
      </c>
      <c r="K41" s="54">
        <v>0</v>
      </c>
      <c r="L41" s="54">
        <v>0</v>
      </c>
    </row>
    <row r="42" spans="1:12">
      <c r="H42" s="52"/>
      <c r="I42" s="52"/>
      <c r="J42" s="52"/>
      <c r="K42" s="52"/>
      <c r="L42" s="52"/>
    </row>
    <row r="43" spans="1:12">
      <c r="H43" s="52"/>
      <c r="I43" s="52"/>
      <c r="J43" s="52"/>
      <c r="K43" s="52"/>
      <c r="L43" s="52"/>
    </row>
    <row r="44" spans="1:12">
      <c r="A44" s="2" t="s">
        <v>775</v>
      </c>
      <c r="H44" s="52"/>
      <c r="I44" s="52"/>
      <c r="J44" s="52"/>
      <c r="K44" s="52"/>
      <c r="L44" s="52"/>
    </row>
    <row r="45" spans="1:12">
      <c r="B45" s="2" t="s">
        <v>776</v>
      </c>
      <c r="F45" s="2" t="s">
        <v>203</v>
      </c>
      <c r="H45" s="47">
        <v>37.869999999999997</v>
      </c>
      <c r="I45" s="47">
        <v>38.75</v>
      </c>
      <c r="J45" s="47">
        <v>44.91</v>
      </c>
      <c r="K45" s="47">
        <v>0</v>
      </c>
      <c r="L45" s="47">
        <v>0</v>
      </c>
    </row>
    <row r="46" spans="1:12">
      <c r="B46" s="2" t="s">
        <v>777</v>
      </c>
      <c r="F46" s="2" t="s">
        <v>203</v>
      </c>
      <c r="H46" s="55">
        <v>4.3600000000000003</v>
      </c>
      <c r="I46" s="55">
        <v>4.88</v>
      </c>
      <c r="J46" s="55">
        <v>5.39</v>
      </c>
      <c r="K46" s="55">
        <v>0</v>
      </c>
      <c r="L46" s="55">
        <v>0</v>
      </c>
    </row>
    <row r="47" spans="1:12">
      <c r="B47" s="2" t="s">
        <v>778</v>
      </c>
      <c r="F47" s="2" t="s">
        <v>203</v>
      </c>
      <c r="H47" s="55">
        <v>0.59</v>
      </c>
      <c r="I47" s="55">
        <v>5.84</v>
      </c>
      <c r="J47" s="55">
        <v>5.43</v>
      </c>
      <c r="K47" s="55">
        <v>0</v>
      </c>
      <c r="L47" s="55">
        <v>0</v>
      </c>
    </row>
    <row r="48" spans="1:12">
      <c r="H48" s="52"/>
      <c r="I48" s="52"/>
      <c r="J48" s="52"/>
      <c r="K48" s="52"/>
      <c r="L48" s="52"/>
    </row>
    <row r="49" spans="8:12">
      <c r="H49" s="51">
        <v>42.82</v>
      </c>
      <c r="I49" s="51">
        <v>49.47</v>
      </c>
      <c r="J49" s="51">
        <v>55.73</v>
      </c>
      <c r="K49" s="51">
        <v>0</v>
      </c>
      <c r="L49" s="51">
        <v>0</v>
      </c>
    </row>
  </sheetData>
  <phoneticPr fontId="1" type="noConversion"/>
  <pageMargins left="0.75" right="0.75" top="1" bottom="1" header="0.5" footer="0.5"/>
  <pageSetup paperSize="9" scale="5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tabColor rgb="FFC5FFFF"/>
    <pageSetUpPr fitToPage="1"/>
  </sheetPr>
  <dimension ref="A16:I163"/>
  <sheetViews>
    <sheetView showGridLines="0" workbookViewId="0"/>
  </sheetViews>
  <sheetFormatPr defaultColWidth="10.85546875" defaultRowHeight="15"/>
  <cols>
    <col min="1" max="1" width="4.28515625" style="1" customWidth="1"/>
    <col min="2" max="2" width="4.28515625" style="2" customWidth="1"/>
    <col min="3" max="3" width="27.42578125" style="2" bestFit="1" customWidth="1"/>
    <col min="4" max="9" width="22.85546875" style="2" customWidth="1"/>
    <col min="10" max="16384" width="10.85546875" style="2"/>
  </cols>
  <sheetData>
    <row r="16" spans="3:9" s="1" customFormat="1" ht="30">
      <c r="C16" s="1" t="s">
        <v>77</v>
      </c>
      <c r="D16" s="1" t="s">
        <v>190</v>
      </c>
      <c r="E16" s="31" t="s">
        <v>779</v>
      </c>
      <c r="F16" s="31"/>
      <c r="G16" s="31" t="s">
        <v>780</v>
      </c>
      <c r="H16" s="31" t="s">
        <v>781</v>
      </c>
      <c r="I16" s="31" t="s">
        <v>782</v>
      </c>
    </row>
    <row r="17" spans="1:9" s="1" customFormat="1" ht="60">
      <c r="E17" s="31" t="s">
        <v>783</v>
      </c>
      <c r="F17" s="31" t="s">
        <v>784</v>
      </c>
      <c r="G17" s="31" t="s">
        <v>785</v>
      </c>
      <c r="H17" s="31" t="s">
        <v>786</v>
      </c>
      <c r="I17" s="31" t="s">
        <v>787</v>
      </c>
    </row>
    <row r="18" spans="1:9">
      <c r="A18" s="1" t="s">
        <v>89</v>
      </c>
    </row>
    <row r="19" spans="1:9">
      <c r="B19" s="2" t="s">
        <v>429</v>
      </c>
    </row>
    <row r="20" spans="1:9">
      <c r="C20" s="2" t="s">
        <v>91</v>
      </c>
      <c r="D20" s="2" t="s">
        <v>516</v>
      </c>
      <c r="E20" s="2">
        <f>IF(ISNUMBER('FBPQ C2'!J12),'FBPQ C2'!J12,IF(ISNUMBER('FBPQ C2'!I12),'FBPQ C2'!I12,""))</f>
        <v>19.440000000000001</v>
      </c>
      <c r="F20" s="2" t="s">
        <v>788</v>
      </c>
      <c r="G20" s="2">
        <f t="shared" ref="G20:G83" si="0">IF(ISNUMBER(E20),E20,IF(H20&gt;0,F20," "))</f>
        <v>19.440000000000001</v>
      </c>
      <c r="H20" s="2">
        <f>IF(ISBLANK('FBPQ T4'!E12)," ",'FBPQ T4'!AE12)</f>
        <v>7448</v>
      </c>
      <c r="I20" s="2">
        <f t="shared" ref="I20:I83" si="1">IF(ISERROR(G20*H20)," ",G20*H20)</f>
        <v>144789.12</v>
      </c>
    </row>
    <row r="21" spans="1:9">
      <c r="C21" s="2" t="s">
        <v>92</v>
      </c>
      <c r="D21" s="2" t="s">
        <v>517</v>
      </c>
      <c r="E21" s="2">
        <f>IF(ISNUMBER('FBPQ C2'!J13),'FBPQ C2'!J13,IF(ISNUMBER('FBPQ C2'!I13),'FBPQ C2'!I13,""))</f>
        <v>0.31</v>
      </c>
      <c r="F21" s="2" t="s">
        <v>788</v>
      </c>
      <c r="G21" s="2">
        <f t="shared" si="0"/>
        <v>0.31</v>
      </c>
      <c r="H21" s="2">
        <f>IF(ISBLANK('FBPQ T4'!E13)," ",'FBPQ T4'!AE13)</f>
        <v>442000</v>
      </c>
      <c r="I21" s="2">
        <f t="shared" si="1"/>
        <v>137020</v>
      </c>
    </row>
    <row r="22" spans="1:9">
      <c r="E22" s="2" t="str">
        <f>IF(ISNUMBER('FBPQ C2'!J14),'FBPQ C2'!J14,IF(ISNUMBER('FBPQ C2'!I14),'FBPQ C2'!I14,""))</f>
        <v/>
      </c>
      <c r="G22" s="2">
        <f t="shared" si="0"/>
        <v>0</v>
      </c>
      <c r="H22" s="2" t="str">
        <f>IF(ISBLANK('FBPQ T4'!E14)," ",'FBPQ T4'!AE14)</f>
        <v xml:space="preserve"> </v>
      </c>
      <c r="I22" s="2" t="str">
        <f t="shared" si="1"/>
        <v xml:space="preserve"> </v>
      </c>
    </row>
    <row r="23" spans="1:9">
      <c r="B23" s="2" t="s">
        <v>93</v>
      </c>
      <c r="E23" s="2" t="str">
        <f>IF(ISNUMBER('FBPQ C2'!J15),'FBPQ C2'!J15,IF(ISNUMBER('FBPQ C2'!I15),'FBPQ C2'!I15,""))</f>
        <v/>
      </c>
      <c r="G23" s="2">
        <f t="shared" si="0"/>
        <v>0</v>
      </c>
      <c r="H23" s="2" t="str">
        <f>IF(ISBLANK('FBPQ T4'!E15)," ",'FBPQ T4'!AE15)</f>
        <v xml:space="preserve"> </v>
      </c>
      <c r="I23" s="2" t="str">
        <f t="shared" si="1"/>
        <v xml:space="preserve"> </v>
      </c>
    </row>
    <row r="24" spans="1:9">
      <c r="C24" s="2" t="s">
        <v>94</v>
      </c>
      <c r="D24" s="2" t="s">
        <v>517</v>
      </c>
      <c r="E24" s="2">
        <f>IF(ISNUMBER('FBPQ C2'!J16),'FBPQ C2'!J16,IF(ISNUMBER('FBPQ C2'!I16),'FBPQ C2'!I16,""))</f>
        <v>1.88</v>
      </c>
      <c r="F24" s="2" t="s">
        <v>788</v>
      </c>
      <c r="G24" s="2">
        <f t="shared" si="0"/>
        <v>1.88</v>
      </c>
      <c r="H24" s="2">
        <f>IF(ISBLANK('FBPQ T4'!E16)," ",'FBPQ T4'!AE16)</f>
        <v>198165</v>
      </c>
      <c r="I24" s="2">
        <f t="shared" si="1"/>
        <v>372550.19999999995</v>
      </c>
    </row>
    <row r="25" spans="1:9">
      <c r="E25" s="2" t="str">
        <f>IF(ISNUMBER('FBPQ C2'!J17),'FBPQ C2'!J17,IF(ISNUMBER('FBPQ C2'!I17),'FBPQ C2'!I17,""))</f>
        <v/>
      </c>
      <c r="G25" s="2">
        <f t="shared" si="0"/>
        <v>0</v>
      </c>
      <c r="H25" s="2" t="str">
        <f>IF(ISBLANK('FBPQ T4'!E17)," ",'FBPQ T4'!AE17)</f>
        <v xml:space="preserve"> </v>
      </c>
      <c r="I25" s="2" t="str">
        <f t="shared" si="1"/>
        <v xml:space="preserve"> </v>
      </c>
    </row>
    <row r="26" spans="1:9">
      <c r="B26" s="2" t="s">
        <v>95</v>
      </c>
      <c r="E26" s="2" t="str">
        <f>IF(ISNUMBER('FBPQ C2'!J18),'FBPQ C2'!J18,IF(ISNUMBER('FBPQ C2'!I18),'FBPQ C2'!I18,""))</f>
        <v/>
      </c>
      <c r="G26" s="2">
        <f t="shared" si="0"/>
        <v>0</v>
      </c>
      <c r="H26" s="2" t="str">
        <f>IF(ISBLANK('FBPQ T4'!E18)," ",'FBPQ T4'!AE18)</f>
        <v xml:space="preserve"> </v>
      </c>
      <c r="I26" s="2" t="str">
        <f t="shared" si="1"/>
        <v xml:space="preserve"> </v>
      </c>
    </row>
    <row r="27" spans="1:9">
      <c r="C27" s="2" t="s">
        <v>96</v>
      </c>
      <c r="D27" s="2" t="s">
        <v>516</v>
      </c>
      <c r="E27" s="2">
        <f>IF(ISNUMBER('FBPQ C2'!J19),'FBPQ C2'!J19,IF(ISNUMBER('FBPQ C2'!I19),'FBPQ C2'!I19,""))</f>
        <v>75.86</v>
      </c>
      <c r="F27" s="2" t="s">
        <v>788</v>
      </c>
      <c r="G27" s="2">
        <f t="shared" si="0"/>
        <v>75.86</v>
      </c>
      <c r="H27" s="2">
        <f>IF(ISBLANK('FBPQ T4'!E19)," ",'FBPQ T4'!AE19)</f>
        <v>2727.8220000000001</v>
      </c>
      <c r="I27" s="2">
        <f t="shared" si="1"/>
        <v>206932.57692000002</v>
      </c>
    </row>
    <row r="28" spans="1:9">
      <c r="C28" s="2" t="s">
        <v>97</v>
      </c>
      <c r="D28" s="2" t="s">
        <v>516</v>
      </c>
      <c r="E28" s="2">
        <f>IF(ISNUMBER('FBPQ C2'!J20),'FBPQ C2'!J20,IF(ISNUMBER('FBPQ C2'!I20),'FBPQ C2'!I20,""))</f>
        <v>67.22</v>
      </c>
      <c r="F28" s="2" t="s">
        <v>788</v>
      </c>
      <c r="G28" s="2">
        <f t="shared" si="0"/>
        <v>67.22</v>
      </c>
      <c r="H28" s="2">
        <f>IF(ISBLANK('FBPQ T4'!E20)," ",'FBPQ T4'!AE20)</f>
        <v>4957.2</v>
      </c>
      <c r="I28" s="2">
        <f t="shared" si="1"/>
        <v>333222.984</v>
      </c>
    </row>
    <row r="29" spans="1:9">
      <c r="C29" s="2" t="s">
        <v>98</v>
      </c>
      <c r="D29" s="2" t="s">
        <v>516</v>
      </c>
      <c r="E29" s="2">
        <f>IF(ISNUMBER('FBPQ C2'!J21),'FBPQ C2'!J21,IF(ISNUMBER('FBPQ C2'!I21),'FBPQ C2'!I21,""))</f>
        <v>75.86</v>
      </c>
      <c r="F29" s="2" t="s">
        <v>788</v>
      </c>
      <c r="G29" s="2">
        <f t="shared" si="0"/>
        <v>75.86</v>
      </c>
      <c r="H29" s="2">
        <f>IF(ISBLANK('FBPQ T4'!E21)," ",'FBPQ T4'!AE21)</f>
        <v>6391.3</v>
      </c>
      <c r="I29" s="2">
        <f t="shared" si="1"/>
        <v>484844.01799999998</v>
      </c>
    </row>
    <row r="30" spans="1:9">
      <c r="C30" s="2" t="s">
        <v>99</v>
      </c>
      <c r="D30" s="2" t="s">
        <v>517</v>
      </c>
      <c r="E30" s="2">
        <f>IF(ISNUMBER('FBPQ C2'!J22),'FBPQ C2'!J22,IF(ISNUMBER('FBPQ C2'!I22),'FBPQ C2'!I22,""))</f>
        <v>0.7</v>
      </c>
      <c r="F30" s="2" t="s">
        <v>788</v>
      </c>
      <c r="G30" s="2">
        <f t="shared" si="0"/>
        <v>0.7</v>
      </c>
      <c r="H30" s="2">
        <f>IF(ISBLANK('FBPQ T4'!E22)," ",'FBPQ T4'!AE22)</f>
        <v>1091923</v>
      </c>
      <c r="I30" s="2">
        <f t="shared" si="1"/>
        <v>764346.1</v>
      </c>
    </row>
    <row r="31" spans="1:9">
      <c r="E31" s="2" t="str">
        <f>IF(ISNUMBER('FBPQ C2'!J23),'FBPQ C2'!J23,IF(ISNUMBER('FBPQ C2'!I23),'FBPQ C2'!I23,""))</f>
        <v/>
      </c>
      <c r="G31" s="2">
        <f t="shared" si="0"/>
        <v>0</v>
      </c>
      <c r="H31" s="2" t="str">
        <f>IF(ISBLANK('FBPQ T4'!E23)," ",'FBPQ T4'!AE23)</f>
        <v xml:space="preserve"> </v>
      </c>
      <c r="I31" s="2" t="str">
        <f t="shared" si="1"/>
        <v xml:space="preserve"> </v>
      </c>
    </row>
    <row r="32" spans="1:9">
      <c r="B32" s="2" t="s">
        <v>100</v>
      </c>
      <c r="E32" s="2" t="str">
        <f>IF(ISNUMBER('FBPQ C2'!J24),'FBPQ C2'!J24,IF(ISNUMBER('FBPQ C2'!I24),'FBPQ C2'!I24,""))</f>
        <v/>
      </c>
      <c r="G32" s="2">
        <f t="shared" si="0"/>
        <v>0</v>
      </c>
      <c r="H32" s="2" t="str">
        <f>IF(ISBLANK('FBPQ T4'!E24)," ",'FBPQ T4'!AE24)</f>
        <v xml:space="preserve"> </v>
      </c>
      <c r="I32" s="2" t="str">
        <f t="shared" si="1"/>
        <v xml:space="preserve"> </v>
      </c>
    </row>
    <row r="33" spans="1:9">
      <c r="C33" s="2" t="s">
        <v>101</v>
      </c>
      <c r="D33" s="2" t="s">
        <v>517</v>
      </c>
      <c r="E33" s="2">
        <f>IF(ISNUMBER('FBPQ C2'!J25),'FBPQ C2'!J25,IF(ISNUMBER('FBPQ C2'!I25),'FBPQ C2'!I25,""))</f>
        <v>7.94</v>
      </c>
      <c r="F33" s="2" t="s">
        <v>788</v>
      </c>
      <c r="G33" s="2">
        <f t="shared" si="0"/>
        <v>7.94</v>
      </c>
      <c r="H33" s="2">
        <f>IF(ISBLANK('FBPQ T4'!E25)," ",'FBPQ T4'!AE25)</f>
        <v>6864</v>
      </c>
      <c r="I33" s="2">
        <f t="shared" si="1"/>
        <v>54500.160000000003</v>
      </c>
    </row>
    <row r="34" spans="1:9">
      <c r="C34" s="2" t="s">
        <v>102</v>
      </c>
      <c r="D34" s="2" t="s">
        <v>517</v>
      </c>
      <c r="E34" s="2">
        <f>IF(ISNUMBER('FBPQ C2'!J26),'FBPQ C2'!J26,IF(ISNUMBER('FBPQ C2'!I26),'FBPQ C2'!I26,""))</f>
        <v>8.36</v>
      </c>
      <c r="F34" s="2" t="s">
        <v>788</v>
      </c>
      <c r="G34" s="2">
        <f t="shared" si="0"/>
        <v>8.36</v>
      </c>
      <c r="H34" s="2">
        <f>IF(ISBLANK('FBPQ T4'!E26)," ",'FBPQ T4'!AE26)</f>
        <v>3328</v>
      </c>
      <c r="I34" s="2">
        <f t="shared" si="1"/>
        <v>27822.079999999998</v>
      </c>
    </row>
    <row r="35" spans="1:9">
      <c r="C35" s="2" t="s">
        <v>103</v>
      </c>
      <c r="D35" s="2" t="s">
        <v>517</v>
      </c>
      <c r="E35" s="2">
        <f>IF(ISNUMBER('FBPQ C2'!J27),'FBPQ C2'!J27,IF(ISNUMBER('FBPQ C2'!I27),'FBPQ C2'!I27,""))</f>
        <v>10.38</v>
      </c>
      <c r="F35" s="2" t="s">
        <v>788</v>
      </c>
      <c r="G35" s="2">
        <f t="shared" si="0"/>
        <v>10.38</v>
      </c>
      <c r="H35" s="2">
        <f>IF(ISBLANK('FBPQ T4'!E27)," ",'FBPQ T4'!AE27)</f>
        <v>1579</v>
      </c>
      <c r="I35" s="2">
        <f t="shared" si="1"/>
        <v>16390.02</v>
      </c>
    </row>
    <row r="36" spans="1:9">
      <c r="C36" s="2" t="s">
        <v>104</v>
      </c>
      <c r="D36" s="2" t="s">
        <v>517</v>
      </c>
      <c r="E36" s="2" t="str">
        <f>IF(ISNUMBER('FBPQ C2'!J28),'FBPQ C2'!J28,IF(ISNUMBER('FBPQ C2'!I28),'FBPQ C2'!I28,""))</f>
        <v/>
      </c>
      <c r="F36" s="2" t="s">
        <v>788</v>
      </c>
      <c r="G36" s="2" t="str">
        <f t="shared" si="0"/>
        <v>DATA</v>
      </c>
      <c r="H36" s="2">
        <f>IF(ISBLANK('FBPQ T4'!E28)," ",'FBPQ T4'!AE28)</f>
        <v>11751</v>
      </c>
      <c r="I36" s="2" t="str">
        <f t="shared" si="1"/>
        <v xml:space="preserve"> </v>
      </c>
    </row>
    <row r="37" spans="1:9">
      <c r="C37" s="2" t="s">
        <v>105</v>
      </c>
      <c r="D37" s="2" t="s">
        <v>517</v>
      </c>
      <c r="E37" s="2" t="str">
        <f>IF(ISNUMBER('FBPQ C2'!J29),'FBPQ C2'!J29,IF(ISNUMBER('FBPQ C2'!I29),'FBPQ C2'!I29,""))</f>
        <v/>
      </c>
      <c r="F37" s="2" t="s">
        <v>788</v>
      </c>
      <c r="G37" s="2" t="str">
        <f t="shared" si="0"/>
        <v>DATA</v>
      </c>
      <c r="H37" s="2">
        <f>IF(ISBLANK('FBPQ T4'!E29)," ",'FBPQ T4'!AE29)</f>
        <v>37881</v>
      </c>
      <c r="I37" s="2" t="str">
        <f t="shared" si="1"/>
        <v xml:space="preserve"> </v>
      </c>
    </row>
    <row r="38" spans="1:9">
      <c r="C38" s="2" t="s">
        <v>106</v>
      </c>
      <c r="D38" s="2" t="s">
        <v>517</v>
      </c>
      <c r="E38" s="2" t="str">
        <f>IF(ISNUMBER('FBPQ C2'!J30),'FBPQ C2'!J30,IF(ISNUMBER('FBPQ C2'!I30),'FBPQ C2'!I30,""))</f>
        <v/>
      </c>
      <c r="F38" s="2" t="s">
        <v>788</v>
      </c>
      <c r="G38" s="2" t="str">
        <f t="shared" si="0"/>
        <v>DATA</v>
      </c>
      <c r="H38" s="2">
        <f>IF(ISBLANK('FBPQ T4'!E30)," ",'FBPQ T4'!AE30)</f>
        <v>858</v>
      </c>
      <c r="I38" s="2" t="str">
        <f t="shared" si="1"/>
        <v xml:space="preserve"> </v>
      </c>
    </row>
    <row r="39" spans="1:9">
      <c r="E39" s="2" t="str">
        <f>IF(ISNUMBER('FBPQ C2'!J31),'FBPQ C2'!J31,IF(ISNUMBER('FBPQ C2'!I31),'FBPQ C2'!I31,""))</f>
        <v/>
      </c>
      <c r="G39" s="2">
        <f t="shared" si="0"/>
        <v>0</v>
      </c>
      <c r="H39" s="2" t="str">
        <f>IF(ISBLANK('FBPQ T4'!E31)," ",'FBPQ T4'!AE31)</f>
        <v xml:space="preserve"> </v>
      </c>
      <c r="I39" s="2" t="str">
        <f t="shared" si="1"/>
        <v xml:space="preserve"> </v>
      </c>
    </row>
    <row r="40" spans="1:9">
      <c r="A40" s="1" t="s">
        <v>107</v>
      </c>
      <c r="E40" s="2" t="str">
        <f>IF(ISNUMBER('FBPQ C2'!J32),'FBPQ C2'!J32,IF(ISNUMBER('FBPQ C2'!I32),'FBPQ C2'!I32,""))</f>
        <v/>
      </c>
      <c r="G40" s="2">
        <f t="shared" si="0"/>
        <v>0</v>
      </c>
      <c r="H40" s="2" t="str">
        <f>IF(ISBLANK('FBPQ T4'!E32)," ",'FBPQ T4'!AE32)</f>
        <v xml:space="preserve"> </v>
      </c>
      <c r="I40" s="2" t="str">
        <f t="shared" si="1"/>
        <v xml:space="preserve"> </v>
      </c>
    </row>
    <row r="41" spans="1:9">
      <c r="B41" s="2" t="s">
        <v>429</v>
      </c>
      <c r="E41" s="2" t="str">
        <f>IF(ISNUMBER('FBPQ C2'!J33),'FBPQ C2'!J33,IF(ISNUMBER('FBPQ C2'!I33),'FBPQ C2'!I33,""))</f>
        <v/>
      </c>
      <c r="G41" s="2">
        <f t="shared" si="0"/>
        <v>0</v>
      </c>
      <c r="H41" s="2" t="str">
        <f>IF(ISBLANK('FBPQ T4'!E33)," ",'FBPQ T4'!AE33)</f>
        <v xml:space="preserve"> </v>
      </c>
      <c r="I41" s="2" t="str">
        <f t="shared" si="1"/>
        <v xml:space="preserve"> </v>
      </c>
    </row>
    <row r="42" spans="1:9">
      <c r="C42" s="2" t="s">
        <v>108</v>
      </c>
      <c r="D42" s="2" t="s">
        <v>516</v>
      </c>
      <c r="E42" s="2">
        <f>IF(ISNUMBER('FBPQ C2'!J34),'FBPQ C2'!J34,IF(ISNUMBER('FBPQ C2'!I34),'FBPQ C2'!I34,""))</f>
        <v>20.78</v>
      </c>
      <c r="F42" s="2" t="s">
        <v>788</v>
      </c>
      <c r="G42" s="2">
        <f t="shared" si="0"/>
        <v>20.78</v>
      </c>
      <c r="H42" s="2">
        <f>IF(ISBLANK('FBPQ T4'!E34)," ",'FBPQ T4'!AE34)</f>
        <v>16591</v>
      </c>
      <c r="I42" s="2">
        <f t="shared" si="1"/>
        <v>344760.98000000004</v>
      </c>
    </row>
    <row r="43" spans="1:9">
      <c r="C43" s="2" t="s">
        <v>109</v>
      </c>
      <c r="D43" s="2" t="s">
        <v>516</v>
      </c>
      <c r="E43" s="2" t="str">
        <f>IF(ISNUMBER('FBPQ C2'!J35),'FBPQ C2'!J35,IF(ISNUMBER('FBPQ C2'!I35),'FBPQ C2'!I35,""))</f>
        <v/>
      </c>
      <c r="F43" s="2" t="s">
        <v>788</v>
      </c>
      <c r="G43" s="2" t="str">
        <f t="shared" si="0"/>
        <v xml:space="preserve"> </v>
      </c>
      <c r="H43" s="2">
        <f>IF(ISBLANK('FBPQ T4'!E35)," ",'FBPQ T4'!AE35)</f>
        <v>0</v>
      </c>
      <c r="I43" s="2" t="str">
        <f t="shared" si="1"/>
        <v xml:space="preserve"> </v>
      </c>
    </row>
    <row r="44" spans="1:9">
      <c r="C44" s="2" t="s">
        <v>110</v>
      </c>
      <c r="D44" s="2" t="s">
        <v>516</v>
      </c>
      <c r="E44" s="2" t="str">
        <f>IF(ISNUMBER('FBPQ C2'!J36),'FBPQ C2'!J36,IF(ISNUMBER('FBPQ C2'!I36),'FBPQ C2'!I36,""))</f>
        <v/>
      </c>
      <c r="F44" s="2" t="s">
        <v>788</v>
      </c>
      <c r="G44" s="2" t="str">
        <f t="shared" si="0"/>
        <v xml:space="preserve"> </v>
      </c>
      <c r="H44" s="2">
        <f>IF(ISBLANK('FBPQ T4'!E36)," ",'FBPQ T4'!AE36)</f>
        <v>0</v>
      </c>
      <c r="I44" s="2" t="str">
        <f t="shared" si="1"/>
        <v xml:space="preserve"> </v>
      </c>
    </row>
    <row r="45" spans="1:9">
      <c r="C45" s="2" t="s">
        <v>111</v>
      </c>
      <c r="D45" s="2" t="s">
        <v>516</v>
      </c>
      <c r="E45" s="2" t="str">
        <f>IF(ISNUMBER('FBPQ C2'!J37),'FBPQ C2'!J37,IF(ISNUMBER('FBPQ C2'!I37),'FBPQ C2'!I37,""))</f>
        <v/>
      </c>
      <c r="F45" s="2" t="s">
        <v>788</v>
      </c>
      <c r="G45" s="2" t="str">
        <f t="shared" si="0"/>
        <v xml:space="preserve"> </v>
      </c>
      <c r="H45" s="2">
        <f>IF(ISBLANK('FBPQ T4'!E37)," ",'FBPQ T4'!AE37)</f>
        <v>0</v>
      </c>
      <c r="I45" s="2" t="str">
        <f t="shared" si="1"/>
        <v xml:space="preserve"> </v>
      </c>
    </row>
    <row r="46" spans="1:9">
      <c r="E46" s="2" t="str">
        <f>IF(ISNUMBER('FBPQ C2'!J38),'FBPQ C2'!J38,IF(ISNUMBER('FBPQ C2'!I38),'FBPQ C2'!I38,""))</f>
        <v/>
      </c>
      <c r="G46" s="2">
        <f t="shared" si="0"/>
        <v>0</v>
      </c>
      <c r="H46" s="2" t="str">
        <f>IF(ISBLANK('FBPQ T4'!E38)," ",'FBPQ T4'!AE38)</f>
        <v xml:space="preserve"> </v>
      </c>
      <c r="I46" s="2" t="str">
        <f t="shared" si="1"/>
        <v xml:space="preserve"> </v>
      </c>
    </row>
    <row r="47" spans="1:9">
      <c r="B47" s="2" t="s">
        <v>93</v>
      </c>
      <c r="E47" s="2" t="str">
        <f>IF(ISNUMBER('FBPQ C2'!J39),'FBPQ C2'!J39,IF(ISNUMBER('FBPQ C2'!I39),'FBPQ C2'!I39,""))</f>
        <v/>
      </c>
      <c r="G47" s="2">
        <f t="shared" si="0"/>
        <v>0</v>
      </c>
      <c r="H47" s="2" t="str">
        <f>IF(ISBLANK('FBPQ T4'!E39)," ",'FBPQ T4'!AE39)</f>
        <v xml:space="preserve"> </v>
      </c>
      <c r="I47" s="2" t="str">
        <f t="shared" si="1"/>
        <v xml:space="preserve"> </v>
      </c>
    </row>
    <row r="48" spans="1:9">
      <c r="C48" s="2" t="s">
        <v>112</v>
      </c>
      <c r="D48" s="2" t="s">
        <v>517</v>
      </c>
      <c r="E48" s="2">
        <f>IF(ISNUMBER('FBPQ C2'!J40),'FBPQ C2'!J40,IF(ISNUMBER('FBPQ C2'!I40),'FBPQ C2'!I40,""))</f>
        <v>2</v>
      </c>
      <c r="F48" s="2" t="s">
        <v>788</v>
      </c>
      <c r="G48" s="2">
        <f t="shared" si="0"/>
        <v>2</v>
      </c>
      <c r="H48" s="2">
        <f>IF(ISBLANK('FBPQ T4'!E40)," ",'FBPQ T4'!AE40)</f>
        <v>213168</v>
      </c>
      <c r="I48" s="2">
        <f t="shared" si="1"/>
        <v>426336</v>
      </c>
    </row>
    <row r="49" spans="2:9">
      <c r="C49" s="2" t="s">
        <v>113</v>
      </c>
      <c r="D49" s="2" t="s">
        <v>517</v>
      </c>
      <c r="E49" s="2" t="str">
        <f>IF(ISNUMBER('FBPQ C2'!J41),'FBPQ C2'!J41,IF(ISNUMBER('FBPQ C2'!I41),'FBPQ C2'!I41,""))</f>
        <v/>
      </c>
      <c r="F49" s="2" t="s">
        <v>788</v>
      </c>
      <c r="G49" s="2" t="str">
        <f t="shared" si="0"/>
        <v xml:space="preserve"> </v>
      </c>
      <c r="H49" s="2">
        <f>IF(ISBLANK('FBPQ T4'!E41)," ",'FBPQ T4'!AE41)</f>
        <v>0</v>
      </c>
      <c r="I49" s="2" t="str">
        <f t="shared" si="1"/>
        <v xml:space="preserve"> </v>
      </c>
    </row>
    <row r="50" spans="2:9">
      <c r="E50" s="2" t="str">
        <f>IF(ISNUMBER('FBPQ C2'!J42),'FBPQ C2'!J42,IF(ISNUMBER('FBPQ C2'!I42),'FBPQ C2'!I42,""))</f>
        <v/>
      </c>
      <c r="F50" s="2" t="s">
        <v>788</v>
      </c>
      <c r="G50" s="2" t="str">
        <f t="shared" si="0"/>
        <v>DATA</v>
      </c>
      <c r="H50" s="2" t="str">
        <f>IF(ISBLANK('FBPQ T4'!E42)," ",'FBPQ T4'!AE42)</f>
        <v xml:space="preserve"> </v>
      </c>
      <c r="I50" s="2" t="str">
        <f t="shared" si="1"/>
        <v xml:space="preserve"> </v>
      </c>
    </row>
    <row r="51" spans="2:9">
      <c r="B51" s="2" t="s">
        <v>114</v>
      </c>
      <c r="E51" s="2" t="str">
        <f>IF(ISNUMBER('FBPQ C2'!J43),'FBPQ C2'!J43,IF(ISNUMBER('FBPQ C2'!I43),'FBPQ C2'!I43,""))</f>
        <v/>
      </c>
      <c r="G51" s="2">
        <f t="shared" si="0"/>
        <v>0</v>
      </c>
      <c r="H51" s="2" t="str">
        <f>IF(ISBLANK('FBPQ T4'!E43)," ",'FBPQ T4'!AE43)</f>
        <v xml:space="preserve"> </v>
      </c>
      <c r="I51" s="2" t="str">
        <f t="shared" si="1"/>
        <v xml:space="preserve"> </v>
      </c>
    </row>
    <row r="52" spans="2:9">
      <c r="C52" s="2" t="s">
        <v>115</v>
      </c>
      <c r="D52" s="2" t="s">
        <v>516</v>
      </c>
      <c r="E52" s="2">
        <f>IF(ISNUMBER('FBPQ C2'!J44),'FBPQ C2'!J44,IF(ISNUMBER('FBPQ C2'!I44),'FBPQ C2'!I44,""))</f>
        <v>84.05</v>
      </c>
      <c r="F52" s="2" t="s">
        <v>788</v>
      </c>
      <c r="G52" s="2">
        <f t="shared" si="0"/>
        <v>84.05</v>
      </c>
      <c r="H52" s="2">
        <f>IF(ISBLANK('FBPQ T4'!E44)," ",'FBPQ T4'!AE44)</f>
        <v>6617.3</v>
      </c>
      <c r="I52" s="2">
        <f t="shared" si="1"/>
        <v>556184.06499999994</v>
      </c>
    </row>
    <row r="53" spans="2:9">
      <c r="C53" s="2" t="s">
        <v>116</v>
      </c>
      <c r="D53" s="2" t="s">
        <v>516</v>
      </c>
      <c r="E53" s="2" t="str">
        <f>IF(ISNUMBER('FBPQ C2'!J45),'FBPQ C2'!J45,IF(ISNUMBER('FBPQ C2'!I45),'FBPQ C2'!I45,""))</f>
        <v/>
      </c>
      <c r="F53" s="2" t="s">
        <v>788</v>
      </c>
      <c r="G53" s="2" t="str">
        <f t="shared" si="0"/>
        <v xml:space="preserve"> </v>
      </c>
      <c r="H53" s="2">
        <f>IF(ISBLANK('FBPQ T4'!E45)," ",'FBPQ T4'!AE45)</f>
        <v>0</v>
      </c>
      <c r="I53" s="2" t="str">
        <f t="shared" si="1"/>
        <v xml:space="preserve"> </v>
      </c>
    </row>
    <row r="54" spans="2:9">
      <c r="E54" s="2" t="str">
        <f>IF(ISNUMBER('FBPQ C2'!J46),'FBPQ C2'!J46,IF(ISNUMBER('FBPQ C2'!I46),'FBPQ C2'!I46,""))</f>
        <v/>
      </c>
      <c r="G54" s="2">
        <f t="shared" si="0"/>
        <v>0</v>
      </c>
      <c r="H54" s="2" t="str">
        <f>IF(ISBLANK('FBPQ T4'!E46)," ",'FBPQ T4'!AE46)</f>
        <v xml:space="preserve"> </v>
      </c>
      <c r="I54" s="2" t="str">
        <f t="shared" si="1"/>
        <v xml:space="preserve"> </v>
      </c>
    </row>
    <row r="55" spans="2:9">
      <c r="B55" s="2" t="s">
        <v>117</v>
      </c>
      <c r="E55" s="2" t="str">
        <f>IF(ISNUMBER('FBPQ C2'!J47),'FBPQ C2'!J47,IF(ISNUMBER('FBPQ C2'!I47),'FBPQ C2'!I47,""))</f>
        <v/>
      </c>
      <c r="G55" s="2">
        <f t="shared" si="0"/>
        <v>0</v>
      </c>
      <c r="H55" s="2" t="str">
        <f>IF(ISBLANK('FBPQ T4'!E47)," ",'FBPQ T4'!AE47)</f>
        <v xml:space="preserve"> </v>
      </c>
      <c r="I55" s="2" t="str">
        <f t="shared" si="1"/>
        <v xml:space="preserve"> </v>
      </c>
    </row>
    <row r="56" spans="2:9">
      <c r="C56" s="2" t="s">
        <v>118</v>
      </c>
      <c r="D56" s="2" t="s">
        <v>516</v>
      </c>
      <c r="E56" s="2">
        <f>IF(ISNUMBER('FBPQ C2'!J48),'FBPQ C2'!J48,IF(ISNUMBER('FBPQ C2'!I48),'FBPQ C2'!I48,""))</f>
        <v>535</v>
      </c>
      <c r="F56" s="2" t="s">
        <v>788</v>
      </c>
      <c r="G56" s="2">
        <f t="shared" si="0"/>
        <v>535</v>
      </c>
      <c r="H56" s="2">
        <f>IF(ISBLANK('FBPQ T4'!E48)," ",'FBPQ T4'!AE48)</f>
        <v>20</v>
      </c>
      <c r="I56" s="2">
        <f t="shared" si="1"/>
        <v>10700</v>
      </c>
    </row>
    <row r="57" spans="2:9">
      <c r="E57" s="2" t="str">
        <f>IF(ISNUMBER('FBPQ C2'!J49),'FBPQ C2'!J49,IF(ISNUMBER('FBPQ C2'!I49),'FBPQ C2'!I49,""))</f>
        <v/>
      </c>
      <c r="F57" s="2" t="s">
        <v>788</v>
      </c>
      <c r="G57" s="2" t="str">
        <f t="shared" si="0"/>
        <v>DATA</v>
      </c>
      <c r="H57" s="2" t="str">
        <f>IF(ISBLANK('FBPQ T4'!E49)," ",'FBPQ T4'!AE49)</f>
        <v xml:space="preserve"> </v>
      </c>
      <c r="I57" s="2" t="str">
        <f t="shared" si="1"/>
        <v xml:space="preserve"> </v>
      </c>
    </row>
    <row r="58" spans="2:9">
      <c r="B58" s="2" t="s">
        <v>100</v>
      </c>
      <c r="E58" s="2" t="str">
        <f>IF(ISNUMBER('FBPQ C2'!J50),'FBPQ C2'!J50,IF(ISNUMBER('FBPQ C2'!I50),'FBPQ C2'!I50,""))</f>
        <v/>
      </c>
      <c r="G58" s="2">
        <f t="shared" si="0"/>
        <v>0</v>
      </c>
      <c r="H58" s="2" t="str">
        <f>IF(ISBLANK('FBPQ T4'!E50)," ",'FBPQ T4'!AE50)</f>
        <v xml:space="preserve"> </v>
      </c>
      <c r="I58" s="2" t="str">
        <f t="shared" si="1"/>
        <v xml:space="preserve"> </v>
      </c>
    </row>
    <row r="59" spans="2:9">
      <c r="C59" s="2" t="s">
        <v>119</v>
      </c>
      <c r="D59" s="2" t="s">
        <v>517</v>
      </c>
      <c r="E59" s="2">
        <f>IF(ISNUMBER('FBPQ C2'!J51),'FBPQ C2'!J51,IF(ISNUMBER('FBPQ C2'!I51),'FBPQ C2'!I51,""))</f>
        <v>8.23</v>
      </c>
      <c r="F59" s="2" t="s">
        <v>788</v>
      </c>
      <c r="G59" s="2">
        <f t="shared" si="0"/>
        <v>8.23</v>
      </c>
      <c r="H59" s="2">
        <f>IF(ISBLANK('FBPQ T4'!E51)," ",'FBPQ T4'!AE51)</f>
        <v>697</v>
      </c>
      <c r="I59" s="2">
        <f t="shared" si="1"/>
        <v>5736.31</v>
      </c>
    </row>
    <row r="60" spans="2:9">
      <c r="C60" s="2" t="s">
        <v>120</v>
      </c>
      <c r="D60" s="2" t="s">
        <v>517</v>
      </c>
      <c r="E60" s="2">
        <f>IF(ISNUMBER('FBPQ C2'!J52),'FBPQ C2'!J52,IF(ISNUMBER('FBPQ C2'!I52),'FBPQ C2'!I52,""))</f>
        <v>24.46</v>
      </c>
      <c r="F60" s="2" t="s">
        <v>788</v>
      </c>
      <c r="G60" s="2">
        <f t="shared" si="0"/>
        <v>24.46</v>
      </c>
      <c r="H60" s="2">
        <f>IF(ISBLANK('FBPQ T4'!E52)," ",'FBPQ T4'!AE52)</f>
        <v>4133</v>
      </c>
      <c r="I60" s="2">
        <f t="shared" si="1"/>
        <v>101093.18000000001</v>
      </c>
    </row>
    <row r="61" spans="2:9">
      <c r="C61" s="2" t="s">
        <v>121</v>
      </c>
      <c r="D61" s="2" t="s">
        <v>517</v>
      </c>
      <c r="E61" s="2">
        <f>IF(ISNUMBER('FBPQ C2'!J53),'FBPQ C2'!J53,IF(ISNUMBER('FBPQ C2'!I53),'FBPQ C2'!I53,""))</f>
        <v>6.83</v>
      </c>
      <c r="F61" s="2" t="s">
        <v>788</v>
      </c>
      <c r="G61" s="2">
        <f t="shared" si="0"/>
        <v>6.83</v>
      </c>
      <c r="H61" s="2">
        <f>IF(ISBLANK('FBPQ T4'!E53)," ",'FBPQ T4'!AE53)</f>
        <v>140</v>
      </c>
      <c r="I61" s="2">
        <f t="shared" si="1"/>
        <v>956.2</v>
      </c>
    </row>
    <row r="62" spans="2:9">
      <c r="C62" s="2" t="s">
        <v>122</v>
      </c>
      <c r="D62" s="2" t="s">
        <v>517</v>
      </c>
      <c r="E62" s="2">
        <f>IF(ISNUMBER('FBPQ C2'!J54),'FBPQ C2'!J54,IF(ISNUMBER('FBPQ C2'!I54),'FBPQ C2'!I54,""))</f>
        <v>10.02</v>
      </c>
      <c r="F62" s="2" t="s">
        <v>788</v>
      </c>
      <c r="G62" s="2">
        <f t="shared" si="0"/>
        <v>10.02</v>
      </c>
      <c r="H62" s="2">
        <f>IF(ISBLANK('FBPQ T4'!E54)," ",'FBPQ T4'!AE54)</f>
        <v>8698</v>
      </c>
      <c r="I62" s="2">
        <f t="shared" si="1"/>
        <v>87153.959999999992</v>
      </c>
    </row>
    <row r="63" spans="2:9">
      <c r="C63" s="2" t="s">
        <v>123</v>
      </c>
      <c r="D63" s="2" t="s">
        <v>517</v>
      </c>
      <c r="E63" s="2">
        <f>IF(ISNUMBER('FBPQ C2'!J55),'FBPQ C2'!J55,IF(ISNUMBER('FBPQ C2'!I55),'FBPQ C2'!I55,""))</f>
        <v>12.15</v>
      </c>
      <c r="F63" s="2" t="s">
        <v>788</v>
      </c>
      <c r="G63" s="2">
        <f t="shared" si="0"/>
        <v>12.15</v>
      </c>
      <c r="H63" s="2">
        <f>IF(ISBLANK('FBPQ T4'!E55)," ",'FBPQ T4'!AE55)</f>
        <v>7141</v>
      </c>
      <c r="I63" s="2">
        <f t="shared" si="1"/>
        <v>86763.150000000009</v>
      </c>
    </row>
    <row r="64" spans="2:9">
      <c r="C64" s="2" t="s">
        <v>124</v>
      </c>
      <c r="D64" s="2" t="s">
        <v>517</v>
      </c>
      <c r="E64" s="2" t="str">
        <f>IF(ISNUMBER('FBPQ C2'!J56),'FBPQ C2'!J56,IF(ISNUMBER('FBPQ C2'!I56),'FBPQ C2'!I56,""))</f>
        <v/>
      </c>
      <c r="F64" s="2" t="s">
        <v>788</v>
      </c>
      <c r="G64" s="2" t="str">
        <f t="shared" si="0"/>
        <v>DATA</v>
      </c>
      <c r="H64" s="2">
        <f>IF(ISBLANK('FBPQ T4'!E56)," ",'FBPQ T4'!AE56)</f>
        <v>23664</v>
      </c>
      <c r="I64" s="2" t="str">
        <f t="shared" si="1"/>
        <v xml:space="preserve"> </v>
      </c>
    </row>
    <row r="65" spans="1:9">
      <c r="C65" s="2" t="s">
        <v>125</v>
      </c>
      <c r="D65" s="2" t="s">
        <v>517</v>
      </c>
      <c r="E65" s="2" t="str">
        <f>IF(ISNUMBER('FBPQ C2'!J57),'FBPQ C2'!J57,IF(ISNUMBER('FBPQ C2'!I57),'FBPQ C2'!I57,""))</f>
        <v/>
      </c>
      <c r="F65" s="2" t="s">
        <v>788</v>
      </c>
      <c r="G65" s="2" t="str">
        <f t="shared" si="0"/>
        <v>DATA</v>
      </c>
      <c r="H65" s="2">
        <f>IF(ISBLANK('FBPQ T4'!E57)," ",'FBPQ T4'!AE57)</f>
        <v>21</v>
      </c>
      <c r="I65" s="2" t="str">
        <f t="shared" si="1"/>
        <v xml:space="preserve"> </v>
      </c>
    </row>
    <row r="66" spans="1:9">
      <c r="C66" s="2" t="s">
        <v>126</v>
      </c>
      <c r="D66" s="2" t="s">
        <v>517</v>
      </c>
      <c r="E66" s="2" t="str">
        <f>IF(ISNUMBER('FBPQ C2'!J58),'FBPQ C2'!J58,IF(ISNUMBER('FBPQ C2'!I58),'FBPQ C2'!I58,""))</f>
        <v/>
      </c>
      <c r="F66" s="2" t="s">
        <v>788</v>
      </c>
      <c r="G66" s="2" t="str">
        <f t="shared" si="0"/>
        <v xml:space="preserve"> </v>
      </c>
      <c r="H66" s="2">
        <f>IF(ISBLANK('FBPQ T4'!E58)," ",'FBPQ T4'!AE58)</f>
        <v>0</v>
      </c>
      <c r="I66" s="2" t="str">
        <f t="shared" si="1"/>
        <v xml:space="preserve"> </v>
      </c>
    </row>
    <row r="67" spans="1:9">
      <c r="C67" s="2" t="s">
        <v>127</v>
      </c>
      <c r="D67" s="2" t="s">
        <v>517</v>
      </c>
      <c r="E67" s="2" t="str">
        <f>IF(ISNUMBER('FBPQ C2'!J59),'FBPQ C2'!J59,IF(ISNUMBER('FBPQ C2'!I59),'FBPQ C2'!I59,""))</f>
        <v/>
      </c>
      <c r="F67" s="2" t="s">
        <v>788</v>
      </c>
      <c r="G67" s="2" t="str">
        <f t="shared" si="0"/>
        <v xml:space="preserve"> </v>
      </c>
      <c r="H67" s="2">
        <f>IF(ISBLANK('FBPQ T4'!E59)," ",'FBPQ T4'!AE59)</f>
        <v>0</v>
      </c>
      <c r="I67" s="2" t="str">
        <f t="shared" si="1"/>
        <v xml:space="preserve"> </v>
      </c>
    </row>
    <row r="68" spans="1:9">
      <c r="C68" s="2" t="s">
        <v>128</v>
      </c>
      <c r="D68" s="2" t="s">
        <v>517</v>
      </c>
      <c r="E68" s="2" t="str">
        <f>IF(ISNUMBER('FBPQ C2'!J60),'FBPQ C2'!J60,IF(ISNUMBER('FBPQ C2'!I60),'FBPQ C2'!I60,""))</f>
        <v/>
      </c>
      <c r="F68" s="2" t="s">
        <v>788</v>
      </c>
      <c r="G68" s="2" t="str">
        <f t="shared" si="0"/>
        <v xml:space="preserve"> </v>
      </c>
      <c r="H68" s="2">
        <f>IF(ISBLANK('FBPQ T4'!E60)," ",'FBPQ T4'!AE60)</f>
        <v>0</v>
      </c>
      <c r="I68" s="2" t="str">
        <f t="shared" si="1"/>
        <v xml:space="preserve"> </v>
      </c>
    </row>
    <row r="69" spans="1:9">
      <c r="C69" s="2" t="s">
        <v>129</v>
      </c>
      <c r="D69" s="2" t="s">
        <v>517</v>
      </c>
      <c r="E69" s="2" t="str">
        <f>IF(ISNUMBER('FBPQ C2'!J61),'FBPQ C2'!J61,IF(ISNUMBER('FBPQ C2'!I61),'FBPQ C2'!I61,""))</f>
        <v/>
      </c>
      <c r="F69" s="2" t="s">
        <v>788</v>
      </c>
      <c r="G69" s="2" t="str">
        <f t="shared" si="0"/>
        <v xml:space="preserve"> </v>
      </c>
      <c r="H69" s="2">
        <f>IF(ISBLANK('FBPQ T4'!E61)," ",'FBPQ T4'!AE61)</f>
        <v>0</v>
      </c>
      <c r="I69" s="2" t="str">
        <f t="shared" si="1"/>
        <v xml:space="preserve"> </v>
      </c>
    </row>
    <row r="70" spans="1:9">
      <c r="C70" s="2" t="s">
        <v>130</v>
      </c>
      <c r="D70" s="2" t="s">
        <v>517</v>
      </c>
      <c r="E70" s="2" t="str">
        <f>IF(ISNUMBER('FBPQ C2'!J62),'FBPQ C2'!J62,IF(ISNUMBER('FBPQ C2'!I62),'FBPQ C2'!I62,""))</f>
        <v/>
      </c>
      <c r="F70" s="2" t="s">
        <v>788</v>
      </c>
      <c r="G70" s="2" t="str">
        <f t="shared" si="0"/>
        <v xml:space="preserve"> </v>
      </c>
      <c r="H70" s="2">
        <f>IF(ISBLANK('FBPQ T4'!E62)," ",'FBPQ T4'!AE62)</f>
        <v>0</v>
      </c>
      <c r="I70" s="2" t="str">
        <f t="shared" si="1"/>
        <v xml:space="preserve"> </v>
      </c>
    </row>
    <row r="71" spans="1:9">
      <c r="C71" s="2" t="s">
        <v>131</v>
      </c>
      <c r="D71" s="2" t="s">
        <v>517</v>
      </c>
      <c r="E71" s="2" t="str">
        <f>IF(ISNUMBER('FBPQ C2'!J63),'FBPQ C2'!J63,IF(ISNUMBER('FBPQ C2'!I63),'FBPQ C2'!I63,""))</f>
        <v/>
      </c>
      <c r="F71" s="2" t="s">
        <v>788</v>
      </c>
      <c r="G71" s="2" t="str">
        <f t="shared" si="0"/>
        <v xml:space="preserve"> </v>
      </c>
      <c r="H71" s="2">
        <f>IF(ISBLANK('FBPQ T4'!E63)," ",'FBPQ T4'!AE63)</f>
        <v>0</v>
      </c>
      <c r="I71" s="2" t="str">
        <f t="shared" si="1"/>
        <v xml:space="preserve"> </v>
      </c>
    </row>
    <row r="72" spans="1:9">
      <c r="C72" s="2" t="s">
        <v>132</v>
      </c>
      <c r="D72" s="2" t="s">
        <v>517</v>
      </c>
      <c r="E72" s="2" t="str">
        <f>IF(ISNUMBER('FBPQ C2'!J64),'FBPQ C2'!J64,IF(ISNUMBER('FBPQ C2'!I64),'FBPQ C2'!I64,""))</f>
        <v/>
      </c>
      <c r="F72" s="2" t="s">
        <v>788</v>
      </c>
      <c r="G72" s="2" t="str">
        <f t="shared" si="0"/>
        <v xml:space="preserve"> </v>
      </c>
      <c r="H72" s="2">
        <f>IF(ISBLANK('FBPQ T4'!E64)," ",'FBPQ T4'!AE64)</f>
        <v>0</v>
      </c>
      <c r="I72" s="2" t="str">
        <f t="shared" si="1"/>
        <v xml:space="preserve"> </v>
      </c>
    </row>
    <row r="73" spans="1:9">
      <c r="E73" s="2" t="str">
        <f>IF(ISNUMBER('FBPQ C2'!J65),'FBPQ C2'!J65,IF(ISNUMBER('FBPQ C2'!I65),'FBPQ C2'!I65,""))</f>
        <v/>
      </c>
      <c r="G73" s="2">
        <f t="shared" si="0"/>
        <v>0</v>
      </c>
      <c r="H73" s="2" t="str">
        <f>IF(ISBLANK('FBPQ T4'!E65)," ",'FBPQ T4'!AE65)</f>
        <v xml:space="preserve"> </v>
      </c>
      <c r="I73" s="2" t="str">
        <f t="shared" si="1"/>
        <v xml:space="preserve"> </v>
      </c>
    </row>
    <row r="74" spans="1:9">
      <c r="B74" s="2" t="s">
        <v>133</v>
      </c>
      <c r="E74" s="2" t="str">
        <f>IF(ISNUMBER('FBPQ C2'!J66),'FBPQ C2'!J66,IF(ISNUMBER('FBPQ C2'!I66),'FBPQ C2'!I66,""))</f>
        <v/>
      </c>
      <c r="G74" s="2">
        <f t="shared" si="0"/>
        <v>0</v>
      </c>
      <c r="H74" s="2" t="str">
        <f>IF(ISBLANK('FBPQ T4'!E66)," ",'FBPQ T4'!AE66)</f>
        <v xml:space="preserve"> </v>
      </c>
      <c r="I74" s="2" t="str">
        <f t="shared" si="1"/>
        <v xml:space="preserve"> </v>
      </c>
    </row>
    <row r="75" spans="1:9">
      <c r="C75" s="2" t="s">
        <v>134</v>
      </c>
      <c r="D75" s="2" t="s">
        <v>517</v>
      </c>
      <c r="E75" s="2">
        <f>IF(ISNUMBER('FBPQ C2'!J67),'FBPQ C2'!J67,IF(ISNUMBER('FBPQ C2'!I67),'FBPQ C2'!I67,""))</f>
        <v>1.74</v>
      </c>
      <c r="F75" s="2" t="s">
        <v>788</v>
      </c>
      <c r="G75" s="2">
        <f t="shared" si="0"/>
        <v>1.74</v>
      </c>
      <c r="H75" s="2">
        <f>IF(ISBLANK('FBPQ T4'!E67)," ",'FBPQ T4'!AE67)</f>
        <v>38122</v>
      </c>
      <c r="I75" s="2">
        <f t="shared" si="1"/>
        <v>66332.28</v>
      </c>
    </row>
    <row r="76" spans="1:9">
      <c r="C76" s="2" t="s">
        <v>135</v>
      </c>
      <c r="D76" s="2" t="s">
        <v>517</v>
      </c>
      <c r="E76" s="2">
        <f>IF(ISNUMBER('FBPQ C2'!J68),'FBPQ C2'!J68,IF(ISNUMBER('FBPQ C2'!I68),'FBPQ C2'!I68,""))</f>
        <v>12.74</v>
      </c>
      <c r="F76" s="2" t="s">
        <v>788</v>
      </c>
      <c r="G76" s="2">
        <f t="shared" si="0"/>
        <v>12.74</v>
      </c>
      <c r="H76" s="2">
        <f>IF(ISBLANK('FBPQ T4'!E68)," ",'FBPQ T4'!AE68)</f>
        <v>12901</v>
      </c>
      <c r="I76" s="2">
        <f t="shared" si="1"/>
        <v>164358.74</v>
      </c>
    </row>
    <row r="77" spans="1:9">
      <c r="C77" s="2" t="s">
        <v>136</v>
      </c>
      <c r="D77" s="2" t="s">
        <v>517</v>
      </c>
      <c r="E77" s="2" t="str">
        <f>IF(ISNUMBER('FBPQ C2'!J69),'FBPQ C2'!J69,IF(ISNUMBER('FBPQ C2'!I69),'FBPQ C2'!I69,""))</f>
        <v/>
      </c>
      <c r="F77" s="2" t="s">
        <v>788</v>
      </c>
      <c r="G77" s="2" t="str">
        <f t="shared" si="0"/>
        <v xml:space="preserve"> </v>
      </c>
      <c r="H77" s="2">
        <f>IF(ISBLANK('FBPQ T4'!E69)," ",'FBPQ T4'!AE69)</f>
        <v>0</v>
      </c>
      <c r="I77" s="2" t="str">
        <f t="shared" si="1"/>
        <v xml:space="preserve"> </v>
      </c>
    </row>
    <row r="78" spans="1:9">
      <c r="C78" s="2" t="s">
        <v>137</v>
      </c>
      <c r="D78" s="2" t="s">
        <v>517</v>
      </c>
      <c r="E78" s="2" t="str">
        <f>IF(ISNUMBER('FBPQ C2'!J70),'FBPQ C2'!J70,IF(ISNUMBER('FBPQ C2'!I70),'FBPQ C2'!I70,""))</f>
        <v/>
      </c>
      <c r="F78" s="2" t="s">
        <v>788</v>
      </c>
      <c r="G78" s="2" t="str">
        <f t="shared" si="0"/>
        <v xml:space="preserve"> </v>
      </c>
      <c r="H78" s="2">
        <f>IF(ISBLANK('FBPQ T4'!E70)," ",'FBPQ T4'!AE70)</f>
        <v>0</v>
      </c>
      <c r="I78" s="2" t="str">
        <f t="shared" si="1"/>
        <v xml:space="preserve"> </v>
      </c>
    </row>
    <row r="79" spans="1:9">
      <c r="E79" s="2" t="str">
        <f>IF(ISNUMBER('FBPQ C2'!J71),'FBPQ C2'!J71,IF(ISNUMBER('FBPQ C2'!I71),'FBPQ C2'!I71,""))</f>
        <v/>
      </c>
      <c r="G79" s="2">
        <f t="shared" si="0"/>
        <v>0</v>
      </c>
      <c r="H79" s="2" t="str">
        <f>IF(ISBLANK('FBPQ T4'!E71)," ",'FBPQ T4'!AE71)</f>
        <v xml:space="preserve"> </v>
      </c>
      <c r="I79" s="2" t="str">
        <f t="shared" si="1"/>
        <v xml:space="preserve"> </v>
      </c>
    </row>
    <row r="80" spans="1:9">
      <c r="A80" s="1" t="s">
        <v>138</v>
      </c>
      <c r="E80" s="2" t="str">
        <f>IF(ISNUMBER('FBPQ C2'!J72),'FBPQ C2'!J72,IF(ISNUMBER('FBPQ C2'!I72),'FBPQ C2'!I72,""))</f>
        <v/>
      </c>
      <c r="G80" s="2">
        <f t="shared" si="0"/>
        <v>0</v>
      </c>
      <c r="H80" s="2" t="str">
        <f>IF(ISBLANK('FBPQ T4'!E72)," ",'FBPQ T4'!AE72)</f>
        <v xml:space="preserve"> </v>
      </c>
      <c r="I80" s="2" t="str">
        <f t="shared" si="1"/>
        <v xml:space="preserve"> </v>
      </c>
    </row>
    <row r="81" spans="2:9">
      <c r="B81" s="2" t="s">
        <v>429</v>
      </c>
      <c r="E81" s="2" t="str">
        <f>IF(ISNUMBER('FBPQ C2'!J73),'FBPQ C2'!J73,IF(ISNUMBER('FBPQ C2'!I73),'FBPQ C2'!I73,""))</f>
        <v/>
      </c>
      <c r="G81" s="2">
        <f t="shared" si="0"/>
        <v>0</v>
      </c>
      <c r="H81" s="2" t="str">
        <f>IF(ISBLANK('FBPQ T4'!E73)," ",'FBPQ T4'!AE73)</f>
        <v xml:space="preserve"> </v>
      </c>
      <c r="I81" s="2" t="str">
        <f t="shared" si="1"/>
        <v xml:space="preserve"> </v>
      </c>
    </row>
    <row r="82" spans="2:9">
      <c r="C82" s="2" t="s">
        <v>139</v>
      </c>
      <c r="D82" s="2" t="s">
        <v>516</v>
      </c>
      <c r="E82" s="2">
        <f>IF(ISNUMBER('FBPQ C2'!J74),'FBPQ C2'!J74,IF(ISNUMBER('FBPQ C2'!I74),'FBPQ C2'!I74,""))</f>
        <v>26.87</v>
      </c>
      <c r="F82" s="2" t="s">
        <v>788</v>
      </c>
      <c r="G82" s="2">
        <f t="shared" si="0"/>
        <v>26.87</v>
      </c>
      <c r="H82" s="2">
        <f>IF(ISBLANK('FBPQ T4'!E74)," ",'FBPQ T4'!AE74)</f>
        <v>2808</v>
      </c>
      <c r="I82" s="2">
        <f t="shared" si="1"/>
        <v>75450.960000000006</v>
      </c>
    </row>
    <row r="83" spans="2:9">
      <c r="C83" s="2" t="s">
        <v>140</v>
      </c>
      <c r="D83" s="2" t="s">
        <v>516</v>
      </c>
      <c r="E83" s="2">
        <f>IF(ISNUMBER('FBPQ C2'!J75),'FBPQ C2'!J75,IF(ISNUMBER('FBPQ C2'!I75),'FBPQ C2'!I75,""))</f>
        <v>29.82</v>
      </c>
      <c r="F83" s="2" t="s">
        <v>788</v>
      </c>
      <c r="G83" s="2">
        <f t="shared" si="0"/>
        <v>29.82</v>
      </c>
      <c r="H83" s="2">
        <f>IF(ISBLANK('FBPQ T4'!E75)," ",'FBPQ T4'!AE75)</f>
        <v>101</v>
      </c>
      <c r="I83" s="2">
        <f t="shared" si="1"/>
        <v>3011.82</v>
      </c>
    </row>
    <row r="84" spans="2:9">
      <c r="C84" s="2" t="s">
        <v>141</v>
      </c>
      <c r="D84" s="2" t="s">
        <v>516</v>
      </c>
      <c r="E84" s="2" t="str">
        <f>IF(ISNUMBER('FBPQ C2'!J76),'FBPQ C2'!J76,IF(ISNUMBER('FBPQ C2'!I76),'FBPQ C2'!I76,""))</f>
        <v/>
      </c>
      <c r="F84" s="2" t="s">
        <v>788</v>
      </c>
      <c r="G84" s="2" t="str">
        <f t="shared" ref="G84:G147" si="2">IF(ISNUMBER(E84),E84,IF(H84&gt;0,F84," "))</f>
        <v xml:space="preserve"> </v>
      </c>
      <c r="H84" s="2">
        <f>IF(ISBLANK('FBPQ T4'!E76)," ",'FBPQ T4'!AE76)</f>
        <v>0</v>
      </c>
      <c r="I84" s="2" t="str">
        <f t="shared" ref="I84:I147" si="3">IF(ISERROR(G84*H84)," ",G84*H84)</f>
        <v xml:space="preserve"> </v>
      </c>
    </row>
    <row r="85" spans="2:9">
      <c r="C85" s="2" t="s">
        <v>142</v>
      </c>
      <c r="D85" s="2" t="s">
        <v>516</v>
      </c>
      <c r="E85" s="2" t="str">
        <f>IF(ISNUMBER('FBPQ C2'!J77),'FBPQ C2'!J77,IF(ISNUMBER('FBPQ C2'!I77),'FBPQ C2'!I77,""))</f>
        <v/>
      </c>
      <c r="F85" s="2" t="s">
        <v>788</v>
      </c>
      <c r="G85" s="2" t="str">
        <f t="shared" si="2"/>
        <v xml:space="preserve"> </v>
      </c>
      <c r="H85" s="2">
        <f>IF(ISBLANK('FBPQ T4'!E77)," ",'FBPQ T4'!AE77)</f>
        <v>0</v>
      </c>
      <c r="I85" s="2" t="str">
        <f t="shared" si="3"/>
        <v xml:space="preserve"> </v>
      </c>
    </row>
    <row r="86" spans="2:9">
      <c r="E86" s="2" t="str">
        <f>IF(ISNUMBER('FBPQ C2'!J78),'FBPQ C2'!J78,IF(ISNUMBER('FBPQ C2'!I78),'FBPQ C2'!I78,""))</f>
        <v/>
      </c>
      <c r="G86" s="2">
        <f t="shared" si="2"/>
        <v>0</v>
      </c>
      <c r="H86" s="2" t="str">
        <f>IF(ISBLANK('FBPQ T4'!E78)," ",'FBPQ T4'!AE78)</f>
        <v xml:space="preserve"> </v>
      </c>
      <c r="I86" s="2" t="str">
        <f t="shared" si="3"/>
        <v xml:space="preserve"> </v>
      </c>
    </row>
    <row r="87" spans="2:9">
      <c r="B87" s="2" t="s">
        <v>93</v>
      </c>
      <c r="E87" s="2" t="str">
        <f>IF(ISNUMBER('FBPQ C2'!J79),'FBPQ C2'!J79,IF(ISNUMBER('FBPQ C2'!I79),'FBPQ C2'!I79,""))</f>
        <v/>
      </c>
      <c r="G87" s="2">
        <f t="shared" si="2"/>
        <v>0</v>
      </c>
      <c r="H87" s="2" t="str">
        <f>IF(ISBLANK('FBPQ T4'!E79)," ",'FBPQ T4'!AE79)</f>
        <v xml:space="preserve"> </v>
      </c>
      <c r="I87" s="2" t="str">
        <f t="shared" si="3"/>
        <v xml:space="preserve"> </v>
      </c>
    </row>
    <row r="88" spans="2:9">
      <c r="C88" s="2" t="s">
        <v>143</v>
      </c>
      <c r="D88" s="2" t="s">
        <v>517</v>
      </c>
      <c r="E88" s="2">
        <f>IF(ISNUMBER('FBPQ C2'!J80),'FBPQ C2'!J80,IF(ISNUMBER('FBPQ C2'!I80),'FBPQ C2'!I80,""))</f>
        <v>2.56</v>
      </c>
      <c r="F88" s="2" t="s">
        <v>788</v>
      </c>
      <c r="G88" s="2">
        <f t="shared" si="2"/>
        <v>2.56</v>
      </c>
      <c r="H88" s="2">
        <f>IF(ISBLANK('FBPQ T4'!E80)," ",'FBPQ T4'!AE80)</f>
        <v>29358</v>
      </c>
      <c r="I88" s="2">
        <f t="shared" si="3"/>
        <v>75156.479999999996</v>
      </c>
    </row>
    <row r="89" spans="2:9">
      <c r="C89" s="2" t="s">
        <v>144</v>
      </c>
      <c r="D89" s="2" t="s">
        <v>517</v>
      </c>
      <c r="E89" s="2">
        <f>IF(ISNUMBER('FBPQ C2'!J81),'FBPQ C2'!J81,IF(ISNUMBER('FBPQ C2'!I81),'FBPQ C2'!I81,""))</f>
        <v>45.14</v>
      </c>
      <c r="F89" s="2" t="s">
        <v>788</v>
      </c>
      <c r="G89" s="2">
        <f t="shared" si="2"/>
        <v>45.14</v>
      </c>
      <c r="H89" s="2">
        <f>IF(ISBLANK('FBPQ T4'!E81)," ",'FBPQ T4'!AE81)</f>
        <v>431</v>
      </c>
      <c r="I89" s="2">
        <f t="shared" si="3"/>
        <v>19455.34</v>
      </c>
    </row>
    <row r="90" spans="2:9">
      <c r="C90" s="2" t="s">
        <v>145</v>
      </c>
      <c r="D90" s="2" t="s">
        <v>517</v>
      </c>
      <c r="E90" s="2" t="str">
        <f>IF(ISNUMBER('FBPQ C2'!J82),'FBPQ C2'!J82,IF(ISNUMBER('FBPQ C2'!I82),'FBPQ C2'!I82,""))</f>
        <v/>
      </c>
      <c r="F90" s="2" t="s">
        <v>788</v>
      </c>
      <c r="G90" s="2" t="str">
        <f t="shared" si="2"/>
        <v xml:space="preserve"> </v>
      </c>
      <c r="H90" s="2">
        <f>IF(ISBLANK('FBPQ T4'!E82)," ",'FBPQ T4'!AE82)</f>
        <v>0</v>
      </c>
      <c r="I90" s="2" t="str">
        <f t="shared" si="3"/>
        <v xml:space="preserve"> </v>
      </c>
    </row>
    <row r="91" spans="2:9">
      <c r="C91" s="2" t="s">
        <v>146</v>
      </c>
      <c r="D91" s="2" t="s">
        <v>517</v>
      </c>
      <c r="E91" s="2" t="str">
        <f>IF(ISNUMBER('FBPQ C2'!J83),'FBPQ C2'!J83,IF(ISNUMBER('FBPQ C2'!I83),'FBPQ C2'!I83,""))</f>
        <v/>
      </c>
      <c r="F91" s="2" t="s">
        <v>788</v>
      </c>
      <c r="G91" s="2" t="str">
        <f t="shared" si="2"/>
        <v xml:space="preserve"> </v>
      </c>
      <c r="H91" s="2">
        <f>IF(ISBLANK('FBPQ T4'!E83)," ",'FBPQ T4'!AE83)</f>
        <v>0</v>
      </c>
      <c r="I91" s="2" t="str">
        <f t="shared" si="3"/>
        <v xml:space="preserve"> </v>
      </c>
    </row>
    <row r="92" spans="2:9">
      <c r="E92" s="2" t="str">
        <f>IF(ISNUMBER('FBPQ C2'!J84),'FBPQ C2'!J84,IF(ISNUMBER('FBPQ C2'!I84),'FBPQ C2'!I84,""))</f>
        <v/>
      </c>
      <c r="G92" s="2">
        <f t="shared" si="2"/>
        <v>0</v>
      </c>
      <c r="H92" s="2" t="str">
        <f>IF(ISBLANK('FBPQ T4'!E84)," ",'FBPQ T4'!AE84)</f>
        <v xml:space="preserve"> </v>
      </c>
      <c r="I92" s="2" t="str">
        <f t="shared" si="3"/>
        <v xml:space="preserve"> </v>
      </c>
    </row>
    <row r="93" spans="2:9">
      <c r="B93" s="2" t="s">
        <v>114</v>
      </c>
      <c r="E93" s="2" t="str">
        <f>IF(ISNUMBER('FBPQ C2'!J85),'FBPQ C2'!J85,IF(ISNUMBER('FBPQ C2'!I85),'FBPQ C2'!I85,""))</f>
        <v/>
      </c>
      <c r="G93" s="2">
        <f t="shared" si="2"/>
        <v>0</v>
      </c>
      <c r="H93" s="2" t="str">
        <f>IF(ISBLANK('FBPQ T4'!E85)," ",'FBPQ T4'!AE85)</f>
        <v xml:space="preserve"> </v>
      </c>
      <c r="I93" s="2" t="str">
        <f t="shared" si="3"/>
        <v xml:space="preserve"> </v>
      </c>
    </row>
    <row r="94" spans="2:9">
      <c r="C94" s="2" t="s">
        <v>147</v>
      </c>
      <c r="D94" s="2" t="s">
        <v>516</v>
      </c>
      <c r="E94" s="2">
        <f>IF(ISNUMBER('FBPQ C2'!J86),'FBPQ C2'!J86,IF(ISNUMBER('FBPQ C2'!I86),'FBPQ C2'!I86,""))</f>
        <v>172.86</v>
      </c>
      <c r="F94" s="2" t="s">
        <v>788</v>
      </c>
      <c r="G94" s="2">
        <f t="shared" si="2"/>
        <v>172.86</v>
      </c>
      <c r="H94" s="2">
        <f>IF(ISBLANK('FBPQ T4'!E86)," ",'FBPQ T4'!AE86)</f>
        <v>767.17</v>
      </c>
      <c r="I94" s="2">
        <f t="shared" si="3"/>
        <v>132613.0062</v>
      </c>
    </row>
    <row r="95" spans="2:9">
      <c r="C95" s="2" t="s">
        <v>148</v>
      </c>
      <c r="D95" s="2" t="s">
        <v>516</v>
      </c>
      <c r="E95" s="2">
        <f>IF(ISNUMBER('FBPQ C2'!J87),'FBPQ C2'!J87,IF(ISNUMBER('FBPQ C2'!I87),'FBPQ C2'!I87,""))</f>
        <v>173.08</v>
      </c>
      <c r="F95" s="2" t="s">
        <v>788</v>
      </c>
      <c r="G95" s="2">
        <f t="shared" si="2"/>
        <v>173.08</v>
      </c>
      <c r="H95" s="2">
        <f>IF(ISBLANK('FBPQ T4'!E87)," ",'FBPQ T4'!AE87)</f>
        <v>63.134999999999998</v>
      </c>
      <c r="I95" s="2">
        <f t="shared" si="3"/>
        <v>10927.4058</v>
      </c>
    </row>
    <row r="96" spans="2:9">
      <c r="C96" s="2" t="s">
        <v>149</v>
      </c>
      <c r="D96" s="2" t="s">
        <v>516</v>
      </c>
      <c r="E96" s="2">
        <f>IF(ISNUMBER('FBPQ C2'!J88),'FBPQ C2'!J88,IF(ISNUMBER('FBPQ C2'!I88),'FBPQ C2'!I88,""))</f>
        <v>172.81</v>
      </c>
      <c r="F96" s="2" t="s">
        <v>788</v>
      </c>
      <c r="G96" s="2">
        <f t="shared" si="2"/>
        <v>172.81</v>
      </c>
      <c r="H96" s="2">
        <f>IF(ISBLANK('FBPQ T4'!E88)," ",'FBPQ T4'!AE88)</f>
        <v>34</v>
      </c>
      <c r="I96" s="2">
        <f t="shared" si="3"/>
        <v>5875.54</v>
      </c>
    </row>
    <row r="97" spans="2:9">
      <c r="C97" s="2" t="s">
        <v>150</v>
      </c>
      <c r="D97" s="2" t="s">
        <v>516</v>
      </c>
      <c r="E97" s="2" t="str">
        <f>IF(ISNUMBER('FBPQ C2'!J89),'FBPQ C2'!J89,IF(ISNUMBER('FBPQ C2'!I89),'FBPQ C2'!I89,""))</f>
        <v/>
      </c>
      <c r="F97" s="2" t="s">
        <v>788</v>
      </c>
      <c r="G97" s="2" t="str">
        <f t="shared" si="2"/>
        <v xml:space="preserve"> </v>
      </c>
      <c r="H97" s="2">
        <f>IF(ISBLANK('FBPQ T4'!E89)," ",'FBPQ T4'!AE89)</f>
        <v>0</v>
      </c>
      <c r="I97" s="2" t="str">
        <f t="shared" si="3"/>
        <v xml:space="preserve"> </v>
      </c>
    </row>
    <row r="98" spans="2:9">
      <c r="C98" s="2" t="s">
        <v>151</v>
      </c>
      <c r="D98" s="2" t="s">
        <v>516</v>
      </c>
      <c r="E98" s="2" t="str">
        <f>IF(ISNUMBER('FBPQ C2'!J90),'FBPQ C2'!J90,IF(ISNUMBER('FBPQ C2'!I90),'FBPQ C2'!I90,""))</f>
        <v/>
      </c>
      <c r="F98" s="2" t="s">
        <v>788</v>
      </c>
      <c r="G98" s="2" t="str">
        <f t="shared" si="2"/>
        <v xml:space="preserve"> </v>
      </c>
      <c r="H98" s="2">
        <f>IF(ISBLANK('FBPQ T4'!E90)," ",'FBPQ T4'!AE90)</f>
        <v>0</v>
      </c>
      <c r="I98" s="2" t="str">
        <f t="shared" si="3"/>
        <v xml:space="preserve"> </v>
      </c>
    </row>
    <row r="99" spans="2:9">
      <c r="C99" s="2" t="s">
        <v>152</v>
      </c>
      <c r="D99" s="2" t="s">
        <v>516</v>
      </c>
      <c r="E99" s="2" t="str">
        <f>IF(ISNUMBER('FBPQ C2'!J91),'FBPQ C2'!J91,IF(ISNUMBER('FBPQ C2'!I91),'FBPQ C2'!I91,""))</f>
        <v/>
      </c>
      <c r="F99" s="2" t="s">
        <v>788</v>
      </c>
      <c r="G99" s="2" t="str">
        <f t="shared" si="2"/>
        <v xml:space="preserve"> </v>
      </c>
      <c r="H99" s="2">
        <f>IF(ISBLANK('FBPQ T4'!E91)," ",'FBPQ T4'!AE91)</f>
        <v>0</v>
      </c>
      <c r="I99" s="2" t="str">
        <f t="shared" si="3"/>
        <v xml:space="preserve"> </v>
      </c>
    </row>
    <row r="100" spans="2:9">
      <c r="E100" s="2" t="str">
        <f>IF(ISNUMBER('FBPQ C2'!J92),'FBPQ C2'!J92,IF(ISNUMBER('FBPQ C2'!I92),'FBPQ C2'!I92,""))</f>
        <v/>
      </c>
      <c r="G100" s="2">
        <f t="shared" si="2"/>
        <v>0</v>
      </c>
      <c r="H100" s="2" t="str">
        <f>IF(ISBLANK('FBPQ T4'!E92)," ",'FBPQ T4'!AE92)</f>
        <v xml:space="preserve"> </v>
      </c>
      <c r="I100" s="2" t="str">
        <f t="shared" si="3"/>
        <v xml:space="preserve"> </v>
      </c>
    </row>
    <row r="101" spans="2:9">
      <c r="B101" s="2" t="s">
        <v>117</v>
      </c>
      <c r="E101" s="2" t="str">
        <f>IF(ISNUMBER('FBPQ C2'!J93),'FBPQ C2'!J93,IF(ISNUMBER('FBPQ C2'!I93),'FBPQ C2'!I93,""))</f>
        <v/>
      </c>
      <c r="G101" s="2">
        <f t="shared" si="2"/>
        <v>0</v>
      </c>
      <c r="H101" s="2" t="str">
        <f>IF(ISBLANK('FBPQ T4'!E93)," ",'FBPQ T4'!AE93)</f>
        <v xml:space="preserve"> </v>
      </c>
      <c r="I101" s="2" t="str">
        <f t="shared" si="3"/>
        <v xml:space="preserve"> </v>
      </c>
    </row>
    <row r="102" spans="2:9">
      <c r="C102" s="2" t="s">
        <v>153</v>
      </c>
      <c r="D102" s="2" t="s">
        <v>516</v>
      </c>
      <c r="E102" s="2">
        <f>IF(ISNUMBER('FBPQ C2'!J94),'FBPQ C2'!J94,IF(ISNUMBER('FBPQ C2'!I94),'FBPQ C2'!I94,""))</f>
        <v>1136.02</v>
      </c>
      <c r="F102" s="2" t="s">
        <v>788</v>
      </c>
      <c r="G102" s="2">
        <f t="shared" si="2"/>
        <v>1136.02</v>
      </c>
      <c r="H102" s="2">
        <f>IF(ISBLANK('FBPQ T4'!E94)," ",'FBPQ T4'!AE94)</f>
        <v>66</v>
      </c>
      <c r="I102" s="2">
        <f t="shared" si="3"/>
        <v>74977.319999999992</v>
      </c>
    </row>
    <row r="103" spans="2:9">
      <c r="E103" s="2" t="str">
        <f>IF(ISNUMBER('FBPQ C2'!J95),'FBPQ C2'!J95,IF(ISNUMBER('FBPQ C2'!I95),'FBPQ C2'!I95,""))</f>
        <v/>
      </c>
      <c r="G103" s="2">
        <f t="shared" si="2"/>
        <v>0</v>
      </c>
      <c r="H103" s="2" t="str">
        <f>IF(ISBLANK('FBPQ T4'!E95)," ",'FBPQ T4'!AE95)</f>
        <v xml:space="preserve"> </v>
      </c>
      <c r="I103" s="2" t="str">
        <f t="shared" si="3"/>
        <v xml:space="preserve"> </v>
      </c>
    </row>
    <row r="104" spans="2:9">
      <c r="B104" s="2" t="s">
        <v>100</v>
      </c>
      <c r="E104" s="2" t="str">
        <f>IF(ISNUMBER('FBPQ C2'!J96),'FBPQ C2'!J96,IF(ISNUMBER('FBPQ C2'!I96),'FBPQ C2'!I96,""))</f>
        <v/>
      </c>
      <c r="G104" s="2">
        <f t="shared" si="2"/>
        <v>0</v>
      </c>
      <c r="H104" s="2" t="str">
        <f>IF(ISBLANK('FBPQ T4'!E96)," ",'FBPQ T4'!AE96)</f>
        <v xml:space="preserve"> </v>
      </c>
      <c r="I104" s="2" t="str">
        <f t="shared" si="3"/>
        <v xml:space="preserve"> </v>
      </c>
    </row>
    <row r="105" spans="2:9">
      <c r="C105" s="2" t="s">
        <v>154</v>
      </c>
      <c r="D105" s="2" t="s">
        <v>517</v>
      </c>
      <c r="E105" s="2">
        <f>IF(ISNUMBER('FBPQ C2'!J97),'FBPQ C2'!J97,IF(ISNUMBER('FBPQ C2'!I97),'FBPQ C2'!I97,""))</f>
        <v>66.59</v>
      </c>
      <c r="F105" s="2" t="s">
        <v>788</v>
      </c>
      <c r="G105" s="2">
        <f t="shared" si="2"/>
        <v>66.59</v>
      </c>
      <c r="H105" s="2">
        <f>IF(ISBLANK('FBPQ T4'!E97)," ",'FBPQ T4'!AE97)</f>
        <v>296</v>
      </c>
      <c r="I105" s="2">
        <f t="shared" si="3"/>
        <v>19710.64</v>
      </c>
    </row>
    <row r="106" spans="2:9">
      <c r="C106" s="2" t="s">
        <v>155</v>
      </c>
      <c r="D106" s="2" t="s">
        <v>517</v>
      </c>
      <c r="E106" s="2">
        <f>IF(ISNUMBER('FBPQ C2'!J98),'FBPQ C2'!J98,IF(ISNUMBER('FBPQ C2'!I98),'FBPQ C2'!I98,""))</f>
        <v>51.19</v>
      </c>
      <c r="F106" s="2" t="s">
        <v>788</v>
      </c>
      <c r="G106" s="2">
        <f t="shared" si="2"/>
        <v>51.19</v>
      </c>
      <c r="H106" s="2">
        <f>IF(ISBLANK('FBPQ T4'!E98)," ",'FBPQ T4'!AE98)</f>
        <v>675</v>
      </c>
      <c r="I106" s="2">
        <f t="shared" si="3"/>
        <v>34553.25</v>
      </c>
    </row>
    <row r="107" spans="2:9">
      <c r="C107" s="2" t="s">
        <v>156</v>
      </c>
      <c r="D107" s="2" t="s">
        <v>517</v>
      </c>
      <c r="E107" s="2">
        <f>IF(ISNUMBER('FBPQ C2'!J99),'FBPQ C2'!J99,IF(ISNUMBER('FBPQ C2'!I99),'FBPQ C2'!I99,""))</f>
        <v>33.119999999999997</v>
      </c>
      <c r="F107" s="2" t="s">
        <v>788</v>
      </c>
      <c r="G107" s="2">
        <f t="shared" si="2"/>
        <v>33.119999999999997</v>
      </c>
      <c r="H107" s="2">
        <f>IF(ISBLANK('FBPQ T4'!E99)," ",'FBPQ T4'!AE99)</f>
        <v>14</v>
      </c>
      <c r="I107" s="2">
        <f t="shared" si="3"/>
        <v>463.67999999999995</v>
      </c>
    </row>
    <row r="108" spans="2:9">
      <c r="C108" s="2" t="s">
        <v>157</v>
      </c>
      <c r="D108" s="2" t="s">
        <v>517</v>
      </c>
      <c r="E108" s="2" t="str">
        <f>IF(ISNUMBER('FBPQ C2'!J100),'FBPQ C2'!J100,IF(ISNUMBER('FBPQ C2'!I100),'FBPQ C2'!I100,""))</f>
        <v/>
      </c>
      <c r="F108" s="2" t="s">
        <v>788</v>
      </c>
      <c r="G108" s="2" t="str">
        <f t="shared" si="2"/>
        <v xml:space="preserve"> </v>
      </c>
      <c r="H108" s="2">
        <f>IF(ISBLANK('FBPQ T4'!E100)," ",'FBPQ T4'!AE100)</f>
        <v>0</v>
      </c>
      <c r="I108" s="2" t="str">
        <f t="shared" si="3"/>
        <v xml:space="preserve"> </v>
      </c>
    </row>
    <row r="109" spans="2:9">
      <c r="C109" s="2" t="s">
        <v>158</v>
      </c>
      <c r="D109" s="2" t="s">
        <v>517</v>
      </c>
      <c r="E109" s="2" t="str">
        <f>IF(ISNUMBER('FBPQ C2'!J101),'FBPQ C2'!J101,IF(ISNUMBER('FBPQ C2'!I101),'FBPQ C2'!I101,""))</f>
        <v/>
      </c>
      <c r="F109" s="2" t="s">
        <v>788</v>
      </c>
      <c r="G109" s="2" t="str">
        <f t="shared" si="2"/>
        <v>DATA</v>
      </c>
      <c r="H109" s="2">
        <f>IF(ISBLANK('FBPQ T4'!E101)," ",'FBPQ T4'!AE101)</f>
        <v>2</v>
      </c>
      <c r="I109" s="2" t="str">
        <f t="shared" si="3"/>
        <v xml:space="preserve"> </v>
      </c>
    </row>
    <row r="110" spans="2:9">
      <c r="C110" s="2" t="s">
        <v>159</v>
      </c>
      <c r="D110" s="2" t="s">
        <v>517</v>
      </c>
      <c r="E110" s="2" t="str">
        <f>IF(ISNUMBER('FBPQ C2'!J102),'FBPQ C2'!J102,IF(ISNUMBER('FBPQ C2'!I102),'FBPQ C2'!I102,""))</f>
        <v/>
      </c>
      <c r="F110" s="2" t="s">
        <v>788</v>
      </c>
      <c r="G110" s="2" t="str">
        <f t="shared" si="2"/>
        <v>DATA</v>
      </c>
      <c r="H110" s="2">
        <f>IF(ISBLANK('FBPQ T4'!E102)," ",'FBPQ T4'!AE102)</f>
        <v>3273</v>
      </c>
      <c r="I110" s="2" t="str">
        <f t="shared" si="3"/>
        <v xml:space="preserve"> </v>
      </c>
    </row>
    <row r="111" spans="2:9">
      <c r="C111" s="2" t="s">
        <v>160</v>
      </c>
      <c r="D111" s="2" t="s">
        <v>517</v>
      </c>
      <c r="E111" s="2" t="str">
        <f>IF(ISNUMBER('FBPQ C2'!J103),'FBPQ C2'!J103,IF(ISNUMBER('FBPQ C2'!I103),'FBPQ C2'!I103,""))</f>
        <v/>
      </c>
      <c r="F111" s="2" t="s">
        <v>788</v>
      </c>
      <c r="G111" s="2" t="str">
        <f t="shared" si="2"/>
        <v xml:space="preserve"> </v>
      </c>
      <c r="H111" s="2">
        <f>IF(ISBLANK('FBPQ T4'!E103)," ",'FBPQ T4'!AE103)</f>
        <v>0</v>
      </c>
      <c r="I111" s="2" t="str">
        <f t="shared" si="3"/>
        <v xml:space="preserve"> </v>
      </c>
    </row>
    <row r="112" spans="2:9">
      <c r="C112" s="2" t="s">
        <v>161</v>
      </c>
      <c r="D112" s="2" t="s">
        <v>517</v>
      </c>
      <c r="E112" s="2" t="str">
        <f>IF(ISNUMBER('FBPQ C2'!J104),'FBPQ C2'!J104,IF(ISNUMBER('FBPQ C2'!I104),'FBPQ C2'!I104,""))</f>
        <v/>
      </c>
      <c r="F112" s="2" t="s">
        <v>788</v>
      </c>
      <c r="G112" s="2" t="str">
        <f t="shared" si="2"/>
        <v xml:space="preserve"> </v>
      </c>
      <c r="H112" s="2">
        <f>IF(ISBLANK('FBPQ T4'!E104)," ",'FBPQ T4'!AE104)</f>
        <v>0</v>
      </c>
      <c r="I112" s="2" t="str">
        <f t="shared" si="3"/>
        <v xml:space="preserve"> </v>
      </c>
    </row>
    <row r="113" spans="1:9">
      <c r="E113" s="2" t="str">
        <f>IF(ISNUMBER('FBPQ C2'!J105),'FBPQ C2'!J105,IF(ISNUMBER('FBPQ C2'!I105),'FBPQ C2'!I105,""))</f>
        <v/>
      </c>
      <c r="G113" s="2">
        <f t="shared" si="2"/>
        <v>0</v>
      </c>
      <c r="H113" s="2" t="str">
        <f>IF(ISBLANK('FBPQ T4'!E105)," ",'FBPQ T4'!AE105)</f>
        <v xml:space="preserve"> </v>
      </c>
      <c r="I113" s="2" t="str">
        <f t="shared" si="3"/>
        <v xml:space="preserve"> </v>
      </c>
    </row>
    <row r="114" spans="1:9">
      <c r="B114" s="2" t="s">
        <v>133</v>
      </c>
      <c r="E114" s="2" t="str">
        <f>IF(ISNUMBER('FBPQ C2'!J106),'FBPQ C2'!J106,IF(ISNUMBER('FBPQ C2'!I106),'FBPQ C2'!I106,""))</f>
        <v/>
      </c>
      <c r="G114" s="2">
        <f t="shared" si="2"/>
        <v>0</v>
      </c>
      <c r="H114" s="2" t="str">
        <f>IF(ISBLANK('FBPQ T4'!E106)," ",'FBPQ T4'!AE106)</f>
        <v xml:space="preserve"> </v>
      </c>
      <c r="I114" s="2" t="str">
        <f t="shared" si="3"/>
        <v xml:space="preserve"> </v>
      </c>
    </row>
    <row r="115" spans="1:9">
      <c r="C115" s="2" t="s">
        <v>162</v>
      </c>
      <c r="D115" s="2" t="s">
        <v>517</v>
      </c>
      <c r="E115" s="2" t="str">
        <f>IF(ISNUMBER('FBPQ C2'!J107),'FBPQ C2'!J107,IF(ISNUMBER('FBPQ C2'!I107),'FBPQ C2'!I107,""))</f>
        <v/>
      </c>
      <c r="F115" s="2" t="s">
        <v>788</v>
      </c>
      <c r="G115" s="2" t="str">
        <f t="shared" si="2"/>
        <v>DATA</v>
      </c>
      <c r="H115" s="2">
        <f>IF(ISBLANK('FBPQ T4'!E107)," ",'FBPQ T4'!AE107)</f>
        <v>1</v>
      </c>
      <c r="I115" s="2" t="str">
        <f t="shared" si="3"/>
        <v xml:space="preserve"> </v>
      </c>
    </row>
    <row r="116" spans="1:9">
      <c r="C116" s="2" t="s">
        <v>163</v>
      </c>
      <c r="D116" s="2" t="s">
        <v>517</v>
      </c>
      <c r="E116" s="2">
        <f>IF(ISNUMBER('FBPQ C2'!J108),'FBPQ C2'!J108,IF(ISNUMBER('FBPQ C2'!I108),'FBPQ C2'!I108,""))</f>
        <v>261.25</v>
      </c>
      <c r="F116" s="2" t="s">
        <v>788</v>
      </c>
      <c r="G116" s="2">
        <f t="shared" si="2"/>
        <v>261.25</v>
      </c>
      <c r="H116" s="2">
        <f>IF(ISBLANK('FBPQ T4'!E108)," ",'FBPQ T4'!AE108)</f>
        <v>587</v>
      </c>
      <c r="I116" s="2">
        <f t="shared" si="3"/>
        <v>153353.75</v>
      </c>
    </row>
    <row r="117" spans="1:9">
      <c r="C117" s="2" t="s">
        <v>164</v>
      </c>
      <c r="D117" s="2" t="s">
        <v>517</v>
      </c>
      <c r="E117" s="2" t="str">
        <f>IF(ISNUMBER('FBPQ C2'!J109),'FBPQ C2'!J109,IF(ISNUMBER('FBPQ C2'!I109),'FBPQ C2'!I109,""))</f>
        <v/>
      </c>
      <c r="F117" s="2" t="s">
        <v>788</v>
      </c>
      <c r="G117" s="2" t="str">
        <f t="shared" si="2"/>
        <v>DATA</v>
      </c>
      <c r="H117" s="2">
        <f>IF(ISBLANK('FBPQ T4'!E109)," ",'FBPQ T4'!AE109)</f>
        <v>189</v>
      </c>
      <c r="I117" s="2" t="str">
        <f t="shared" si="3"/>
        <v xml:space="preserve"> </v>
      </c>
    </row>
    <row r="118" spans="1:9">
      <c r="C118" s="2" t="s">
        <v>165</v>
      </c>
      <c r="D118" s="2" t="s">
        <v>517</v>
      </c>
      <c r="E118" s="2" t="str">
        <f>IF(ISNUMBER('FBPQ C2'!J110),'FBPQ C2'!J110,IF(ISNUMBER('FBPQ C2'!I110),'FBPQ C2'!I110,""))</f>
        <v/>
      </c>
      <c r="F118" s="2" t="s">
        <v>788</v>
      </c>
      <c r="G118" s="2" t="str">
        <f t="shared" si="2"/>
        <v xml:space="preserve"> </v>
      </c>
      <c r="H118" s="2">
        <f>IF(ISBLANK('FBPQ T4'!E110)," ",'FBPQ T4'!AE110)</f>
        <v>0</v>
      </c>
      <c r="I118" s="2" t="str">
        <f t="shared" si="3"/>
        <v xml:space="preserve"> </v>
      </c>
    </row>
    <row r="119" spans="1:9">
      <c r="C119" s="2" t="s">
        <v>166</v>
      </c>
      <c r="D119" s="2" t="s">
        <v>517</v>
      </c>
      <c r="E119" s="2" t="str">
        <f>IF(ISNUMBER('FBPQ C2'!J111),'FBPQ C2'!J111,IF(ISNUMBER('FBPQ C2'!I111),'FBPQ C2'!I111,""))</f>
        <v/>
      </c>
      <c r="F119" s="2" t="s">
        <v>788</v>
      </c>
      <c r="G119" s="2" t="str">
        <f t="shared" si="2"/>
        <v xml:space="preserve"> </v>
      </c>
      <c r="H119" s="2">
        <f>IF(ISBLANK('FBPQ T4'!E111)," ",'FBPQ T4'!AE111)</f>
        <v>0</v>
      </c>
      <c r="I119" s="2" t="str">
        <f t="shared" si="3"/>
        <v xml:space="preserve"> </v>
      </c>
    </row>
    <row r="120" spans="1:9">
      <c r="E120" s="2" t="str">
        <f>IF(ISNUMBER('FBPQ C2'!J112),'FBPQ C2'!J112,IF(ISNUMBER('FBPQ C2'!I112),'FBPQ C2'!I112,""))</f>
        <v/>
      </c>
      <c r="G120" s="2">
        <f t="shared" si="2"/>
        <v>0</v>
      </c>
      <c r="H120" s="2" t="str">
        <f>IF(ISBLANK('FBPQ T4'!E112)," ",'FBPQ T4'!AE112)</f>
        <v xml:space="preserve"> </v>
      </c>
      <c r="I120" s="2" t="str">
        <f t="shared" si="3"/>
        <v xml:space="preserve"> </v>
      </c>
    </row>
    <row r="121" spans="1:9">
      <c r="A121" s="1" t="s">
        <v>167</v>
      </c>
      <c r="E121" s="2" t="str">
        <f>IF(ISNUMBER('FBPQ C2'!J113),'FBPQ C2'!J113,IF(ISNUMBER('FBPQ C2'!I113),'FBPQ C2'!I113,""))</f>
        <v/>
      </c>
      <c r="G121" s="2">
        <f t="shared" si="2"/>
        <v>0</v>
      </c>
      <c r="H121" s="2" t="str">
        <f>IF(ISBLANK('FBPQ T4'!E113)," ",'FBPQ T4'!AE113)</f>
        <v xml:space="preserve"> </v>
      </c>
      <c r="I121" s="2" t="str">
        <f t="shared" si="3"/>
        <v xml:space="preserve"> </v>
      </c>
    </row>
    <row r="122" spans="1:9">
      <c r="B122" s="2" t="s">
        <v>429</v>
      </c>
      <c r="E122" s="2" t="str">
        <f>IF(ISNUMBER('FBPQ C2'!J114),'FBPQ C2'!J114,IF(ISNUMBER('FBPQ C2'!I114),'FBPQ C2'!I114,""))</f>
        <v/>
      </c>
      <c r="G122" s="2">
        <f t="shared" si="2"/>
        <v>0</v>
      </c>
      <c r="H122" s="2" t="str">
        <f>IF(ISBLANK('FBPQ T4'!E114)," ",'FBPQ T4'!AE114)</f>
        <v xml:space="preserve"> </v>
      </c>
      <c r="I122" s="2" t="str">
        <f t="shared" si="3"/>
        <v xml:space="preserve"> </v>
      </c>
    </row>
    <row r="123" spans="1:9">
      <c r="C123" s="2" t="s">
        <v>168</v>
      </c>
      <c r="D123" s="2" t="s">
        <v>516</v>
      </c>
      <c r="E123" s="2">
        <f>IF(ISNUMBER('FBPQ C2'!J115),'FBPQ C2'!J115,IF(ISNUMBER('FBPQ C2'!I115),'FBPQ C2'!I115,""))</f>
        <v>59.21</v>
      </c>
      <c r="F123" s="2" t="s">
        <v>788</v>
      </c>
      <c r="G123" s="2">
        <f t="shared" si="2"/>
        <v>59.21</v>
      </c>
      <c r="H123" s="2">
        <f>IF(ISBLANK('FBPQ T4'!E115)," ",'FBPQ T4'!AE115)</f>
        <v>62.1</v>
      </c>
      <c r="I123" s="2">
        <f t="shared" si="3"/>
        <v>3676.9410000000003</v>
      </c>
    </row>
    <row r="124" spans="1:9">
      <c r="C124" s="2" t="s">
        <v>169</v>
      </c>
      <c r="D124" s="2" t="s">
        <v>516</v>
      </c>
      <c r="E124" s="2">
        <f>IF(ISNUMBER('FBPQ C2'!J116),'FBPQ C2'!J116,IF(ISNUMBER('FBPQ C2'!I116),'FBPQ C2'!I116,""))</f>
        <v>53.46</v>
      </c>
      <c r="F124" s="2" t="s">
        <v>788</v>
      </c>
      <c r="G124" s="2">
        <f t="shared" si="2"/>
        <v>53.46</v>
      </c>
      <c r="H124" s="2">
        <f>IF(ISBLANK('FBPQ T4'!E116)," ",'FBPQ T4'!AE116)</f>
        <v>1382</v>
      </c>
      <c r="I124" s="2">
        <f t="shared" si="3"/>
        <v>73881.72</v>
      </c>
    </row>
    <row r="125" spans="1:9">
      <c r="E125" s="2" t="str">
        <f>IF(ISNUMBER('FBPQ C2'!J117),'FBPQ C2'!J117,IF(ISNUMBER('FBPQ C2'!I117),'FBPQ C2'!I117,""))</f>
        <v/>
      </c>
      <c r="G125" s="2">
        <f t="shared" si="2"/>
        <v>0</v>
      </c>
      <c r="H125" s="2" t="str">
        <f>IF(ISBLANK('FBPQ T4'!E117)," ",'FBPQ T4'!AE117)</f>
        <v xml:space="preserve"> </v>
      </c>
      <c r="I125" s="2" t="str">
        <f t="shared" si="3"/>
        <v xml:space="preserve"> </v>
      </c>
    </row>
    <row r="126" spans="1:9">
      <c r="B126" s="2" t="s">
        <v>93</v>
      </c>
      <c r="E126" s="2" t="str">
        <f>IF(ISNUMBER('FBPQ C2'!J118),'FBPQ C2'!J118,IF(ISNUMBER('FBPQ C2'!I118),'FBPQ C2'!I118,""))</f>
        <v/>
      </c>
      <c r="G126" s="2">
        <f t="shared" si="2"/>
        <v>0</v>
      </c>
      <c r="H126" s="2" t="str">
        <f>IF(ISBLANK('FBPQ T4'!E118)," ",'FBPQ T4'!AE118)</f>
        <v xml:space="preserve"> </v>
      </c>
      <c r="I126" s="2" t="str">
        <f t="shared" si="3"/>
        <v xml:space="preserve"> </v>
      </c>
    </row>
    <row r="127" spans="1:9">
      <c r="C127" s="2" t="s">
        <v>170</v>
      </c>
      <c r="D127" s="2" t="s">
        <v>517</v>
      </c>
      <c r="E127" s="2">
        <f>IF(ISNUMBER('FBPQ C2'!J119),'FBPQ C2'!J119,IF(ISNUMBER('FBPQ C2'!I119),'FBPQ C2'!I119,""))</f>
        <v>3.55</v>
      </c>
      <c r="F127" s="2" t="s">
        <v>788</v>
      </c>
      <c r="G127" s="2">
        <f t="shared" si="2"/>
        <v>3.55</v>
      </c>
      <c r="H127" s="2">
        <f>IF(ISBLANK('FBPQ T4'!E119)," ",'FBPQ T4'!AE119)</f>
        <v>558</v>
      </c>
      <c r="I127" s="2">
        <f t="shared" si="3"/>
        <v>1980.8999999999999</v>
      </c>
    </row>
    <row r="128" spans="1:9">
      <c r="C128" s="2" t="s">
        <v>171</v>
      </c>
      <c r="D128" s="2" t="s">
        <v>517</v>
      </c>
      <c r="E128" s="2">
        <f>IF(ISNUMBER('FBPQ C2'!J120),'FBPQ C2'!J120,IF(ISNUMBER('FBPQ C2'!I120),'FBPQ C2'!I120,""))</f>
        <v>98.34</v>
      </c>
      <c r="F128" s="2" t="s">
        <v>788</v>
      </c>
      <c r="G128" s="2">
        <f t="shared" si="2"/>
        <v>98.34</v>
      </c>
      <c r="H128" s="2">
        <f>IF(ISBLANK('FBPQ T4'!E120)," ",'FBPQ T4'!AE120)</f>
        <v>3100</v>
      </c>
      <c r="I128" s="2">
        <f t="shared" si="3"/>
        <v>304854</v>
      </c>
    </row>
    <row r="129" spans="2:9">
      <c r="C129" s="2" t="s">
        <v>172</v>
      </c>
      <c r="D129" s="2" t="s">
        <v>517</v>
      </c>
      <c r="E129" s="2">
        <f>IF(ISNUMBER('FBPQ C2'!J121),'FBPQ C2'!J121,IF(ISNUMBER('FBPQ C2'!I121),'FBPQ C2'!I121,""))</f>
        <v>3.74</v>
      </c>
      <c r="F129" s="2" t="s">
        <v>788</v>
      </c>
      <c r="G129" s="2">
        <f t="shared" si="2"/>
        <v>3.74</v>
      </c>
      <c r="H129" s="2">
        <f>IF(ISBLANK('FBPQ T4'!E121)," ",'FBPQ T4'!AE121)</f>
        <v>4710</v>
      </c>
      <c r="I129" s="2">
        <f t="shared" si="3"/>
        <v>17615.400000000001</v>
      </c>
    </row>
    <row r="130" spans="2:9">
      <c r="E130" s="2" t="str">
        <f>IF(ISNUMBER('FBPQ C2'!J122),'FBPQ C2'!J122,IF(ISNUMBER('FBPQ C2'!I122),'FBPQ C2'!I122,""))</f>
        <v/>
      </c>
      <c r="G130" s="2">
        <f t="shared" si="2"/>
        <v>0</v>
      </c>
      <c r="H130" s="2" t="str">
        <f>IF(ISBLANK('FBPQ T4'!E122)," ",'FBPQ T4'!AE122)</f>
        <v xml:space="preserve"> </v>
      </c>
      <c r="I130" s="2" t="str">
        <f t="shared" si="3"/>
        <v xml:space="preserve"> </v>
      </c>
    </row>
    <row r="131" spans="2:9">
      <c r="B131" s="2" t="s">
        <v>114</v>
      </c>
      <c r="E131" s="2" t="str">
        <f>IF(ISNUMBER('FBPQ C2'!J123),'FBPQ C2'!J123,IF(ISNUMBER('FBPQ C2'!I123),'FBPQ C2'!I123,""))</f>
        <v/>
      </c>
      <c r="G131" s="2">
        <f t="shared" si="2"/>
        <v>0</v>
      </c>
      <c r="H131" s="2" t="str">
        <f>IF(ISBLANK('FBPQ T4'!E123)," ",'FBPQ T4'!AE123)</f>
        <v xml:space="preserve"> </v>
      </c>
      <c r="I131" s="2" t="str">
        <f t="shared" si="3"/>
        <v xml:space="preserve"> </v>
      </c>
    </row>
    <row r="132" spans="2:9">
      <c r="C132" s="2" t="s">
        <v>173</v>
      </c>
      <c r="D132" s="2" t="s">
        <v>516</v>
      </c>
      <c r="E132" s="2">
        <f>IF(ISNUMBER('FBPQ C2'!J124),'FBPQ C2'!J124,IF(ISNUMBER('FBPQ C2'!I124),'FBPQ C2'!I124,""))</f>
        <v>1191.4000000000001</v>
      </c>
      <c r="F132" s="2" t="s">
        <v>788</v>
      </c>
      <c r="G132" s="2">
        <f t="shared" si="2"/>
        <v>1191.4000000000001</v>
      </c>
      <c r="H132" s="2">
        <f>IF(ISBLANK('FBPQ T4'!E124)," ",'FBPQ T4'!AE124)</f>
        <v>7.93</v>
      </c>
      <c r="I132" s="2">
        <f t="shared" si="3"/>
        <v>9447.8019999999997</v>
      </c>
    </row>
    <row r="133" spans="2:9">
      <c r="C133" s="2" t="s">
        <v>174</v>
      </c>
      <c r="D133" s="2" t="s">
        <v>516</v>
      </c>
      <c r="E133" s="2">
        <f>IF(ISNUMBER('FBPQ C2'!J125),'FBPQ C2'!J125,IF(ISNUMBER('FBPQ C2'!I125),'FBPQ C2'!I125,""))</f>
        <v>1325.5</v>
      </c>
      <c r="F133" s="2" t="s">
        <v>788</v>
      </c>
      <c r="G133" s="2">
        <f t="shared" si="2"/>
        <v>1325.5</v>
      </c>
      <c r="H133" s="2">
        <f>IF(ISBLANK('FBPQ T4'!E125)," ",'FBPQ T4'!AE125)</f>
        <v>67.5</v>
      </c>
      <c r="I133" s="2">
        <f t="shared" si="3"/>
        <v>89471.25</v>
      </c>
    </row>
    <row r="134" spans="2:9">
      <c r="C134" s="2" t="s">
        <v>175</v>
      </c>
      <c r="D134" s="2" t="s">
        <v>516</v>
      </c>
      <c r="E134" s="2" t="str">
        <f>IF(ISNUMBER('FBPQ C2'!J126),'FBPQ C2'!J126,IF(ISNUMBER('FBPQ C2'!I126),'FBPQ C2'!I126,""))</f>
        <v/>
      </c>
      <c r="F134" s="2" t="s">
        <v>788</v>
      </c>
      <c r="G134" s="2" t="str">
        <f t="shared" si="2"/>
        <v xml:space="preserve"> </v>
      </c>
      <c r="H134" s="2">
        <f>IF(ISBLANK('FBPQ T4'!E126)," ",'FBPQ T4'!AE126)</f>
        <v>0</v>
      </c>
      <c r="I134" s="2" t="str">
        <f t="shared" si="3"/>
        <v xml:space="preserve"> </v>
      </c>
    </row>
    <row r="135" spans="2:9">
      <c r="E135" s="2" t="str">
        <f>IF(ISNUMBER('FBPQ C2'!J127),'FBPQ C2'!J127,IF(ISNUMBER('FBPQ C2'!I127),'FBPQ C2'!I127,""))</f>
        <v/>
      </c>
      <c r="G135" s="2">
        <f t="shared" si="2"/>
        <v>0</v>
      </c>
      <c r="H135" s="2" t="str">
        <f>IF(ISBLANK('FBPQ T4'!E127)," ",'FBPQ T4'!AE127)</f>
        <v xml:space="preserve"> </v>
      </c>
      <c r="I135" s="2" t="str">
        <f t="shared" si="3"/>
        <v xml:space="preserve"> </v>
      </c>
    </row>
    <row r="136" spans="2:9">
      <c r="B136" s="2" t="s">
        <v>117</v>
      </c>
      <c r="E136" s="2" t="str">
        <f>IF(ISNUMBER('FBPQ C2'!J128),'FBPQ C2'!J128,IF(ISNUMBER('FBPQ C2'!I128),'FBPQ C2'!I128,""))</f>
        <v/>
      </c>
      <c r="G136" s="2">
        <f t="shared" si="2"/>
        <v>0</v>
      </c>
      <c r="H136" s="2" t="str">
        <f>IF(ISBLANK('FBPQ T4'!E128)," ",'FBPQ T4'!AE128)</f>
        <v xml:space="preserve"> </v>
      </c>
      <c r="I136" s="2" t="str">
        <f t="shared" si="3"/>
        <v xml:space="preserve"> </v>
      </c>
    </row>
    <row r="137" spans="2:9">
      <c r="C137" s="2" t="s">
        <v>176</v>
      </c>
      <c r="D137" s="2" t="s">
        <v>516</v>
      </c>
      <c r="E137" s="2" t="str">
        <f>IF(ISNUMBER('FBPQ C2'!J129),'FBPQ C2'!J129,IF(ISNUMBER('FBPQ C2'!I129),'FBPQ C2'!I129,""))</f>
        <v/>
      </c>
      <c r="F137" s="2" t="s">
        <v>788</v>
      </c>
      <c r="G137" s="2" t="str">
        <f t="shared" si="2"/>
        <v xml:space="preserve"> </v>
      </c>
      <c r="H137" s="2">
        <f>IF(ISBLANK('FBPQ T4'!E129)," ",'FBPQ T4'!AE129)</f>
        <v>0</v>
      </c>
      <c r="I137" s="2" t="str">
        <f t="shared" si="3"/>
        <v xml:space="preserve"> </v>
      </c>
    </row>
    <row r="138" spans="2:9">
      <c r="E138" s="2" t="str">
        <f>IF(ISNUMBER('FBPQ C2'!J130),'FBPQ C2'!J130,IF(ISNUMBER('FBPQ C2'!I130),'FBPQ C2'!I130,""))</f>
        <v/>
      </c>
      <c r="G138" s="2">
        <f t="shared" si="2"/>
        <v>0</v>
      </c>
      <c r="H138" s="2" t="str">
        <f>IF(ISBLANK('FBPQ T4'!E130)," ",'FBPQ T4'!AE130)</f>
        <v xml:space="preserve"> </v>
      </c>
      <c r="I138" s="2" t="str">
        <f t="shared" si="3"/>
        <v xml:space="preserve"> </v>
      </c>
    </row>
    <row r="139" spans="2:9">
      <c r="B139" s="2" t="s">
        <v>100</v>
      </c>
      <c r="E139" s="2" t="str">
        <f>IF(ISNUMBER('FBPQ C2'!J131),'FBPQ C2'!J131,IF(ISNUMBER('FBPQ C2'!I131),'FBPQ C2'!I131,""))</f>
        <v/>
      </c>
      <c r="G139" s="2">
        <f t="shared" si="2"/>
        <v>0</v>
      </c>
      <c r="H139" s="2" t="str">
        <f>IF(ISBLANK('FBPQ T4'!E131)," ",'FBPQ T4'!AE131)</f>
        <v xml:space="preserve"> </v>
      </c>
      <c r="I139" s="2" t="str">
        <f t="shared" si="3"/>
        <v xml:space="preserve"> </v>
      </c>
    </row>
    <row r="140" spans="2:9">
      <c r="C140" s="2" t="s">
        <v>177</v>
      </c>
      <c r="D140" s="2" t="s">
        <v>517</v>
      </c>
      <c r="E140" s="2">
        <f>IF(ISNUMBER('FBPQ C2'!J132),'FBPQ C2'!J132,IF(ISNUMBER('FBPQ C2'!I132),'FBPQ C2'!I132,""))</f>
        <v>147.02000000000001</v>
      </c>
      <c r="F140" s="2" t="s">
        <v>788</v>
      </c>
      <c r="G140" s="2">
        <f t="shared" si="2"/>
        <v>147.02000000000001</v>
      </c>
      <c r="H140" s="2">
        <f>IF(ISBLANK('FBPQ T4'!E132)," ",'FBPQ T4'!AE132)</f>
        <v>153</v>
      </c>
      <c r="I140" s="2">
        <f t="shared" si="3"/>
        <v>22494.06</v>
      </c>
    </row>
    <row r="141" spans="2:9">
      <c r="C141" s="2" t="s">
        <v>178</v>
      </c>
      <c r="D141" s="2" t="s">
        <v>517</v>
      </c>
      <c r="E141" s="2" t="str">
        <f>IF(ISNUMBER('FBPQ C2'!J133),'FBPQ C2'!J133,IF(ISNUMBER('FBPQ C2'!I133),'FBPQ C2'!I133,""))</f>
        <v/>
      </c>
      <c r="F141" s="2" t="s">
        <v>788</v>
      </c>
      <c r="G141" s="2" t="str">
        <f t="shared" si="2"/>
        <v>DATA</v>
      </c>
      <c r="H141" s="2">
        <f>IF(ISBLANK('FBPQ T4'!E133)," ",'FBPQ T4'!AE133)</f>
        <v>856</v>
      </c>
      <c r="I141" s="2" t="str">
        <f t="shared" si="3"/>
        <v xml:space="preserve"> </v>
      </c>
    </row>
    <row r="142" spans="2:9">
      <c r="E142" s="2" t="str">
        <f>IF(ISNUMBER('FBPQ C2'!J134),'FBPQ C2'!J134,IF(ISNUMBER('FBPQ C2'!I134),'FBPQ C2'!I134,""))</f>
        <v/>
      </c>
      <c r="G142" s="2">
        <f t="shared" si="2"/>
        <v>0</v>
      </c>
      <c r="H142" s="2" t="str">
        <f>IF(ISBLANK('FBPQ T4'!E134)," ",'FBPQ T4'!AE134)</f>
        <v xml:space="preserve"> </v>
      </c>
      <c r="I142" s="2" t="str">
        <f t="shared" si="3"/>
        <v xml:space="preserve"> </v>
      </c>
    </row>
    <row r="143" spans="2:9">
      <c r="B143" s="2" t="s">
        <v>133</v>
      </c>
      <c r="E143" s="2" t="str">
        <f>IF(ISNUMBER('FBPQ C2'!J135),'FBPQ C2'!J135,IF(ISNUMBER('FBPQ C2'!I135),'FBPQ C2'!I135,""))</f>
        <v/>
      </c>
      <c r="G143" s="2">
        <f t="shared" si="2"/>
        <v>0</v>
      </c>
      <c r="H143" s="2" t="str">
        <f>IF(ISBLANK('FBPQ T4'!E135)," ",'FBPQ T4'!AE135)</f>
        <v xml:space="preserve"> </v>
      </c>
      <c r="I143" s="2" t="str">
        <f t="shared" si="3"/>
        <v xml:space="preserve"> </v>
      </c>
    </row>
    <row r="144" spans="2:9">
      <c r="C144" s="2" t="s">
        <v>179</v>
      </c>
      <c r="D144" s="2" t="s">
        <v>517</v>
      </c>
      <c r="E144" s="2">
        <f>IF(ISNUMBER('FBPQ C2'!J136),'FBPQ C2'!J136,IF(ISNUMBER('FBPQ C2'!I136),'FBPQ C2'!I136,""))</f>
        <v>1140.57</v>
      </c>
      <c r="F144" s="2" t="s">
        <v>788</v>
      </c>
      <c r="G144" s="2">
        <f t="shared" si="2"/>
        <v>1140.57</v>
      </c>
      <c r="H144" s="2">
        <f>IF(ISBLANK('FBPQ T4'!E136)," ",'FBPQ T4'!AE136)</f>
        <v>94</v>
      </c>
      <c r="I144" s="2">
        <f t="shared" si="3"/>
        <v>107213.57999999999</v>
      </c>
    </row>
    <row r="145" spans="1:9">
      <c r="C145" s="2" t="s">
        <v>180</v>
      </c>
      <c r="D145" s="2" t="s">
        <v>517</v>
      </c>
      <c r="E145" s="2" t="str">
        <f>IF(ISNUMBER('FBPQ C2'!J137),'FBPQ C2'!J137,IF(ISNUMBER('FBPQ C2'!I137),'FBPQ C2'!I137,""))</f>
        <v/>
      </c>
      <c r="F145" s="2" t="s">
        <v>788</v>
      </c>
      <c r="G145" s="2" t="str">
        <f t="shared" si="2"/>
        <v>DATA</v>
      </c>
      <c r="H145" s="2">
        <f>IF(ISBLANK('FBPQ T4'!E137)," ",'FBPQ T4'!AE137)</f>
        <v>161</v>
      </c>
      <c r="I145" s="2" t="str">
        <f t="shared" si="3"/>
        <v xml:space="preserve"> </v>
      </c>
    </row>
    <row r="146" spans="1:9">
      <c r="E146" s="2" t="str">
        <f>IF(ISNUMBER('FBPQ C2'!J138),'FBPQ C2'!J138,IF(ISNUMBER('FBPQ C2'!I138),'FBPQ C2'!I138,""))</f>
        <v/>
      </c>
      <c r="G146" s="2">
        <f t="shared" si="2"/>
        <v>0</v>
      </c>
      <c r="H146" s="2" t="str">
        <f>IF(ISBLANK('FBPQ T4'!E138)," ",'FBPQ T4'!AE138)</f>
        <v xml:space="preserve"> </v>
      </c>
      <c r="I146" s="2" t="str">
        <f t="shared" si="3"/>
        <v xml:space="preserve"> </v>
      </c>
    </row>
    <row r="147" spans="1:9">
      <c r="A147" s="1" t="s">
        <v>181</v>
      </c>
      <c r="E147" s="2" t="str">
        <f>IF(ISNUMBER('FBPQ C2'!J139),'FBPQ C2'!J139,IF(ISNUMBER('FBPQ C2'!I139),'FBPQ C2'!I139,""))</f>
        <v/>
      </c>
      <c r="G147" s="2">
        <f t="shared" si="2"/>
        <v>0</v>
      </c>
      <c r="H147" s="2" t="str">
        <f>IF(ISBLANK('FBPQ T4'!E139)," ",'FBPQ T4'!AE139)</f>
        <v xml:space="preserve"> </v>
      </c>
      <c r="I147" s="2" t="str">
        <f t="shared" si="3"/>
        <v xml:space="preserve"> </v>
      </c>
    </row>
    <row r="148" spans="1:9">
      <c r="B148" s="2" t="s">
        <v>182</v>
      </c>
      <c r="E148" s="2" t="str">
        <f>IF(ISNUMBER('FBPQ C2'!J140),'FBPQ C2'!J140,IF(ISNUMBER('FBPQ C2'!I140),'FBPQ C2'!I140,""))</f>
        <v/>
      </c>
      <c r="G148" s="2">
        <f t="shared" ref="G148:G163" si="4">IF(ISNUMBER(E148),E148,IF(H148&gt;0,F148," "))</f>
        <v>0</v>
      </c>
      <c r="H148" s="2" t="str">
        <f>IF(ISBLANK('FBPQ T4'!E140)," ",'FBPQ T4'!AE140)</f>
        <v xml:space="preserve"> </v>
      </c>
      <c r="I148" s="2" t="str">
        <f t="shared" ref="I148:I163" si="5">IF(ISERROR(G148*H148)," ",G148*H148)</f>
        <v xml:space="preserve"> </v>
      </c>
    </row>
    <row r="149" spans="1:9">
      <c r="C149" s="2" t="s">
        <v>183</v>
      </c>
      <c r="D149" s="2" t="s">
        <v>517</v>
      </c>
      <c r="E149" s="2" t="str">
        <f>IF(ISNUMBER('FBPQ C2'!J141),'FBPQ C2'!J141,IF(ISNUMBER('FBPQ C2'!I141),'FBPQ C2'!I141,""))</f>
        <v/>
      </c>
      <c r="F149" s="2" t="s">
        <v>788</v>
      </c>
      <c r="G149" s="2" t="str">
        <f t="shared" si="4"/>
        <v xml:space="preserve"> </v>
      </c>
      <c r="H149" s="2">
        <f>IF(ISBLANK('FBPQ T4'!E141)," ",'FBPQ T4'!AE141)</f>
        <v>0</v>
      </c>
      <c r="I149" s="2" t="str">
        <f t="shared" si="5"/>
        <v xml:space="preserve"> </v>
      </c>
    </row>
    <row r="150" spans="1:9">
      <c r="C150" s="2" t="s">
        <v>184</v>
      </c>
      <c r="D150" s="2" t="s">
        <v>517</v>
      </c>
      <c r="E150" s="2" t="str">
        <f>IF(ISNUMBER('FBPQ C2'!J142),'FBPQ C2'!J142,IF(ISNUMBER('FBPQ C2'!I142),'FBPQ C2'!I142,""))</f>
        <v/>
      </c>
      <c r="F150" s="2" t="s">
        <v>788</v>
      </c>
      <c r="G150" s="2" t="str">
        <f t="shared" si="4"/>
        <v>DATA</v>
      </c>
      <c r="H150" s="2">
        <f>IF(ISBLANK('FBPQ T4'!E142)," ",'FBPQ T4'!AE142)</f>
        <v>393</v>
      </c>
      <c r="I150" s="2" t="str">
        <f t="shared" si="5"/>
        <v xml:space="preserve"> </v>
      </c>
    </row>
    <row r="151" spans="1:9">
      <c r="E151" s="2" t="str">
        <f>IF(ISNUMBER('FBPQ C2'!J143),'FBPQ C2'!J143,IF(ISNUMBER('FBPQ C2'!I143),'FBPQ C2'!I143,""))</f>
        <v/>
      </c>
      <c r="G151" s="2">
        <f t="shared" si="4"/>
        <v>0</v>
      </c>
      <c r="H151" s="2" t="str">
        <f>IF(ISBLANK('FBPQ T4'!E143)," ",'FBPQ T4'!AE143)</f>
        <v xml:space="preserve"> </v>
      </c>
      <c r="I151" s="2" t="str">
        <f t="shared" si="5"/>
        <v xml:space="preserve"> </v>
      </c>
    </row>
    <row r="152" spans="1:9">
      <c r="B152" s="2" t="s">
        <v>185</v>
      </c>
      <c r="E152" s="2" t="str">
        <f>IF(ISNUMBER('FBPQ C2'!J144),'FBPQ C2'!J144,IF(ISNUMBER('FBPQ C2'!I144),'FBPQ C2'!I144,""))</f>
        <v/>
      </c>
      <c r="G152" s="2">
        <f t="shared" si="4"/>
        <v>0</v>
      </c>
      <c r="H152" s="2" t="str">
        <f>IF(ISBLANK('FBPQ T4'!E144)," ",'FBPQ T4'!AE144)</f>
        <v xml:space="preserve"> </v>
      </c>
      <c r="I152" s="2" t="str">
        <f t="shared" si="5"/>
        <v xml:space="preserve"> </v>
      </c>
    </row>
    <row r="153" spans="1:9">
      <c r="C153" s="2" t="s">
        <v>186</v>
      </c>
      <c r="D153" s="2" t="s">
        <v>517</v>
      </c>
      <c r="E153" s="2" t="str">
        <f>IF(ISNUMBER('FBPQ C2'!J145),'FBPQ C2'!J145,IF(ISNUMBER('FBPQ C2'!I145),'FBPQ C2'!I145,""))</f>
        <v/>
      </c>
      <c r="F153" s="2" t="s">
        <v>788</v>
      </c>
      <c r="G153" s="2" t="str">
        <f t="shared" si="4"/>
        <v>DATA</v>
      </c>
      <c r="H153" s="2">
        <f>IF(ISBLANK('FBPQ T4'!E145)," ",'FBPQ T4'!AE145)</f>
        <v>1747</v>
      </c>
      <c r="I153" s="2" t="str">
        <f t="shared" si="5"/>
        <v xml:space="preserve"> </v>
      </c>
    </row>
    <row r="154" spans="1:9">
      <c r="C154" s="2" t="s">
        <v>187</v>
      </c>
      <c r="D154" s="2" t="s">
        <v>517</v>
      </c>
      <c r="E154" s="2" t="str">
        <f>IF(ISNUMBER('FBPQ C2'!J146),'FBPQ C2'!J146,IF(ISNUMBER('FBPQ C2'!I146),'FBPQ C2'!I146,""))</f>
        <v/>
      </c>
      <c r="F154" s="2" t="s">
        <v>788</v>
      </c>
      <c r="G154" s="2" t="str">
        <f t="shared" si="4"/>
        <v>DATA</v>
      </c>
      <c r="H154" s="2">
        <f>IF(ISBLANK('FBPQ T4'!E146)," ",'FBPQ T4'!AE146)</f>
        <v>155</v>
      </c>
      <c r="I154" s="2" t="str">
        <f t="shared" si="5"/>
        <v xml:space="preserve"> </v>
      </c>
    </row>
    <row r="155" spans="1:9">
      <c r="E155" s="2" t="str">
        <f>IF(ISNUMBER('FBPQ C2'!J147),'FBPQ C2'!J147,IF(ISNUMBER('FBPQ C2'!I147),'FBPQ C2'!I147,""))</f>
        <v/>
      </c>
      <c r="G155" s="2">
        <f t="shared" si="4"/>
        <v>0</v>
      </c>
      <c r="H155" s="2" t="str">
        <f>IF(ISBLANK('FBPQ T4'!E147)," ",'FBPQ T4'!AE147)</f>
        <v xml:space="preserve"> </v>
      </c>
      <c r="I155" s="2" t="str">
        <f t="shared" si="5"/>
        <v xml:space="preserve"> </v>
      </c>
    </row>
    <row r="156" spans="1:9">
      <c r="E156" s="2" t="str">
        <f>IF(ISNUMBER('FBPQ C2'!J148),'FBPQ C2'!J148,IF(ISNUMBER('FBPQ C2'!I148),'FBPQ C2'!I148,""))</f>
        <v/>
      </c>
      <c r="G156" s="2">
        <f t="shared" si="4"/>
        <v>0</v>
      </c>
      <c r="H156" s="2" t="str">
        <f>IF(ISBLANK('FBPQ T4'!E148)," ",'FBPQ T4'!AE148)</f>
        <v xml:space="preserve"> </v>
      </c>
      <c r="I156" s="2" t="str">
        <f t="shared" si="5"/>
        <v xml:space="preserve"> </v>
      </c>
    </row>
    <row r="157" spans="1:9">
      <c r="A157" s="1" t="s">
        <v>518</v>
      </c>
      <c r="E157" s="2" t="str">
        <f>IF(ISNUMBER('FBPQ C2'!J149),'FBPQ C2'!J149,IF(ISNUMBER('FBPQ C2'!I149),'FBPQ C2'!I149,""))</f>
        <v/>
      </c>
      <c r="G157" s="2">
        <f t="shared" si="4"/>
        <v>0</v>
      </c>
      <c r="H157" s="2" t="str">
        <f>IF(ISBLANK('FBPQ T4'!E149)," ",'FBPQ T4'!AE149)</f>
        <v xml:space="preserve"> </v>
      </c>
      <c r="I157" s="2" t="str">
        <f t="shared" si="5"/>
        <v xml:space="preserve"> </v>
      </c>
    </row>
    <row r="158" spans="1:9">
      <c r="C158" s="2" t="s">
        <v>120</v>
      </c>
      <c r="E158" s="2" t="str">
        <f>IF(ISNUMBER('FBPQ C2'!J150),'FBPQ C2'!J150,IF(ISNUMBER('FBPQ C2'!I150),'FBPQ C2'!I150,""))</f>
        <v/>
      </c>
      <c r="G158" s="2">
        <f t="shared" si="4"/>
        <v>0</v>
      </c>
      <c r="H158" s="2" t="str">
        <f>IF(ISBLANK('FBPQ T4'!E150)," ",'FBPQ T4'!AE150)</f>
        <v xml:space="preserve"> </v>
      </c>
      <c r="I158" s="2" t="str">
        <f t="shared" si="5"/>
        <v xml:space="preserve"> </v>
      </c>
    </row>
    <row r="159" spans="1:9">
      <c r="C159" s="2" t="s">
        <v>519</v>
      </c>
      <c r="D159" s="2" t="s">
        <v>517</v>
      </c>
      <c r="E159" s="2">
        <f>IF(ISNUMBER('FBPQ C2'!J151),'FBPQ C2'!J151,IF(ISNUMBER('FBPQ C2'!I151),'FBPQ C2'!I151,""))</f>
        <v>24.46</v>
      </c>
      <c r="F159" s="2" t="s">
        <v>788</v>
      </c>
      <c r="G159" s="2">
        <f t="shared" si="4"/>
        <v>24.46</v>
      </c>
      <c r="H159" s="2" t="str">
        <f>IF(ISBLANK('FBPQ T4'!E151)," ",'FBPQ T4'!AE151)</f>
        <v xml:space="preserve"> </v>
      </c>
      <c r="I159" s="2" t="str">
        <f t="shared" si="5"/>
        <v xml:space="preserve"> </v>
      </c>
    </row>
    <row r="160" spans="1:9">
      <c r="C160" s="2" t="s">
        <v>520</v>
      </c>
      <c r="D160" s="2" t="s">
        <v>517</v>
      </c>
      <c r="E160" s="2">
        <f>IF(ISNUMBER('FBPQ C2'!J152),'FBPQ C2'!J152,IF(ISNUMBER('FBPQ C2'!I152),'FBPQ C2'!I152,""))</f>
        <v>24.46</v>
      </c>
      <c r="F160" s="2" t="s">
        <v>788</v>
      </c>
      <c r="G160" s="2">
        <f t="shared" si="4"/>
        <v>24.46</v>
      </c>
      <c r="H160" s="2" t="str">
        <f>IF(ISBLANK('FBPQ T4'!E152)," ",'FBPQ T4'!AE152)</f>
        <v xml:space="preserve"> </v>
      </c>
      <c r="I160" s="2" t="str">
        <f t="shared" si="5"/>
        <v xml:space="preserve"> </v>
      </c>
    </row>
    <row r="161" spans="3:9">
      <c r="C161" s="2" t="s">
        <v>129</v>
      </c>
      <c r="E161" s="2" t="str">
        <f>IF(ISNUMBER('FBPQ C2'!J153),'FBPQ C2'!J153,IF(ISNUMBER('FBPQ C2'!I153),'FBPQ C2'!I153,""))</f>
        <v/>
      </c>
      <c r="F161" s="2" t="s">
        <v>788</v>
      </c>
      <c r="G161" s="2" t="str">
        <f t="shared" si="4"/>
        <v>DATA</v>
      </c>
      <c r="H161" s="2" t="str">
        <f>IF(ISBLANK('FBPQ T4'!E153)," ",'FBPQ T4'!AE153)</f>
        <v xml:space="preserve"> </v>
      </c>
      <c r="I161" s="2" t="str">
        <f t="shared" si="5"/>
        <v xml:space="preserve"> </v>
      </c>
    </row>
    <row r="162" spans="3:9">
      <c r="C162" s="2" t="s">
        <v>519</v>
      </c>
      <c r="D162" s="2" t="s">
        <v>517</v>
      </c>
      <c r="E162" s="2" t="str">
        <f>IF(ISNUMBER('FBPQ C2'!J154),'FBPQ C2'!J154,IF(ISNUMBER('FBPQ C2'!I154),'FBPQ C2'!I154,""))</f>
        <v/>
      </c>
      <c r="F162" s="2" t="s">
        <v>788</v>
      </c>
      <c r="G162" s="2" t="str">
        <f t="shared" si="4"/>
        <v>DATA</v>
      </c>
      <c r="H162" s="2" t="str">
        <f>IF(ISBLANK('FBPQ T4'!E154)," ",'FBPQ T4'!AE154)</f>
        <v xml:space="preserve"> </v>
      </c>
      <c r="I162" s="2" t="str">
        <f t="shared" si="5"/>
        <v xml:space="preserve"> </v>
      </c>
    </row>
    <row r="163" spans="3:9">
      <c r="C163" s="2" t="s">
        <v>520</v>
      </c>
      <c r="D163" s="2" t="s">
        <v>517</v>
      </c>
      <c r="E163" s="2" t="str">
        <f>IF(ISNUMBER('FBPQ C2'!J155),'FBPQ C2'!J155,IF(ISNUMBER('FBPQ C2'!I155),'FBPQ C2'!I155,""))</f>
        <v/>
      </c>
      <c r="F163" s="2" t="s">
        <v>788</v>
      </c>
      <c r="G163" s="2" t="str">
        <f t="shared" si="4"/>
        <v>DATA</v>
      </c>
      <c r="H163" s="2" t="str">
        <f>IF(ISBLANK('FBPQ T4'!E155)," ",'FBPQ T4'!AE155)</f>
        <v xml:space="preserve"> </v>
      </c>
      <c r="I163" s="2" t="str">
        <f t="shared" si="5"/>
        <v xml:space="preserve"> </v>
      </c>
    </row>
  </sheetData>
  <phoneticPr fontId="1" type="noConversion"/>
  <pageMargins left="0.75" right="0.75" top="1" bottom="1" header="0.5" footer="0.5"/>
  <pageSetup paperSize="9" scale="3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rgb="FFC5FFFF"/>
    <pageSetUpPr fitToPage="1"/>
  </sheetPr>
  <dimension ref="A1:L17"/>
  <sheetViews>
    <sheetView showGridLines="0" workbookViewId="0">
      <selection activeCell="C7" sqref="C7"/>
    </sheetView>
  </sheetViews>
  <sheetFormatPr defaultColWidth="18.28515625" defaultRowHeight="15"/>
  <cols>
    <col min="1" max="1" width="36.140625" style="2" customWidth="1"/>
    <col min="2" max="12" width="18.85546875" style="2" customWidth="1"/>
    <col min="13" max="16384" width="18.28515625" style="2"/>
  </cols>
  <sheetData>
    <row r="1" spans="1:12" ht="19.5">
      <c r="A1" s="4" t="str">
        <f>"Inputs for Method M ("&amp;'Calc-Net capex'!B5&amp;") for "&amp;Inputs!B6&amp;" in "&amp;Inputs!C6&amp;"  Status: "&amp;Inputs!D6&amp;""</f>
        <v>Inputs for Method M (LR1) for South West in April 17  Status: Final</v>
      </c>
    </row>
    <row r="2" spans="1:12">
      <c r="C2" s="17"/>
    </row>
    <row r="3" spans="1:12" ht="17.25">
      <c r="A3" s="45" t="s">
        <v>26</v>
      </c>
      <c r="B3" s="5"/>
      <c r="C3" s="17"/>
    </row>
    <row r="4" spans="1:12">
      <c r="A4" s="5"/>
      <c r="B4" s="5"/>
      <c r="C4" s="17"/>
    </row>
    <row r="5" spans="1:12">
      <c r="B5" s="14" t="s">
        <v>27</v>
      </c>
      <c r="C5" s="14" t="s">
        <v>28</v>
      </c>
      <c r="D5" s="14" t="s">
        <v>29</v>
      </c>
    </row>
    <row r="6" spans="1:12" ht="17.25" customHeight="1">
      <c r="A6" s="14" t="s">
        <v>26</v>
      </c>
      <c r="B6" s="37" t="s">
        <v>982</v>
      </c>
      <c r="C6" s="37" t="s">
        <v>998</v>
      </c>
      <c r="D6" s="37" t="s">
        <v>983</v>
      </c>
    </row>
    <row r="7" spans="1:12">
      <c r="C7" s="17"/>
    </row>
    <row r="8" spans="1:12" ht="17.25">
      <c r="A8" s="45" t="s">
        <v>30</v>
      </c>
      <c r="B8" s="5"/>
      <c r="D8" s="7"/>
      <c r="E8" s="8"/>
      <c r="F8" s="9"/>
      <c r="G8" s="9"/>
    </row>
    <row r="9" spans="1:12">
      <c r="A9" s="3" t="s">
        <v>31</v>
      </c>
      <c r="B9" s="3"/>
    </row>
    <row r="10" spans="1:12">
      <c r="A10" s="3" t="s">
        <v>32</v>
      </c>
      <c r="B10" s="3"/>
    </row>
    <row r="11" spans="1:12">
      <c r="A11" s="3" t="s">
        <v>33</v>
      </c>
      <c r="B11" s="3"/>
    </row>
    <row r="12" spans="1:12" ht="32.25" customHeight="1">
      <c r="A12" s="10">
        <v>1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4" spans="1:12" ht="17.25">
      <c r="A14" s="45" t="s">
        <v>34</v>
      </c>
    </row>
    <row r="15" spans="1:12">
      <c r="A15" s="5"/>
    </row>
    <row r="16" spans="1:12">
      <c r="A16" s="5"/>
      <c r="B16" s="18" t="s">
        <v>35</v>
      </c>
    </row>
    <row r="17" spans="1:2">
      <c r="A17" s="14" t="s">
        <v>35</v>
      </c>
      <c r="B17" s="13">
        <v>5.5449999999999999E-2</v>
      </c>
    </row>
  </sheetData>
  <sheetProtection sheet="1" objects="1" scenarios="1"/>
  <phoneticPr fontId="1" type="noConversion"/>
  <pageMargins left="0.75" right="0.75" top="1" bottom="1" header="0.5" footer="0.5"/>
  <pageSetup paperSize="9" scale="58" orientation="portrait" horizontalDpi="4294967292" verticalDpi="4294967292" r:id="rId1"/>
  <headerFooter>
    <oddHeader>&amp;A&amp;RPage 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</xdr:col>
                    <xdr:colOff>314325</xdr:colOff>
                    <xdr:row>11</xdr:row>
                    <xdr:rowOff>47625</xdr:rowOff>
                  </from>
                  <to>
                    <xdr:col>1</xdr:col>
                    <xdr:colOff>1095375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47625</xdr:rowOff>
                  </from>
                  <to>
                    <xdr:col>3</xdr:col>
                    <xdr:colOff>0</xdr:colOff>
                    <xdr:row>11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C4"/>
    <pageSetUpPr fitToPage="1"/>
  </sheetPr>
  <dimension ref="A1:H11"/>
  <sheetViews>
    <sheetView showGridLines="0" workbookViewId="0"/>
  </sheetViews>
  <sheetFormatPr defaultColWidth="8.85546875" defaultRowHeight="15"/>
  <cols>
    <col min="1" max="1" width="21.7109375" style="2" customWidth="1"/>
    <col min="2" max="2" width="9.85546875" style="2" customWidth="1"/>
    <col min="3" max="3" width="31.140625" style="2" customWidth="1"/>
    <col min="4" max="4" width="8.85546875" style="2" customWidth="1"/>
    <col min="5" max="7" width="20.42578125" style="2" customWidth="1"/>
    <col min="8" max="8" width="21.85546875" style="2" customWidth="1"/>
    <col min="9" max="10" width="20.42578125" style="2" customWidth="1"/>
    <col min="11" max="11" width="21.85546875" style="2" customWidth="1"/>
    <col min="12" max="13" width="9.140625" style="2" customWidth="1"/>
    <col min="14" max="15" width="20.42578125" style="2" customWidth="1"/>
    <col min="16" max="16" width="21.85546875" style="2" customWidth="1"/>
    <col min="17" max="16384" width="8.85546875" style="2"/>
  </cols>
  <sheetData>
    <row r="1" spans="1:8" ht="19.5">
      <c r="A1" s="4" t="str">
        <f>"Calc-MEAV for Method M ("&amp;'Calc-Net capex'!B5&amp;") for "&amp;Inputs!B6&amp;" in "&amp;Inputs!C6&amp;"  Status: "&amp;Inputs!D6&amp;""</f>
        <v>Calc-MEAV for Method M (LR1) for South West in April 17  Status: Final</v>
      </c>
    </row>
    <row r="3" spans="1:8" ht="26.25" customHeight="1">
      <c r="F3" s="2" t="s">
        <v>789</v>
      </c>
    </row>
    <row r="4" spans="1:8" ht="27.75" customHeight="1">
      <c r="F4" s="2" t="s">
        <v>790</v>
      </c>
    </row>
    <row r="5" spans="1:8">
      <c r="G5" s="2" t="s">
        <v>203</v>
      </c>
      <c r="H5" s="2" t="s">
        <v>791</v>
      </c>
    </row>
    <row r="6" spans="1:8">
      <c r="F6" s="2" t="s">
        <v>222</v>
      </c>
      <c r="G6" s="2">
        <f>SUM('Data-MEAV'!I20:I39)</f>
        <v>2542417.2589199999</v>
      </c>
      <c r="H6" s="2">
        <f>G6/$G$11</f>
        <v>0.45166595510299268</v>
      </c>
    </row>
    <row r="7" spans="1:8">
      <c r="F7" s="2" t="s">
        <v>525</v>
      </c>
      <c r="G7" s="2">
        <f>SUM('Data-MEAV'!I62:I63)+SUM('Data-MEAV'!I69:I70)+SUM('Data-MEAV'!I75:I78)</f>
        <v>404608.13</v>
      </c>
      <c r="H7" s="2">
        <f>G7/$G$11</f>
        <v>7.187951420551468E-2</v>
      </c>
    </row>
    <row r="8" spans="1:8">
      <c r="F8" s="2" t="s">
        <v>223</v>
      </c>
      <c r="G8" s="2">
        <f>SUM('Data-MEAV'!I42:I56)+SUM('Data-MEAV'!I59:I61)+SUM('Data-MEAV'!I64:I68)+SUM('Data-MEAV'!I71:I72)+SUM('Data-MEAV'!I158:I163)+SUM('Data-MEAV'!I153:I154)</f>
        <v>1445766.7349999999</v>
      </c>
      <c r="H8" s="2">
        <f>G8/$G$11</f>
        <v>0.25684360461638045</v>
      </c>
    </row>
    <row r="9" spans="1:8">
      <c r="F9" s="2" t="s">
        <v>402</v>
      </c>
      <c r="G9" s="2">
        <f>SUM('Data-MEAV'!I81:I120)+SUM('Data-MEAV'!I149:I150)</f>
        <v>605549.19200000004</v>
      </c>
      <c r="H9" s="2">
        <f>G9/$G$11</f>
        <v>0.10757713086116667</v>
      </c>
    </row>
    <row r="10" spans="1:8">
      <c r="F10" s="2" t="s">
        <v>481</v>
      </c>
      <c r="G10" s="2">
        <f>SUM('Data-MEAV'!I121:I146)</f>
        <v>630635.65300000005</v>
      </c>
      <c r="H10" s="2">
        <f>G10/$G$11</f>
        <v>0.11203379521394571</v>
      </c>
    </row>
    <row r="11" spans="1:8">
      <c r="F11" s="2" t="s">
        <v>200</v>
      </c>
      <c r="G11" s="2">
        <f>SUM(G6:G10)</f>
        <v>5628976.968919999</v>
      </c>
      <c r="H11" s="2">
        <f>SUM(H6:H10)</f>
        <v>1.0000000000000002</v>
      </c>
    </row>
  </sheetData>
  <sheetProtection sheet="1" objects="1" scenarios="1"/>
  <phoneticPr fontId="1" type="noConversion"/>
  <pageMargins left="0.75" right="0.75" top="1" bottom="1" header="0.5" footer="0.5"/>
  <pageSetup paperSize="9" scale="4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C4"/>
    <pageSetUpPr fitToPage="1"/>
  </sheetPr>
  <dimension ref="A1:F23"/>
  <sheetViews>
    <sheetView showGridLines="0" workbookViewId="0"/>
  </sheetViews>
  <sheetFormatPr defaultColWidth="8.85546875" defaultRowHeight="15"/>
  <cols>
    <col min="1" max="1" width="59.140625" style="2" customWidth="1"/>
    <col min="2" max="2" width="16" style="2" customWidth="1"/>
    <col min="3" max="6" width="19" style="2" customWidth="1"/>
    <col min="7" max="16384" width="8.85546875" style="2"/>
  </cols>
  <sheetData>
    <row r="1" spans="1:6" ht="19.5">
      <c r="A1" s="4" t="str">
        <f>"Calc-Units for Method M ("&amp;'Calc-Net capex'!B5&amp;") for "&amp;Inputs!B6&amp;" in "&amp;Inputs!C6&amp;"  Status: "&amp;Inputs!D6&amp;""</f>
        <v>Calc-Units for Method M (LR1) for South West in April 17  Status: Final</v>
      </c>
    </row>
    <row r="3" spans="1:6">
      <c r="A3" s="2" t="s">
        <v>792</v>
      </c>
    </row>
    <row r="4" spans="1:6">
      <c r="B4" s="2" t="s">
        <v>793</v>
      </c>
    </row>
    <row r="5" spans="1:6">
      <c r="A5" s="2" t="s">
        <v>794</v>
      </c>
      <c r="B5" s="2">
        <f>'RRP 5.1'!G36</f>
        <v>11135.698339690003</v>
      </c>
    </row>
    <row r="6" spans="1:6">
      <c r="A6" s="2" t="s">
        <v>795</v>
      </c>
      <c r="B6" s="2">
        <f>'RRP 5.1'!G35</f>
        <v>3560.4307964999998</v>
      </c>
    </row>
    <row r="7" spans="1:6">
      <c r="A7" s="2" t="s">
        <v>796</v>
      </c>
      <c r="B7" s="2">
        <f>'RRP 5.1'!G34</f>
        <v>519.3929296</v>
      </c>
    </row>
    <row r="8" spans="1:6">
      <c r="A8" s="2" t="s">
        <v>797</v>
      </c>
      <c r="B8" s="2">
        <f>'RRP 5.1'!G40</f>
        <v>1023.462</v>
      </c>
    </row>
    <row r="10" spans="1:6">
      <c r="A10" s="2" t="s">
        <v>798</v>
      </c>
    </row>
    <row r="11" spans="1:6">
      <c r="B11" s="2" t="s">
        <v>799</v>
      </c>
      <c r="C11" s="2" t="s">
        <v>222</v>
      </c>
      <c r="D11" s="2" t="s">
        <v>223</v>
      </c>
      <c r="E11" s="2" t="s">
        <v>402</v>
      </c>
      <c r="F11" s="2" t="s">
        <v>401</v>
      </c>
    </row>
    <row r="12" spans="1:6">
      <c r="A12" s="2" t="s">
        <v>794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</row>
    <row r="13" spans="1:6">
      <c r="A13" s="2" t="s">
        <v>795</v>
      </c>
      <c r="B13" s="2">
        <v>0</v>
      </c>
      <c r="C13" s="2">
        <v>0</v>
      </c>
      <c r="D13" s="2">
        <f>(1+$B$8/($B$5+$B$6/2+$B$7/4)/2)/(1+$B$8/($B$5+$B$6/2+$B$7/4))</f>
        <v>0.96362763141173924</v>
      </c>
      <c r="E13" s="2">
        <f>(1+$B$8/($B$5+$B$6/2+$B$7/4)/2)/(1+$B$8/($B$5+$B$6/2+$B$7/4))</f>
        <v>0.96362763141173924</v>
      </c>
      <c r="F13" s="2">
        <f>(1+$B$8/($B$5+$B$6/2+$B$7/4)/2)/(1+$B$8/($B$5+$B$6/2+$B$7/4))</f>
        <v>0.96362763141173924</v>
      </c>
    </row>
    <row r="14" spans="1:6">
      <c r="A14" s="2" t="s">
        <v>796</v>
      </c>
      <c r="B14" s="2">
        <v>0</v>
      </c>
      <c r="C14" s="2">
        <v>0</v>
      </c>
      <c r="D14" s="2">
        <v>0</v>
      </c>
      <c r="E14" s="2">
        <f>(1+$B$8/($B$5+$B$6/2+$B$7/4)/4)/(1+$B$8/($B$5+$B$6/2+$B$7/4))</f>
        <v>0.94544144711760902</v>
      </c>
      <c r="F14" s="2">
        <f>(1+$B$8/($B$5+$B$6/2+$B$7/4)/4)/(1+$B$8/($B$5+$B$6/2+$B$7/4))</f>
        <v>0.94544144711760902</v>
      </c>
    </row>
    <row r="21" spans="1:6">
      <c r="B21" s="2" t="s">
        <v>799</v>
      </c>
      <c r="C21" s="2" t="s">
        <v>222</v>
      </c>
      <c r="D21" s="2" t="s">
        <v>223</v>
      </c>
      <c r="E21" s="2" t="s">
        <v>402</v>
      </c>
      <c r="F21" s="2" t="s">
        <v>401</v>
      </c>
    </row>
    <row r="22" spans="1:6">
      <c r="A22" s="2" t="s">
        <v>800</v>
      </c>
      <c r="B22" s="2">
        <f>SUMPRODUCT(B$12:B$14,$B$5:$B$7)</f>
        <v>11135.698339690003</v>
      </c>
      <c r="C22" s="2">
        <f>SUMPRODUCT(C$12:C$14,$B$5:$B$7)</f>
        <v>11135.698339690003</v>
      </c>
      <c r="D22" s="2">
        <f>SUMPRODUCT(D$12:D$14,$B$5:$B$7)</f>
        <v>14566.62783492671</v>
      </c>
      <c r="E22" s="2">
        <f>SUMPRODUCT(E$12:E$14,$B$5:$B$7)</f>
        <v>15057.683437910389</v>
      </c>
      <c r="F22" s="2">
        <f>SUMPRODUCT(F$12:F$14,$B$5:$B$7)</f>
        <v>15057.683437910389</v>
      </c>
    </row>
    <row r="23" spans="1:6">
      <c r="A23" s="2" t="s">
        <v>801</v>
      </c>
      <c r="B23" s="2">
        <f>B22*1000000</f>
        <v>11135698339.690002</v>
      </c>
      <c r="C23" s="2">
        <f>C22*1000000</f>
        <v>11135698339.690002</v>
      </c>
      <c r="D23" s="2">
        <f>D22*1000000</f>
        <v>14566627834.92671</v>
      </c>
      <c r="E23" s="2">
        <f>E22*1000000</f>
        <v>15057683437.910389</v>
      </c>
      <c r="F23" s="2">
        <f>F22*1000000</f>
        <v>15057683437.910389</v>
      </c>
    </row>
  </sheetData>
  <sheetProtection sheet="1" objects="1" scenarios="1"/>
  <phoneticPr fontId="1" type="noConversion"/>
  <pageMargins left="0.75" right="0.75" top="1" bottom="1" header="0.5" footer="0.5"/>
  <pageSetup paperSize="9" scale="5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C4"/>
    <pageSetUpPr fitToPage="1"/>
  </sheetPr>
  <dimension ref="A1:P110"/>
  <sheetViews>
    <sheetView showGridLines="0" workbookViewId="0"/>
  </sheetViews>
  <sheetFormatPr defaultColWidth="8.85546875" defaultRowHeight="15"/>
  <cols>
    <col min="1" max="1" width="8.85546875" style="2" customWidth="1"/>
    <col min="2" max="10" width="11.42578125" style="2" customWidth="1"/>
    <col min="11" max="16384" width="8.85546875" style="2"/>
  </cols>
  <sheetData>
    <row r="1" spans="1:16" ht="19.5">
      <c r="A1" s="4" t="str">
        <f>"Calc-Net capex for Method M ("&amp;B5&amp;") for "&amp;Inputs!B6&amp;" in "&amp;Inputs!C6&amp;"  Status: "&amp;Inputs!D6&amp;""</f>
        <v>Calc-Net capex for Method M (LR1) for South West in April 17  Status: Final</v>
      </c>
    </row>
    <row r="3" spans="1:16" ht="26.25" customHeight="1">
      <c r="A3" s="32" t="s">
        <v>802</v>
      </c>
      <c r="B3" s="33"/>
      <c r="C3" s="33"/>
      <c r="D3" s="34"/>
      <c r="F3" s="1757" t="s">
        <v>803</v>
      </c>
      <c r="G3" s="1758"/>
      <c r="H3" s="1762"/>
      <c r="J3" s="1757" t="s">
        <v>521</v>
      </c>
      <c r="K3" s="1758"/>
      <c r="L3" s="1762"/>
      <c r="N3" s="1764" t="s">
        <v>522</v>
      </c>
      <c r="O3" s="1765"/>
      <c r="P3" s="1766"/>
    </row>
    <row r="4" spans="1:16" ht="12.75" customHeight="1">
      <c r="A4" s="23"/>
      <c r="B4" s="21"/>
      <c r="C4" s="21" t="s">
        <v>804</v>
      </c>
      <c r="D4" s="22" t="s">
        <v>805</v>
      </c>
      <c r="F4" s="23"/>
      <c r="G4" s="21"/>
      <c r="H4" s="22"/>
      <c r="J4" s="1767" t="s">
        <v>523</v>
      </c>
      <c r="K4" s="1768"/>
      <c r="L4" s="1769"/>
      <c r="N4" s="1767" t="s">
        <v>524</v>
      </c>
      <c r="O4" s="1768"/>
      <c r="P4" s="1769"/>
    </row>
    <row r="5" spans="1:16">
      <c r="A5" s="24"/>
      <c r="B5" s="25" t="str">
        <f>IF(Inputs!A12,INDEX(C4:D4,Inputs!A12),"No option selected")</f>
        <v>LR1</v>
      </c>
      <c r="C5" s="25"/>
      <c r="D5" s="26"/>
      <c r="F5" s="23"/>
      <c r="G5" s="21" t="s">
        <v>203</v>
      </c>
      <c r="H5" s="22" t="s">
        <v>791</v>
      </c>
      <c r="J5" s="23" t="s">
        <v>402</v>
      </c>
      <c r="K5" s="21">
        <f>'Reductions to net capex'!K5</f>
        <v>0</v>
      </c>
      <c r="L5" s="22">
        <f>K$5*(F21/(F21+F22))</f>
        <v>0</v>
      </c>
      <c r="N5" s="23"/>
      <c r="O5" s="21" t="s">
        <v>203</v>
      </c>
      <c r="P5" s="22"/>
    </row>
    <row r="6" spans="1:16">
      <c r="F6" s="23" t="s">
        <v>222</v>
      </c>
      <c r="G6" s="21">
        <f>C39+F39+I39+C49+F49-O6</f>
        <v>116.69016908763138</v>
      </c>
      <c r="H6" s="22">
        <f>G6/SUM($G$6:$G$10)</f>
        <v>0.26793222162201646</v>
      </c>
      <c r="J6" s="24" t="s">
        <v>401</v>
      </c>
      <c r="K6" s="25"/>
      <c r="L6" s="26">
        <f>K$5*(F22/(F21+F22))</f>
        <v>0</v>
      </c>
      <c r="N6" s="23" t="s">
        <v>222</v>
      </c>
      <c r="O6" s="21">
        <f>'Reductions to net capex'!O6</f>
        <v>0</v>
      </c>
      <c r="P6" s="22"/>
    </row>
    <row r="7" spans="1:16">
      <c r="F7" s="23" t="s">
        <v>525</v>
      </c>
      <c r="G7" s="21">
        <f>C40+F40+I40+C50+F50-O7</f>
        <v>34.558479357611724</v>
      </c>
      <c r="H7" s="22">
        <f>G7/SUM($G$6:$G$10)</f>
        <v>7.9349702057677052E-2</v>
      </c>
      <c r="N7" s="23" t="s">
        <v>525</v>
      </c>
      <c r="O7" s="21">
        <f>'Reductions to net capex'!O7</f>
        <v>0</v>
      </c>
      <c r="P7" s="22"/>
    </row>
    <row r="8" spans="1:16">
      <c r="F8" s="23" t="s">
        <v>223</v>
      </c>
      <c r="G8" s="21">
        <f>C41+F41+I41+C51+F51-O8</f>
        <v>130.45034451140504</v>
      </c>
      <c r="H8" s="22">
        <f>G8/SUM($G$6:$G$10)</f>
        <v>0.29952695149537589</v>
      </c>
      <c r="N8" s="23" t="s">
        <v>223</v>
      </c>
      <c r="O8" s="21">
        <f>'Reductions to net capex'!O8</f>
        <v>0</v>
      </c>
      <c r="P8" s="22"/>
    </row>
    <row r="9" spans="1:16">
      <c r="F9" s="23" t="s">
        <v>402</v>
      </c>
      <c r="G9" s="21">
        <f>C42+F42+I42+C52+F52-L5-O9</f>
        <v>73.665828717298879</v>
      </c>
      <c r="H9" s="22">
        <f>G9/SUM($G$6:$G$10)</f>
        <v>0.16914406157926212</v>
      </c>
      <c r="N9" s="23" t="s">
        <v>402</v>
      </c>
      <c r="O9" s="21">
        <f>'Reductions to net capex'!O9</f>
        <v>0</v>
      </c>
      <c r="P9" s="22"/>
    </row>
    <row r="10" spans="1:16">
      <c r="F10" s="24" t="s">
        <v>481</v>
      </c>
      <c r="G10" s="25">
        <f>C43+F43+I43+C53+F53-L6-O10</f>
        <v>80.156402243089829</v>
      </c>
      <c r="H10" s="26">
        <f>G10/SUM($G$6:$G$10)</f>
        <v>0.1840470632456685</v>
      </c>
      <c r="N10" s="24" t="s">
        <v>481</v>
      </c>
      <c r="O10" s="25">
        <f>'Reductions to net capex'!O10</f>
        <v>0</v>
      </c>
      <c r="P10" s="26"/>
    </row>
    <row r="12" spans="1:16" ht="12" customHeight="1"/>
    <row r="13" spans="1:16">
      <c r="A13" s="1" t="s">
        <v>806</v>
      </c>
    </row>
    <row r="15" spans="1:16" ht="5.25" customHeight="1"/>
    <row r="16" spans="1:16" ht="26.25" customHeight="1">
      <c r="A16" s="30"/>
      <c r="B16" s="1757" t="s">
        <v>807</v>
      </c>
      <c r="C16" s="1762"/>
      <c r="D16" s="30"/>
      <c r="E16" s="1757" t="s">
        <v>808</v>
      </c>
      <c r="F16" s="1762"/>
      <c r="G16" s="30"/>
      <c r="H16" s="1757" t="s">
        <v>809</v>
      </c>
      <c r="I16" s="1762"/>
    </row>
    <row r="17" spans="1:9" ht="45.95" customHeight="1">
      <c r="A17" s="30"/>
      <c r="B17" s="1753" t="s">
        <v>810</v>
      </c>
      <c r="C17" s="1763"/>
      <c r="D17" s="30"/>
      <c r="E17" s="1753" t="s">
        <v>811</v>
      </c>
      <c r="F17" s="1763"/>
      <c r="G17" s="30"/>
      <c r="H17" s="1753" t="s">
        <v>812</v>
      </c>
      <c r="I17" s="1763"/>
    </row>
    <row r="18" spans="1:9" ht="12.75" customHeight="1">
      <c r="B18" s="23"/>
      <c r="C18" s="22"/>
      <c r="E18" s="23"/>
      <c r="F18" s="22"/>
      <c r="H18" s="23"/>
      <c r="I18" s="22"/>
    </row>
    <row r="19" spans="1:9" ht="12" customHeight="1">
      <c r="B19" s="23" t="s">
        <v>222</v>
      </c>
      <c r="C19" s="22">
        <f>IF(Inputs!$A$12=1,C87,IF(Inputs!$A$12=2,C66,#VALUE!))</f>
        <v>5.9000000000000057</v>
      </c>
      <c r="E19" s="23" t="s">
        <v>222</v>
      </c>
      <c r="F19" s="22">
        <f>SUM('FBPQ LR4'!D11:M11)</f>
        <v>2.2000000000000002</v>
      </c>
      <c r="H19" s="23" t="s">
        <v>222</v>
      </c>
      <c r="I19" s="22">
        <f>SUM('FBPQ LR6'!C28:L28)</f>
        <v>0</v>
      </c>
    </row>
    <row r="20" spans="1:9" ht="12" customHeight="1">
      <c r="B20" s="23" t="s">
        <v>223</v>
      </c>
      <c r="C20" s="22">
        <f>IF(Inputs!$A$12=1,C88,IF(Inputs!$A$12=2,C67,#VALUE!))</f>
        <v>6.6000000000000014</v>
      </c>
      <c r="E20" s="23" t="s">
        <v>223</v>
      </c>
      <c r="F20" s="22">
        <f>SUM('FBPQ LR4'!D12:M12)</f>
        <v>10.999999999999998</v>
      </c>
      <c r="H20" s="23" t="s">
        <v>223</v>
      </c>
      <c r="I20" s="22">
        <f>SUM('FBPQ LR6'!C29:L29)</f>
        <v>0</v>
      </c>
    </row>
    <row r="21" spans="1:9">
      <c r="B21" s="23" t="s">
        <v>402</v>
      </c>
      <c r="C21" s="22">
        <f>IF(Inputs!$A$12=1,C89,IF(Inputs!$A$12=2,C68,#VALUE!))</f>
        <v>0</v>
      </c>
      <c r="E21" s="23" t="s">
        <v>402</v>
      </c>
      <c r="F21" s="22">
        <f>SUM('FBPQ LR4'!D13:M13)</f>
        <v>15.35</v>
      </c>
      <c r="H21" s="23" t="s">
        <v>402</v>
      </c>
      <c r="I21" s="22">
        <f>SUM('FBPQ LR6'!C30:L30)</f>
        <v>2.9000000000000004</v>
      </c>
    </row>
    <row r="22" spans="1:9">
      <c r="B22" s="24" t="s">
        <v>481</v>
      </c>
      <c r="C22" s="26">
        <f>IF(Inputs!$A$12=1,C90,IF(Inputs!$A$12=2,C69,#VALUE!))</f>
        <v>0</v>
      </c>
      <c r="E22" s="24" t="s">
        <v>481</v>
      </c>
      <c r="F22" s="26">
        <f>SUM('FBPQ LR4'!D14:M14)</f>
        <v>25.500000000000004</v>
      </c>
      <c r="H22" s="24" t="s">
        <v>481</v>
      </c>
      <c r="I22" s="26">
        <f>SUM('FBPQ LR6'!C31:L31)</f>
        <v>0</v>
      </c>
    </row>
    <row r="25" spans="1:9" s="30" customFormat="1" ht="36.950000000000003" customHeight="1">
      <c r="B25" s="1757" t="s">
        <v>813</v>
      </c>
      <c r="C25" s="1762"/>
      <c r="E25" s="1759" t="s">
        <v>814</v>
      </c>
      <c r="F25" s="1760"/>
    </row>
    <row r="26" spans="1:9" s="30" customFormat="1" ht="27.75" customHeight="1">
      <c r="B26" s="1753" t="s">
        <v>815</v>
      </c>
      <c r="C26" s="1763"/>
      <c r="E26" s="1755" t="s">
        <v>816</v>
      </c>
      <c r="F26" s="1756"/>
    </row>
    <row r="27" spans="1:9">
      <c r="B27" s="23"/>
      <c r="C27" s="22"/>
      <c r="E27" s="23"/>
      <c r="F27" s="22"/>
    </row>
    <row r="28" spans="1:9">
      <c r="B28" s="23" t="s">
        <v>222</v>
      </c>
      <c r="C28" s="22">
        <f>SUM('FBPQ NL1'!D10:M16)</f>
        <v>108.59016908763137</v>
      </c>
      <c r="E28" s="23" t="s">
        <v>222</v>
      </c>
      <c r="F28" s="22">
        <f>SUM('NL9 - Legal &amp; Safety'!D33:M33,'NL9 - Legal &amp; Safety'!D42:M42)</f>
        <v>0</v>
      </c>
    </row>
    <row r="29" spans="1:9">
      <c r="B29" s="23" t="s">
        <v>223</v>
      </c>
      <c r="C29" s="22">
        <f>SUM('FBPQ NL1'!D17:M22)</f>
        <v>147.40882386901671</v>
      </c>
      <c r="E29" s="23" t="s">
        <v>223</v>
      </c>
      <c r="F29" s="22">
        <f>SUM('NL9 - Legal &amp; Safety'!D34:M34,'NL9 - Legal &amp; Safety'!D43:M43)</f>
        <v>0</v>
      </c>
    </row>
    <row r="30" spans="1:9">
      <c r="B30" s="23" t="s">
        <v>402</v>
      </c>
      <c r="C30" s="22">
        <f>SUM('FBPQ NL1'!D23:M28)</f>
        <v>55.415828717298879</v>
      </c>
      <c r="E30" s="23" t="s">
        <v>402</v>
      </c>
      <c r="F30" s="22">
        <f>SUM('NL9 - Legal &amp; Safety'!D35:M35,'NL9 - Legal &amp; Safety'!D44:M44)</f>
        <v>0</v>
      </c>
    </row>
    <row r="31" spans="1:9">
      <c r="B31" s="24" t="s">
        <v>481</v>
      </c>
      <c r="C31" s="26">
        <f>SUM('FBPQ NL1'!D29:M34)</f>
        <v>54.656402243089822</v>
      </c>
      <c r="E31" s="24" t="s">
        <v>481</v>
      </c>
      <c r="F31" s="26">
        <f>SUM('NL9 - Legal &amp; Safety'!D36:M36,'NL9 - Legal &amp; Safety'!D45:M45)</f>
        <v>0</v>
      </c>
    </row>
    <row r="33" spans="1:10" s="1" customFormat="1">
      <c r="A33" s="1" t="s">
        <v>817</v>
      </c>
    </row>
    <row r="35" spans="1:10" ht="5.25" customHeight="1"/>
    <row r="36" spans="1:10" s="30" customFormat="1" ht="51" customHeight="1">
      <c r="B36" s="1757" t="s">
        <v>807</v>
      </c>
      <c r="C36" s="1758"/>
      <c r="D36" s="35"/>
      <c r="E36" s="1757" t="s">
        <v>808</v>
      </c>
      <c r="F36" s="1758"/>
      <c r="G36" s="35"/>
      <c r="H36" s="1757" t="s">
        <v>809</v>
      </c>
      <c r="I36" s="1758"/>
      <c r="J36" s="35"/>
    </row>
    <row r="37" spans="1:10" s="30" customFormat="1" ht="51" customHeight="1">
      <c r="B37" s="1753" t="s">
        <v>810</v>
      </c>
      <c r="C37" s="1754"/>
      <c r="D37" s="36"/>
      <c r="E37" s="1753" t="s">
        <v>811</v>
      </c>
      <c r="F37" s="1754"/>
      <c r="G37" s="36"/>
      <c r="H37" s="1753" t="s">
        <v>812</v>
      </c>
      <c r="I37" s="1754"/>
      <c r="J37" s="36"/>
    </row>
    <row r="38" spans="1:10" ht="12.75" customHeight="1">
      <c r="B38" s="23"/>
      <c r="C38" s="21"/>
      <c r="D38" s="22"/>
      <c r="E38" s="23"/>
      <c r="F38" s="21"/>
      <c r="G38" s="22"/>
      <c r="H38" s="23"/>
      <c r="I38" s="21"/>
      <c r="J38" s="22"/>
    </row>
    <row r="39" spans="1:10">
      <c r="B39" s="23" t="s">
        <v>222</v>
      </c>
      <c r="C39" s="21">
        <f>IF(Inputs!$A$12=1,C96,IF(Inputs!$A$12=2,C75,#VALUE!))</f>
        <v>5.9000000000000057</v>
      </c>
      <c r="D39" s="22"/>
      <c r="E39" s="23" t="s">
        <v>222</v>
      </c>
      <c r="F39" s="21">
        <f>SUM('FBPQ LR4'!D11:M11)</f>
        <v>2.2000000000000002</v>
      </c>
      <c r="G39" s="22"/>
      <c r="H39" s="23" t="s">
        <v>222</v>
      </c>
      <c r="I39" s="21">
        <f>SUM('FBPQ LR6'!C28:L28)</f>
        <v>0</v>
      </c>
      <c r="J39" s="22"/>
    </row>
    <row r="40" spans="1:10">
      <c r="B40" s="23" t="s">
        <v>525</v>
      </c>
      <c r="C40" s="21">
        <f>IF(Inputs!$A$12=1,C97,IF(Inputs!$A$12=2,C76,#VALUE!))</f>
        <v>1.690061771346161</v>
      </c>
      <c r="D40" s="22" t="s">
        <v>818</v>
      </c>
      <c r="E40" s="23" t="s">
        <v>525</v>
      </c>
      <c r="F40" s="21">
        <f>SUM('FBPQ LR4'!D12:M12)*(C55)</f>
        <v>2.8167696189102673</v>
      </c>
      <c r="G40" s="22" t="s">
        <v>818</v>
      </c>
      <c r="H40" s="23" t="s">
        <v>525</v>
      </c>
      <c r="I40" s="21">
        <f>SUM('FBPQ LR6'!C29:L29)*(C55)</f>
        <v>0</v>
      </c>
      <c r="J40" s="22" t="s">
        <v>818</v>
      </c>
    </row>
    <row r="41" spans="1:10">
      <c r="B41" s="23" t="s">
        <v>223</v>
      </c>
      <c r="C41" s="21">
        <f>IF(Inputs!$A$12=1,C98,IF(Inputs!$A$12=2,C77,#VALUE!))</f>
        <v>4.9099382286538402</v>
      </c>
      <c r="D41" s="22"/>
      <c r="E41" s="23" t="s">
        <v>223</v>
      </c>
      <c r="F41" s="21">
        <f>SUM('FBPQ LR4'!D12:M12)*(1-C55)</f>
        <v>8.1832303810897304</v>
      </c>
      <c r="G41" s="22"/>
      <c r="H41" s="23" t="s">
        <v>223</v>
      </c>
      <c r="I41" s="21">
        <f>SUM('FBPQ LR6'!C29:L29)*(1-C55)</f>
        <v>0</v>
      </c>
      <c r="J41" s="22"/>
    </row>
    <row r="42" spans="1:10">
      <c r="B42" s="23" t="s">
        <v>402</v>
      </c>
      <c r="C42" s="21">
        <f>IF(Inputs!$A$12=1,C99,IF(Inputs!$A$12=2,C78,#VALUE!))</f>
        <v>0</v>
      </c>
      <c r="D42" s="22"/>
      <c r="E42" s="23" t="s">
        <v>402</v>
      </c>
      <c r="F42" s="21">
        <f>SUM('FBPQ LR4'!D13:M13)</f>
        <v>15.35</v>
      </c>
      <c r="G42" s="22"/>
      <c r="H42" s="23" t="s">
        <v>402</v>
      </c>
      <c r="I42" s="21">
        <f>SUM('FBPQ LR6'!C30:L30)</f>
        <v>2.9000000000000004</v>
      </c>
      <c r="J42" s="22"/>
    </row>
    <row r="43" spans="1:10">
      <c r="B43" s="24" t="s">
        <v>481</v>
      </c>
      <c r="C43" s="25">
        <f>IF(Inputs!$A$12=1,C100,IF(Inputs!$A$12=2,C79,#VALUE!))</f>
        <v>0</v>
      </c>
      <c r="D43" s="26"/>
      <c r="E43" s="24" t="s">
        <v>481</v>
      </c>
      <c r="F43" s="25">
        <f>SUM('FBPQ LR4'!D14:M14)</f>
        <v>25.500000000000004</v>
      </c>
      <c r="G43" s="26"/>
      <c r="H43" s="24" t="s">
        <v>481</v>
      </c>
      <c r="I43" s="25">
        <f>SUM('FBPQ LR6'!C31:L31)</f>
        <v>0</v>
      </c>
      <c r="J43" s="26"/>
    </row>
    <row r="46" spans="1:10" s="30" customFormat="1" ht="27.75" customHeight="1">
      <c r="B46" s="1757" t="s">
        <v>813</v>
      </c>
      <c r="C46" s="1758"/>
      <c r="D46" s="35"/>
      <c r="E46" s="1759" t="s">
        <v>814</v>
      </c>
      <c r="F46" s="1760"/>
      <c r="H46" s="1759" t="s">
        <v>814</v>
      </c>
      <c r="I46" s="1761"/>
      <c r="J46" s="35"/>
    </row>
    <row r="47" spans="1:10" s="30" customFormat="1" ht="27.75" customHeight="1">
      <c r="B47" s="1753" t="s">
        <v>815</v>
      </c>
      <c r="C47" s="1754"/>
      <c r="D47" s="36"/>
      <c r="E47" s="1755" t="s">
        <v>816</v>
      </c>
      <c r="F47" s="1756"/>
      <c r="H47" s="1753" t="s">
        <v>819</v>
      </c>
      <c r="I47" s="1754"/>
      <c r="J47" s="36"/>
    </row>
    <row r="48" spans="1:10">
      <c r="B48" s="23"/>
      <c r="C48" s="21"/>
      <c r="D48" s="22"/>
      <c r="E48" s="23"/>
      <c r="F48" s="22"/>
      <c r="H48" s="23"/>
      <c r="I48" s="21"/>
      <c r="J48" s="22"/>
    </row>
    <row r="49" spans="2:10">
      <c r="B49" s="23" t="s">
        <v>222</v>
      </c>
      <c r="C49" s="21">
        <f>SUM('FBPQ NL1'!D10:M16)</f>
        <v>108.59016908763137</v>
      </c>
      <c r="D49" s="22"/>
      <c r="E49" s="23" t="s">
        <v>222</v>
      </c>
      <c r="F49" s="22">
        <f>SUM('NL9 - Legal &amp; Safety'!D33:M33,'NL9 - Legal &amp; Safety'!D42:M42)</f>
        <v>0</v>
      </c>
      <c r="H49" s="23" t="s">
        <v>222</v>
      </c>
      <c r="I49" s="21">
        <f>F49+C49</f>
        <v>108.59016908763137</v>
      </c>
      <c r="J49" s="22">
        <f>I49/SUM($I$49:$I$53)</f>
        <v>0.29663672529540669</v>
      </c>
    </row>
    <row r="50" spans="2:10">
      <c r="B50" s="23" t="s">
        <v>525</v>
      </c>
      <c r="C50" s="21">
        <f>SUM('FBPQ NL1'!D21:M22)</f>
        <v>30.051647967355294</v>
      </c>
      <c r="D50" s="22" t="s">
        <v>820</v>
      </c>
      <c r="E50" s="23" t="s">
        <v>525</v>
      </c>
      <c r="F50" s="22">
        <f>SUM('NL9 - Legal &amp; Safety'!D34:M34,'NL9 - Legal &amp; Safety'!D43:M43)*C55</f>
        <v>0</v>
      </c>
      <c r="H50" s="23" t="s">
        <v>525</v>
      </c>
      <c r="I50" s="21">
        <f>F50+C50</f>
        <v>30.051647967355294</v>
      </c>
      <c r="J50" s="22">
        <f>I50/SUM($I$49:$I$53)</f>
        <v>8.2092352536745516E-2</v>
      </c>
    </row>
    <row r="51" spans="2:10">
      <c r="B51" s="23" t="s">
        <v>223</v>
      </c>
      <c r="C51" s="21">
        <f>SUM('FBPQ NL1'!D17:M20)</f>
        <v>117.35717590166148</v>
      </c>
      <c r="D51" s="22"/>
      <c r="E51" s="23" t="s">
        <v>223</v>
      </c>
      <c r="F51" s="22">
        <f>SUM('NL9 - Legal &amp; Safety'!D34:M34,'NL9 - Legal &amp; Safety'!D43:M43)*(1-C55)</f>
        <v>0</v>
      </c>
      <c r="H51" s="23" t="s">
        <v>223</v>
      </c>
      <c r="I51" s="21">
        <f>F51+C51</f>
        <v>117.35717590166148</v>
      </c>
      <c r="J51" s="22">
        <f>I51/SUM($I$49:$I$53)</f>
        <v>0.32058563534690254</v>
      </c>
    </row>
    <row r="52" spans="2:10">
      <c r="B52" s="23" t="s">
        <v>402</v>
      </c>
      <c r="C52" s="21">
        <f>SUM('FBPQ NL1'!D23:M28)</f>
        <v>55.415828717298879</v>
      </c>
      <c r="D52" s="22"/>
      <c r="E52" s="23" t="s">
        <v>402</v>
      </c>
      <c r="F52" s="22">
        <f>SUM('NL9 - Legal &amp; Safety'!D35:M35,'NL9 - Legal &amp; Safety'!D44:M44)</f>
        <v>0</v>
      </c>
      <c r="H52" s="23" t="s">
        <v>402</v>
      </c>
      <c r="I52" s="21">
        <f>F52+C52</f>
        <v>55.415828717298879</v>
      </c>
      <c r="J52" s="22">
        <f>I52/SUM($I$49:$I$53)</f>
        <v>0.15137990941855031</v>
      </c>
    </row>
    <row r="53" spans="2:10">
      <c r="B53" s="24" t="s">
        <v>481</v>
      </c>
      <c r="C53" s="25">
        <f>SUM('FBPQ NL1'!D29:M34)</f>
        <v>54.656402243089822</v>
      </c>
      <c r="D53" s="26"/>
      <c r="E53" s="24" t="s">
        <v>481</v>
      </c>
      <c r="F53" s="26">
        <f>SUM('NL9 - Legal &amp; Safety'!D36:M36,'NL9 - Legal &amp; Safety'!D45:M45)</f>
        <v>0</v>
      </c>
      <c r="H53" s="24" t="s">
        <v>481</v>
      </c>
      <c r="I53" s="25">
        <f>F53+C53</f>
        <v>54.656402243089822</v>
      </c>
      <c r="J53" s="26">
        <f>I53/SUM($I$49:$I$53)</f>
        <v>0.14930537740239497</v>
      </c>
    </row>
    <row r="55" spans="2:10">
      <c r="B55" s="19" t="s">
        <v>821</v>
      </c>
      <c r="C55" s="20">
        <f>C50/C51</f>
        <v>0.25606996535547888</v>
      </c>
    </row>
    <row r="59" spans="2:10" s="1" customFormat="1">
      <c r="B59" s="1" t="s">
        <v>976</v>
      </c>
    </row>
    <row r="61" spans="2:10">
      <c r="B61" s="2" t="s">
        <v>822</v>
      </c>
    </row>
    <row r="62" spans="2:10">
      <c r="B62" s="2" t="s">
        <v>823</v>
      </c>
    </row>
    <row r="63" spans="2:10">
      <c r="B63" s="2" t="s">
        <v>807</v>
      </c>
    </row>
    <row r="64" spans="2:10">
      <c r="B64" s="3" t="s">
        <v>824</v>
      </c>
    </row>
    <row r="66" spans="2:3">
      <c r="B66" s="2" t="s">
        <v>222</v>
      </c>
      <c r="C66" s="3">
        <f>SUM('FBPQ LR1 - V5 opt3'!D227:M227,'FBPQ LR1 - V5 opt3'!I229:M229)-SUM('FBPQ LR1 - V5 opt3'!D250:M250,'FBPQ LR1 - V5 opt3'!I252:M252)</f>
        <v>0</v>
      </c>
    </row>
    <row r="67" spans="2:3">
      <c r="B67" s="2" t="s">
        <v>223</v>
      </c>
      <c r="C67" s="3">
        <f>(SUM('FBPQ LR1 - V5 opt3'!D231:H231,'FBPQ LR1 - V5 opt3'!I230:M230,'FBPQ LR1 - V5 opt3'!I233:M233)-SUM('FBPQ LR1 - V5 opt3'!D254:H254,'FBPQ LR1 - V5 opt3'!I253:M253,'FBPQ LR1 - V5 opt3'!I256:M256))</f>
        <v>0</v>
      </c>
    </row>
    <row r="68" spans="2:3">
      <c r="B68" s="2" t="s">
        <v>402</v>
      </c>
      <c r="C68" s="3">
        <f>SUM('FBPQ LR1 - V5 opt3'!D235:H235,'FBPQ LR1 - V5 opt3'!I234:M234,'FBPQ LR1 - V5 opt3'!I237:M237)-SUM('FBPQ LR1 - V5 opt3'!D258:H258,'FBPQ LR1 - V5 opt3'!I257:M257,'FBPQ LR1 - V5 opt3'!I260:M260)</f>
        <v>0</v>
      </c>
    </row>
    <row r="69" spans="2:3">
      <c r="B69" s="2" t="s">
        <v>481</v>
      </c>
      <c r="C69" s="3">
        <f>SUM('FBPQ LR1 - V5 opt3'!D239:H239,'FBPQ LR1 - V5 opt3'!I238:M238)-SUM('FBPQ LR1 - V5 opt3'!D262:H262,'FBPQ LR1 - V5 opt3'!I261:M261)</f>
        <v>0</v>
      </c>
    </row>
    <row r="71" spans="2:3">
      <c r="B71" s="2" t="s">
        <v>825</v>
      </c>
    </row>
    <row r="72" spans="2:3">
      <c r="B72" s="2" t="s">
        <v>807</v>
      </c>
    </row>
    <row r="73" spans="2:3">
      <c r="B73" s="3" t="s">
        <v>824</v>
      </c>
    </row>
    <row r="75" spans="2:3">
      <c r="B75" s="2" t="s">
        <v>222</v>
      </c>
      <c r="C75" s="3">
        <f>SUM('FBPQ LR1 - V5 opt3'!D227:M227,'FBPQ LR1 - V5 opt3'!I229:M229)-SUM('FBPQ LR1 - V5 opt3'!D250:M250,'FBPQ LR1 - V5 opt3'!I252:M252)</f>
        <v>0</v>
      </c>
    </row>
    <row r="76" spans="2:3">
      <c r="B76" s="2" t="s">
        <v>525</v>
      </c>
      <c r="C76" s="3">
        <f>(SUM('FBPQ LR1 - V5 opt3'!D231:H231,'FBPQ LR1 - V5 opt3'!I230:M230,'FBPQ LR1 - V5 opt3'!I233:M233)-SUM('FBPQ LR1 - V5 opt3'!D254:H254,'FBPQ LR1 - V5 opt3'!I253:M253,'FBPQ LR1 - V5 opt3'!I256:M256))*(C110)</f>
        <v>0</v>
      </c>
    </row>
    <row r="77" spans="2:3">
      <c r="B77" s="2" t="s">
        <v>223</v>
      </c>
      <c r="C77" s="3">
        <f>(SUM('FBPQ LR1 - V5 opt3'!D231:H231,'FBPQ LR1 - V5 opt3'!I230:M230,'FBPQ LR1 - V5 opt3'!I233:M233)-SUM('FBPQ LR1 - V5 opt3'!D254:H254,'FBPQ LR1 - V5 opt3'!I253:M253,'FBPQ LR1 - V5 opt3'!I256:M256))*(1-C110)</f>
        <v>0</v>
      </c>
    </row>
    <row r="78" spans="2:3">
      <c r="B78" s="2" t="s">
        <v>402</v>
      </c>
      <c r="C78" s="3">
        <f>SUM('FBPQ LR1 - V5 opt3'!D235:H235,'FBPQ LR1 - V5 opt3'!I234:M234,'FBPQ LR1 - V5 opt3'!I237:M237)-SUM('FBPQ LR1 - V5 opt3'!D258:H258,'FBPQ LR1 - V5 opt3'!I257:M257,'FBPQ LR1 - V5 opt3'!I260:M260)</f>
        <v>0</v>
      </c>
    </row>
    <row r="79" spans="2:3">
      <c r="B79" s="2" t="s">
        <v>481</v>
      </c>
      <c r="C79" s="3">
        <f>SUM('FBPQ LR1 - V5 opt3'!D239:H239,'FBPQ LR1 - V5 opt3'!I238:M238)-SUM('FBPQ LR1 - V5 opt3'!D262:H262,'FBPQ LR1 - V5 opt3'!I261:M261)</f>
        <v>0</v>
      </c>
    </row>
    <row r="82" spans="2:3">
      <c r="B82" s="2" t="s">
        <v>826</v>
      </c>
    </row>
    <row r="83" spans="2:3">
      <c r="B83" s="2" t="s">
        <v>823</v>
      </c>
    </row>
    <row r="84" spans="2:3">
      <c r="B84" s="2" t="s">
        <v>807</v>
      </c>
    </row>
    <row r="85" spans="2:3">
      <c r="B85" s="3" t="s">
        <v>824</v>
      </c>
    </row>
    <row r="87" spans="2:3">
      <c r="B87" s="2" t="s">
        <v>222</v>
      </c>
      <c r="C87" s="3">
        <f>SUM('FBPQ LR1'!D82:M82)-SUM('FBPQ LR1'!D110:M110)</f>
        <v>5.9000000000000057</v>
      </c>
    </row>
    <row r="88" spans="2:3">
      <c r="B88" s="2" t="s">
        <v>223</v>
      </c>
      <c r="C88" s="3">
        <f>(SUM('FBPQ LR1'!D86:M86)-SUM('FBPQ LR1'!D114:M114))</f>
        <v>6.6000000000000014</v>
      </c>
    </row>
    <row r="89" spans="2:3">
      <c r="B89" s="2" t="s">
        <v>402</v>
      </c>
      <c r="C89" s="3">
        <f>(SUM('FBPQ LR1'!D90:M90)-SUM('FBPQ LR1'!D118:M118))</f>
        <v>0</v>
      </c>
    </row>
    <row r="90" spans="2:3">
      <c r="B90" s="2" t="s">
        <v>481</v>
      </c>
      <c r="C90" s="3">
        <f>(SUM('FBPQ LR1'!D94:M94)-SUM('FBPQ LR1'!D122:M122))</f>
        <v>0</v>
      </c>
    </row>
    <row r="92" spans="2:3">
      <c r="B92" s="2" t="s">
        <v>825</v>
      </c>
    </row>
    <row r="93" spans="2:3">
      <c r="B93" s="2" t="s">
        <v>807</v>
      </c>
    </row>
    <row r="94" spans="2:3">
      <c r="B94" s="3" t="s">
        <v>824</v>
      </c>
    </row>
    <row r="96" spans="2:3">
      <c r="B96" s="2" t="s">
        <v>222</v>
      </c>
      <c r="C96" s="3">
        <f>SUM('FBPQ LR1'!D82:M82)-SUM('FBPQ LR1'!D110:M110)</f>
        <v>5.9000000000000057</v>
      </c>
    </row>
    <row r="97" spans="2:3">
      <c r="B97" s="2" t="s">
        <v>525</v>
      </c>
      <c r="C97" s="3">
        <f>(SUM('FBPQ LR1'!D86:M86)-SUM('FBPQ LR1'!D114:M114))*C110</f>
        <v>1.690061771346161</v>
      </c>
    </row>
    <row r="98" spans="2:3">
      <c r="B98" s="2" t="s">
        <v>223</v>
      </c>
      <c r="C98" s="3">
        <f>(SUM('FBPQ LR1'!D86:M86)-SUM('FBPQ LR1'!D114:M114))*(1-C110)</f>
        <v>4.9099382286538402</v>
      </c>
    </row>
    <row r="99" spans="2:3">
      <c r="B99" s="2" t="s">
        <v>402</v>
      </c>
      <c r="C99" s="3">
        <f>(SUM('FBPQ LR1'!D90:M90)-SUM('FBPQ LR1'!D118:M118))</f>
        <v>0</v>
      </c>
    </row>
    <row r="100" spans="2:3">
      <c r="B100" s="2" t="s">
        <v>481</v>
      </c>
      <c r="C100" s="3">
        <f>(SUM('FBPQ LR1'!D94:M94)-SUM('FBPQ LR1'!D122:M122))</f>
        <v>0</v>
      </c>
    </row>
    <row r="110" spans="2:3">
      <c r="C110" s="2">
        <f>C50/C51</f>
        <v>0.25606996535547888</v>
      </c>
    </row>
  </sheetData>
  <sheetProtection sheet="1" objects="1" scenarios="1"/>
  <mergeCells count="27">
    <mergeCell ref="F3:H3"/>
    <mergeCell ref="J3:L3"/>
    <mergeCell ref="N3:P3"/>
    <mergeCell ref="J4:L4"/>
    <mergeCell ref="N4:P4"/>
    <mergeCell ref="B16:C16"/>
    <mergeCell ref="E16:F16"/>
    <mergeCell ref="H16:I16"/>
    <mergeCell ref="B17:C17"/>
    <mergeCell ref="E17:F17"/>
    <mergeCell ref="H17:I17"/>
    <mergeCell ref="B25:C25"/>
    <mergeCell ref="E25:F25"/>
    <mergeCell ref="B26:C26"/>
    <mergeCell ref="E26:F26"/>
    <mergeCell ref="B36:C36"/>
    <mergeCell ref="E36:F36"/>
    <mergeCell ref="H47:I47"/>
    <mergeCell ref="B47:C47"/>
    <mergeCell ref="E47:F47"/>
    <mergeCell ref="H36:I36"/>
    <mergeCell ref="B37:C37"/>
    <mergeCell ref="E37:F37"/>
    <mergeCell ref="H37:I37"/>
    <mergeCell ref="B46:C46"/>
    <mergeCell ref="E46:F46"/>
    <mergeCell ref="H46:I46"/>
  </mergeCells>
  <phoneticPr fontId="1" type="noConversion"/>
  <pageMargins left="0.75" right="0.75" top="1" bottom="1" header="0.5" footer="0.5"/>
  <pageSetup paperSize="9" scale="4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tabColor rgb="FFFFFFC4"/>
    <pageSetUpPr fitToPage="1"/>
  </sheetPr>
  <dimension ref="A1:BA50"/>
  <sheetViews>
    <sheetView showGridLines="0" workbookViewId="0"/>
  </sheetViews>
  <sheetFormatPr defaultColWidth="14.140625" defaultRowHeight="15"/>
  <cols>
    <col min="1" max="2" width="14.140625" style="2"/>
    <col min="3" max="3" width="54.140625" style="2" bestFit="1" customWidth="1"/>
    <col min="4" max="16384" width="14.140625" style="2"/>
  </cols>
  <sheetData>
    <row r="1" spans="1:53" ht="19.5">
      <c r="A1" s="4" t="str">
        <f>"Calc-Opex for Method M ("&amp;'Calc-Net capex'!B5&amp;") for "&amp;Inputs!B6&amp;" in "&amp;Inputs!C6&amp;"  Status: "&amp;Inputs!D6&amp;""</f>
        <v>Calc-Opex for Method M (LR1) for South West in April 17  Status: Final</v>
      </c>
    </row>
    <row r="3" spans="1:53" ht="58.5" customHeight="1">
      <c r="D3" s="2" t="s">
        <v>827</v>
      </c>
      <c r="K3" s="2" t="s">
        <v>828</v>
      </c>
      <c r="S3" s="2" t="s">
        <v>829</v>
      </c>
      <c r="Z3" s="2" t="s">
        <v>830</v>
      </c>
      <c r="AG3" s="2" t="s">
        <v>831</v>
      </c>
      <c r="AL3" s="2" t="s">
        <v>832</v>
      </c>
    </row>
    <row r="4" spans="1:53" ht="28.5" customHeight="1">
      <c r="E4" s="2" t="s">
        <v>833</v>
      </c>
      <c r="K4" s="2" t="s">
        <v>834</v>
      </c>
      <c r="S4" s="2" t="s">
        <v>835</v>
      </c>
      <c r="Z4" s="2" t="s">
        <v>836</v>
      </c>
      <c r="AG4" s="2" t="s">
        <v>837</v>
      </c>
      <c r="AL4" s="2" t="s">
        <v>838</v>
      </c>
      <c r="AQ4" s="2" t="s">
        <v>839</v>
      </c>
      <c r="AX4" s="2" t="s">
        <v>840</v>
      </c>
    </row>
    <row r="5" spans="1:53" ht="67.5" customHeight="1">
      <c r="D5" s="2" t="s">
        <v>841</v>
      </c>
      <c r="E5" s="2" t="s">
        <v>842</v>
      </c>
      <c r="I5" s="2" t="s">
        <v>843</v>
      </c>
      <c r="K5" s="2" t="s">
        <v>844</v>
      </c>
      <c r="L5" s="2" t="s">
        <v>845</v>
      </c>
      <c r="AL5" s="2" t="s">
        <v>846</v>
      </c>
      <c r="AM5" s="2" t="s">
        <v>847</v>
      </c>
      <c r="AN5" s="2" t="s">
        <v>848</v>
      </c>
      <c r="AQ5" s="2" t="s">
        <v>402</v>
      </c>
      <c r="AR5" s="2" t="s">
        <v>223</v>
      </c>
      <c r="AS5" s="2" t="s">
        <v>38</v>
      </c>
      <c r="AT5" s="2" t="s">
        <v>441</v>
      </c>
      <c r="AU5" s="2" t="s">
        <v>849</v>
      </c>
      <c r="AX5" s="2" t="s">
        <v>402</v>
      </c>
      <c r="AY5" s="2" t="s">
        <v>223</v>
      </c>
      <c r="AZ5" s="2" t="s">
        <v>38</v>
      </c>
      <c r="BA5" s="2" t="s">
        <v>222</v>
      </c>
    </row>
    <row r="6" spans="1:53">
      <c r="E6" s="2" t="s">
        <v>402</v>
      </c>
      <c r="F6" s="2" t="s">
        <v>223</v>
      </c>
      <c r="G6" s="2" t="s">
        <v>38</v>
      </c>
      <c r="H6" s="2" t="s">
        <v>222</v>
      </c>
      <c r="L6" s="2" t="s">
        <v>402</v>
      </c>
      <c r="M6" s="2" t="s">
        <v>223</v>
      </c>
      <c r="N6" s="2" t="s">
        <v>38</v>
      </c>
      <c r="O6" s="2" t="s">
        <v>441</v>
      </c>
      <c r="P6" s="2" t="s">
        <v>849</v>
      </c>
      <c r="S6" s="2" t="s">
        <v>402</v>
      </c>
      <c r="T6" s="2" t="s">
        <v>223</v>
      </c>
      <c r="U6" s="2" t="s">
        <v>38</v>
      </c>
      <c r="V6" s="2" t="s">
        <v>441</v>
      </c>
      <c r="W6" s="2" t="s">
        <v>849</v>
      </c>
      <c r="Z6" s="2" t="s">
        <v>402</v>
      </c>
      <c r="AA6" s="2" t="s">
        <v>223</v>
      </c>
      <c r="AB6" s="2" t="s">
        <v>38</v>
      </c>
      <c r="AC6" s="2" t="s">
        <v>441</v>
      </c>
      <c r="AD6" s="2" t="s">
        <v>849</v>
      </c>
      <c r="AG6" s="2" t="s">
        <v>402</v>
      </c>
      <c r="AH6" s="2" t="s">
        <v>223</v>
      </c>
      <c r="AI6" s="2" t="s">
        <v>38</v>
      </c>
      <c r="AJ6" s="2" t="s">
        <v>441</v>
      </c>
    </row>
    <row r="7" spans="1:53" ht="12.75" customHeight="1">
      <c r="A7" s="2" t="s">
        <v>528</v>
      </c>
      <c r="B7" s="2" t="s">
        <v>850</v>
      </c>
      <c r="C7" s="2" t="s">
        <v>545</v>
      </c>
      <c r="D7" s="2">
        <f>'RRP 1.3'!D$12</f>
        <v>1.4000000000000075</v>
      </c>
      <c r="E7" s="2">
        <f>MAX(0,'Calc-Net capex'!C21+'Calc-Net capex'!C22)/10+'RRP 2.4'!L18+'RRP 2.4'!L19</f>
        <v>4.9000000000000004</v>
      </c>
      <c r="F7" s="2">
        <f>MAX(0,'Calc-Net capex'!C20)/10+'RRP 2.4'!L17</f>
        <v>1.1600000000000001</v>
      </c>
      <c r="H7" s="2">
        <f>MAX(0,'Calc-Net capex'!C19)/10+'RRP 2.4'!L16</f>
        <v>0.89000000000000057</v>
      </c>
      <c r="I7" s="2">
        <v>0</v>
      </c>
      <c r="K7" s="2" t="s">
        <v>851</v>
      </c>
      <c r="L7" s="2">
        <f>IF(ISERROR(VLOOKUP($K7,'Calc-Drivers'!$B$17:$G$27,L$43,FALSE))," ",VLOOKUP($K7,'Calc-Drivers'!$B$17:$G$27,L$43,FALSE))</f>
        <v>0.2196109260751124</v>
      </c>
      <c r="M7" s="2">
        <f>IF(ISERROR(VLOOKUP($K7,'Calc-Drivers'!$B$17:$G$27,M$43,FALSE))," ",VLOOKUP($K7,'Calc-Drivers'!$B$17:$G$27,M$43,FALSE))</f>
        <v>0.25684360461638045</v>
      </c>
      <c r="N7" s="2">
        <f>IF(ISERROR(VLOOKUP($K7,'Calc-Drivers'!$B$17:$G$27,N$43,FALSE))," ",VLOOKUP($K7,'Calc-Drivers'!$B$17:$G$27,N$43,FALSE))</f>
        <v>7.187951420551468E-2</v>
      </c>
      <c r="O7" s="2">
        <f>IF(ISERROR(VLOOKUP($K7,'Calc-Drivers'!$B$17:$G$27,O$43,FALSE))," ",VLOOKUP($K7,'Calc-Drivers'!$B$17:$G$27,O$43,FALSE))</f>
        <v>0.29153630721549384</v>
      </c>
      <c r="P7" s="2">
        <f>IF(ISERROR(VLOOKUP($K7,'Calc-Drivers'!$B$17:$G$27,P$43,FALSE))," ",VLOOKUP($K7,'Calc-Drivers'!$B$17:$G$27,P$43,FALSE))</f>
        <v>0.16012964788749887</v>
      </c>
      <c r="S7" s="2">
        <f t="shared" ref="S7:W39" si="0">IF(ISERROR($I7*L7)," ",$I7*L7)</f>
        <v>0</v>
      </c>
      <c r="T7" s="2">
        <f t="shared" si="0"/>
        <v>0</v>
      </c>
      <c r="U7" s="2">
        <f t="shared" si="0"/>
        <v>0</v>
      </c>
      <c r="V7" s="2">
        <f t="shared" si="0"/>
        <v>0</v>
      </c>
      <c r="W7" s="2">
        <f t="shared" si="0"/>
        <v>0</v>
      </c>
      <c r="Z7" s="2">
        <f t="shared" ref="Z7:AB39" si="1">IF($K7="Do not allocate"," ",S7+E7)</f>
        <v>4.9000000000000004</v>
      </c>
      <c r="AA7" s="2">
        <f t="shared" si="1"/>
        <v>1.1600000000000001</v>
      </c>
      <c r="AB7" s="2">
        <f t="shared" si="1"/>
        <v>0</v>
      </c>
      <c r="AC7" s="2">
        <f t="shared" ref="AC7:AD39" si="2">IF($K7="Do not allocate"," ",($H7*O7/($O7+$P7)+V7))</f>
        <v>0.57446728160554794</v>
      </c>
      <c r="AD7" s="2">
        <f t="shared" si="2"/>
        <v>0.31553271839445268</v>
      </c>
      <c r="AG7" s="2">
        <f>IF(ISERROR(Z7*100000000/'Calc-Units'!$E$23)," ",Z7*100000000/'Calc-Units'!$E$23)</f>
        <v>3.2541526192955958E-2</v>
      </c>
      <c r="AH7" s="2">
        <f>IF(ISERROR(AA7*100000000/'Calc-Units'!$D$23)," ",AA7*100000000/'Calc-Units'!$D$23)</f>
        <v>7.9634079564979594E-3</v>
      </c>
      <c r="AI7" s="2">
        <f>IF(ISERROR(AB7*100000000/'Calc-Units'!$C$23)," ",AB7*100000000/'Calc-Units'!$C$23)</f>
        <v>0</v>
      </c>
      <c r="AJ7" s="2">
        <f>IF(ISERROR(AC7*100000000/'Calc-Units'!$C$23)," ",AC7*100000000/'Calc-Units'!$C$23)</f>
        <v>5.1587899032611555E-3</v>
      </c>
      <c r="AL7" s="2">
        <v>1</v>
      </c>
      <c r="AM7" s="2">
        <f t="shared" ref="AM7:AM39" si="3">AL7*D7</f>
        <v>1.4000000000000075</v>
      </c>
      <c r="AN7" s="2">
        <f t="shared" ref="AN7:AN39" si="4">D7*(1-AL7)</f>
        <v>0</v>
      </c>
      <c r="AQ7" s="2">
        <f>IF(ISERROR(Z7*(1-$AL7))," ",Z7*(1-$AL7))</f>
        <v>0</v>
      </c>
      <c r="AR7" s="2">
        <f>IF(ISERROR(AA7*(1-$AL7))," ",AA7*(1-$AL7))</f>
        <v>0</v>
      </c>
      <c r="AS7" s="2">
        <f>IF(ISERROR(AB7*(1-$AL7))," ",AB7*(1-$AL7))</f>
        <v>0</v>
      </c>
      <c r="AT7" s="2">
        <f>IF(ISERROR(AC7*(1-$AL7))," ",AC7*(1-$AL7))</f>
        <v>0</v>
      </c>
      <c r="AU7" s="2">
        <f>IF(ISERROR(AD7*(1-$AL7))," ",AD7*(1-$AL7))</f>
        <v>0</v>
      </c>
      <c r="AX7" s="2">
        <f>IF(ISERROR(AQ7*100000000/'Calc-Units'!$E$23)," ",AQ7*100000000/'Calc-Units'!$E$23)</f>
        <v>0</v>
      </c>
      <c r="AY7" s="2">
        <f>IF(ISERROR(AR7*100000000/'Calc-Units'!$D$23)," ",AR7*100000000/'Calc-Units'!$D$23)</f>
        <v>0</v>
      </c>
      <c r="AZ7" s="2">
        <f>IF(ISERROR(AS7*100000000/'Calc-Units'!$C$23)," ",AS7*100000000/'Calc-Units'!$C$23)</f>
        <v>0</v>
      </c>
      <c r="BA7" s="2">
        <f>IF(ISERROR(AT7*100000000/'Calc-Units'!$C$23)," ",AT7*100000000/'Calc-Units'!$C$23)</f>
        <v>0</v>
      </c>
    </row>
    <row r="8" spans="1:53" ht="12.75" customHeight="1">
      <c r="C8" s="2" t="s">
        <v>546</v>
      </c>
      <c r="D8" s="2">
        <f>'RRP 1.3'!E$12</f>
        <v>44.5</v>
      </c>
      <c r="E8" s="2">
        <f>SUM('RRP 2.4'!G44:G55)+'RRP 2.4'!G71+'RRP 2.4'!H71</f>
        <v>13.300000000000002</v>
      </c>
      <c r="F8" s="2">
        <f>SUM('RRP 2.4'!G38:G40)+'RRP 2.4'!F71</f>
        <v>14.899999999999999</v>
      </c>
      <c r="G8" s="2">
        <f>'RRP 2.4'!G41+'RRP 2.4'!G42+'RRP 2.4'!G43</f>
        <v>5</v>
      </c>
      <c r="H8" s="2">
        <f>SUM('RRP 2.4'!G31:G37)+'RRP 2.4'!E71</f>
        <v>12</v>
      </c>
      <c r="I8" s="2">
        <f t="shared" ref="I8:I40" si="5">D8-E8-F8-G8-H8</f>
        <v>-0.70000000000000284</v>
      </c>
      <c r="K8" s="2" t="s">
        <v>851</v>
      </c>
      <c r="L8" s="2">
        <f>IF(ISERROR(VLOOKUP($K8,'Calc-Drivers'!$B$17:$G$27,L$43,FALSE))," ",VLOOKUP($K8,'Calc-Drivers'!$B$17:$G$27,L$43,FALSE))</f>
        <v>0.2196109260751124</v>
      </c>
      <c r="M8" s="2">
        <f>IF(ISERROR(VLOOKUP($K8,'Calc-Drivers'!$B$17:$G$27,M$43,FALSE))," ",VLOOKUP($K8,'Calc-Drivers'!$B$17:$G$27,M$43,FALSE))</f>
        <v>0.25684360461638045</v>
      </c>
      <c r="N8" s="2">
        <f>IF(ISERROR(VLOOKUP($K8,'Calc-Drivers'!$B$17:$G$27,N$43,FALSE))," ",VLOOKUP($K8,'Calc-Drivers'!$B$17:$G$27,N$43,FALSE))</f>
        <v>7.187951420551468E-2</v>
      </c>
      <c r="O8" s="2">
        <f>IF(ISERROR(VLOOKUP($K8,'Calc-Drivers'!$B$17:$G$27,O$43,FALSE))," ",VLOOKUP($K8,'Calc-Drivers'!$B$17:$G$27,O$43,FALSE))</f>
        <v>0.29153630721549384</v>
      </c>
      <c r="P8" s="2">
        <f>IF(ISERROR(VLOOKUP($K8,'Calc-Drivers'!$B$17:$G$27,P$43,FALSE))," ",VLOOKUP($K8,'Calc-Drivers'!$B$17:$G$27,P$43,FALSE))</f>
        <v>0.16012964788749887</v>
      </c>
      <c r="S8" s="2">
        <f t="shared" si="0"/>
        <v>-0.15372764825257931</v>
      </c>
      <c r="T8" s="2">
        <f t="shared" si="0"/>
        <v>-0.17979052323146705</v>
      </c>
      <c r="U8" s="2">
        <f t="shared" si="0"/>
        <v>-5.0315659943860482E-2</v>
      </c>
      <c r="V8" s="2">
        <f t="shared" si="0"/>
        <v>-0.2040754150508465</v>
      </c>
      <c r="W8" s="2">
        <f t="shared" si="0"/>
        <v>-0.11209075352124966</v>
      </c>
      <c r="Z8" s="2">
        <f t="shared" si="1"/>
        <v>13.146272351747424</v>
      </c>
      <c r="AA8" s="2">
        <f t="shared" si="1"/>
        <v>14.720209476768531</v>
      </c>
      <c r="AB8" s="2">
        <f t="shared" si="1"/>
        <v>4.9496843400561392</v>
      </c>
      <c r="AC8" s="2">
        <f t="shared" si="2"/>
        <v>7.5415508537879976</v>
      </c>
      <c r="AD8" s="2">
        <f t="shared" si="2"/>
        <v>4.1422829776399066</v>
      </c>
      <c r="AG8" s="2">
        <f>IF(ISERROR(Z8*100000000/'Calc-Units'!$E$23)," ",Z8*100000000/'Calc-Units'!$E$23)</f>
        <v>8.7306074709004394E-2</v>
      </c>
      <c r="AH8" s="2">
        <f>IF(ISERROR(AA8*100000000/'Calc-Units'!$D$23)," ",AA8*100000000/'Calc-Units'!$D$23)</f>
        <v>0.10105433902466826</v>
      </c>
      <c r="AI8" s="2">
        <f>IF(ISERROR(AB8*100000000/'Calc-Units'!$C$23)," ",AB8*100000000/'Calc-Units'!$C$23)</f>
        <v>4.4448800506874449E-2</v>
      </c>
      <c r="AJ8" s="2">
        <f>IF(ISERROR(AC8*100000000/'Calc-Units'!$C$23)," ",AC8*100000000/'Calc-Units'!$C$23)</f>
        <v>6.7724094383091391E-2</v>
      </c>
      <c r="AL8" s="2">
        <v>1</v>
      </c>
      <c r="AM8" s="2">
        <f t="shared" si="3"/>
        <v>44.5</v>
      </c>
      <c r="AN8" s="2">
        <f t="shared" si="4"/>
        <v>0</v>
      </c>
      <c r="AQ8" s="2">
        <f t="shared" ref="AQ8:AU39" si="6">IF(ISERROR(Z8*(1-$AL8))," ",Z8*(1-$AL8))</f>
        <v>0</v>
      </c>
      <c r="AR8" s="2">
        <f t="shared" si="6"/>
        <v>0</v>
      </c>
      <c r="AS8" s="2">
        <f t="shared" si="6"/>
        <v>0</v>
      </c>
      <c r="AT8" s="2">
        <f t="shared" si="6"/>
        <v>0</v>
      </c>
      <c r="AU8" s="2">
        <f t="shared" si="6"/>
        <v>0</v>
      </c>
      <c r="AX8" s="2">
        <f>IF(ISERROR(AQ8*100000000/'Calc-Units'!$E$23)," ",AQ8*100000000/'Calc-Units'!$E$23)</f>
        <v>0</v>
      </c>
      <c r="AY8" s="2">
        <f>IF(ISERROR(AR8*100000000/'Calc-Units'!$D$23)," ",AR8*100000000/'Calc-Units'!$D$23)</f>
        <v>0</v>
      </c>
      <c r="AZ8" s="2">
        <f>IF(ISERROR(AS8*100000000/'Calc-Units'!$C$23)," ",AS8*100000000/'Calc-Units'!$C$23)</f>
        <v>0</v>
      </c>
      <c r="BA8" s="2">
        <f>IF(ISERROR(AT8*100000000/'Calc-Units'!$C$23)," ",AT8*100000000/'Calc-Units'!$C$23)</f>
        <v>0</v>
      </c>
    </row>
    <row r="9" spans="1:53">
      <c r="C9" s="2" t="s">
        <v>547</v>
      </c>
      <c r="D9" s="2">
        <f>'RRP 1.3'!F$12</f>
        <v>14.9</v>
      </c>
      <c r="E9" s="2">
        <v>0</v>
      </c>
      <c r="F9" s="2">
        <v>0</v>
      </c>
      <c r="G9" s="2">
        <v>0</v>
      </c>
      <c r="H9" s="2">
        <v>0</v>
      </c>
      <c r="I9" s="2">
        <f t="shared" si="5"/>
        <v>14.9</v>
      </c>
      <c r="K9" s="2" t="s">
        <v>851</v>
      </c>
      <c r="L9" s="2">
        <f>IF(ISERROR(VLOOKUP($K9,'Calc-Drivers'!$B$17:$G$27,L$43,FALSE))," ",VLOOKUP($K9,'Calc-Drivers'!$B$17:$G$27,L$43,FALSE))</f>
        <v>0.2196109260751124</v>
      </c>
      <c r="M9" s="2">
        <f>IF(ISERROR(VLOOKUP($K9,'Calc-Drivers'!$B$17:$G$27,M$43,FALSE))," ",VLOOKUP($K9,'Calc-Drivers'!$B$17:$G$27,M$43,FALSE))</f>
        <v>0.25684360461638045</v>
      </c>
      <c r="N9" s="2">
        <f>IF(ISERROR(VLOOKUP($K9,'Calc-Drivers'!$B$17:$G$27,N$43,FALSE))," ",VLOOKUP($K9,'Calc-Drivers'!$B$17:$G$27,N$43,FALSE))</f>
        <v>7.187951420551468E-2</v>
      </c>
      <c r="O9" s="2">
        <f>IF(ISERROR(VLOOKUP($K9,'Calc-Drivers'!$B$17:$G$27,O$43,FALSE))," ",VLOOKUP($K9,'Calc-Drivers'!$B$17:$G$27,O$43,FALSE))</f>
        <v>0.29153630721549384</v>
      </c>
      <c r="P9" s="2">
        <f>IF(ISERROR(VLOOKUP($K9,'Calc-Drivers'!$B$17:$G$27,P$43,FALSE))," ",VLOOKUP($K9,'Calc-Drivers'!$B$17:$G$27,P$43,FALSE))</f>
        <v>0.16012964788749887</v>
      </c>
      <c r="S9" s="2">
        <f t="shared" si="0"/>
        <v>3.2722027985191748</v>
      </c>
      <c r="T9" s="2">
        <f t="shared" si="0"/>
        <v>3.8269697087840688</v>
      </c>
      <c r="U9" s="2">
        <f t="shared" si="0"/>
        <v>1.0710047616621687</v>
      </c>
      <c r="V9" s="2">
        <f t="shared" si="0"/>
        <v>4.3438909775108581</v>
      </c>
      <c r="W9" s="2">
        <f t="shared" si="0"/>
        <v>2.385931753523733</v>
      </c>
      <c r="Z9" s="2">
        <f t="shared" si="1"/>
        <v>3.2722027985191748</v>
      </c>
      <c r="AA9" s="2">
        <f t="shared" si="1"/>
        <v>3.8269697087840688</v>
      </c>
      <c r="AB9" s="2">
        <f t="shared" si="1"/>
        <v>1.0710047616621687</v>
      </c>
      <c r="AC9" s="2">
        <f t="shared" si="2"/>
        <v>4.3438909775108581</v>
      </c>
      <c r="AD9" s="2">
        <f t="shared" si="2"/>
        <v>2.385931753523733</v>
      </c>
      <c r="AG9" s="2">
        <f>IF(ISERROR(Z9*100000000/'Calc-Units'!$E$23)," ",Z9*100000000/'Calc-Units'!$E$23)</f>
        <v>2.1731116954423573E-2</v>
      </c>
      <c r="AH9" s="2">
        <f>IF(ISERROR(AA9*100000000/'Calc-Units'!$D$23)," ",AA9*100000000/'Calc-Units'!$D$23)</f>
        <v>2.6272173300179079E-2</v>
      </c>
      <c r="AI9" s="2">
        <f>IF(ISERROR(AB9*100000000/'Calc-Units'!$C$23)," ",AB9*100000000/'Calc-Units'!$C$23)</f>
        <v>9.6177601888233592E-3</v>
      </c>
      <c r="AJ9" s="2">
        <f>IF(ISERROR(AC9*100000000/'Calc-Units'!$C$23)," ",AC9*100000000/'Calc-Units'!$C$23)</f>
        <v>3.9008698377077121E-2</v>
      </c>
      <c r="AL9" s="2">
        <v>0.23499999999999999</v>
      </c>
      <c r="AM9" s="2">
        <f t="shared" si="3"/>
        <v>3.5015000000000001</v>
      </c>
      <c r="AN9" s="2">
        <f t="shared" si="4"/>
        <v>11.3985</v>
      </c>
      <c r="AQ9" s="2">
        <f t="shared" si="6"/>
        <v>2.5032351408671687</v>
      </c>
      <c r="AR9" s="2">
        <f t="shared" si="6"/>
        <v>2.9276318272198125</v>
      </c>
      <c r="AS9" s="2">
        <f t="shared" si="6"/>
        <v>0.81931864267155907</v>
      </c>
      <c r="AT9" s="2">
        <f t="shared" si="6"/>
        <v>3.3230765977958066</v>
      </c>
      <c r="AU9" s="2">
        <f t="shared" si="6"/>
        <v>1.8252377914456557</v>
      </c>
      <c r="AX9" s="2">
        <f>IF(ISERROR(AQ9*100000000/'Calc-Units'!$E$23)," ",AQ9*100000000/'Calc-Units'!$E$23)</f>
        <v>1.6624304470134032E-2</v>
      </c>
      <c r="AY9" s="2">
        <f>IF(ISERROR(AR9*100000000/'Calc-Units'!$D$23)," ",AR9*100000000/'Calc-Units'!$D$23)</f>
        <v>2.0098212574636991E-2</v>
      </c>
      <c r="AZ9" s="2">
        <f>IF(ISERROR(AS9*100000000/'Calc-Units'!$C$23)," ",AS9*100000000/'Calc-Units'!$C$23)</f>
        <v>7.3575865444498682E-3</v>
      </c>
      <c r="BA9" s="2">
        <f>IF(ISERROR(AT9*100000000/'Calc-Units'!$C$23)," ",AT9*100000000/'Calc-Units'!$C$23)</f>
        <v>2.9841654258463999E-2</v>
      </c>
    </row>
    <row r="10" spans="1:53">
      <c r="C10" s="2" t="s">
        <v>548</v>
      </c>
      <c r="D10" s="2">
        <f>'RRP 1.3'!G$12</f>
        <v>13.5</v>
      </c>
      <c r="E10" s="2">
        <f>SUM('RRP 2.3'!I20:I27)</f>
        <v>1</v>
      </c>
      <c r="F10" s="2">
        <f>SUM('RRP 2.3'!I17:I18)</f>
        <v>2.5</v>
      </c>
      <c r="G10" s="2">
        <f>SUM('RRP 2.3'!I19)</f>
        <v>0.4</v>
      </c>
      <c r="H10" s="2">
        <f>SUM('RRP 2.3'!I11:I16)</f>
        <v>8.4999999999999982</v>
      </c>
      <c r="I10" s="2">
        <f t="shared" si="5"/>
        <v>1.1000000000000014</v>
      </c>
      <c r="K10" s="2" t="s">
        <v>851</v>
      </c>
      <c r="L10" s="2">
        <f>IF(ISERROR(VLOOKUP($K10,'Calc-Drivers'!$B$17:$G$27,L$43,FALSE))," ",VLOOKUP($K10,'Calc-Drivers'!$B$17:$G$27,L$43,FALSE))</f>
        <v>0.2196109260751124</v>
      </c>
      <c r="M10" s="2">
        <f>IF(ISERROR(VLOOKUP($K10,'Calc-Drivers'!$B$17:$G$27,M$43,FALSE))," ",VLOOKUP($K10,'Calc-Drivers'!$B$17:$G$27,M$43,FALSE))</f>
        <v>0.25684360461638045</v>
      </c>
      <c r="N10" s="2">
        <f>IF(ISERROR(VLOOKUP($K10,'Calc-Drivers'!$B$17:$G$27,N$43,FALSE))," ",VLOOKUP($K10,'Calc-Drivers'!$B$17:$G$27,N$43,FALSE))</f>
        <v>7.187951420551468E-2</v>
      </c>
      <c r="O10" s="2">
        <f>IF(ISERROR(VLOOKUP($K10,'Calc-Drivers'!$B$17:$G$27,O$43,FALSE))," ",VLOOKUP($K10,'Calc-Drivers'!$B$17:$G$27,O$43,FALSE))</f>
        <v>0.29153630721549384</v>
      </c>
      <c r="P10" s="2">
        <f>IF(ISERROR(VLOOKUP($K10,'Calc-Drivers'!$B$17:$G$27,P$43,FALSE))," ",VLOOKUP($K10,'Calc-Drivers'!$B$17:$G$27,P$43,FALSE))</f>
        <v>0.16012964788749887</v>
      </c>
      <c r="S10" s="2">
        <f t="shared" si="0"/>
        <v>0.24157201868262396</v>
      </c>
      <c r="T10" s="2">
        <f t="shared" si="0"/>
        <v>0.28252796507801886</v>
      </c>
      <c r="U10" s="2">
        <f t="shared" si="0"/>
        <v>7.9067465626066244E-2</v>
      </c>
      <c r="V10" s="2">
        <f t="shared" si="0"/>
        <v>0.32068993793704365</v>
      </c>
      <c r="W10" s="2">
        <f t="shared" si="0"/>
        <v>0.17614261267624898</v>
      </c>
      <c r="Z10" s="2">
        <f t="shared" si="1"/>
        <v>1.241572018682624</v>
      </c>
      <c r="AA10" s="2">
        <f t="shared" si="1"/>
        <v>2.7825279650780188</v>
      </c>
      <c r="AB10" s="2">
        <f t="shared" si="1"/>
        <v>0.47906746562606628</v>
      </c>
      <c r="AC10" s="2">
        <f t="shared" si="2"/>
        <v>5.8071752116978903</v>
      </c>
      <c r="AD10" s="2">
        <f t="shared" si="2"/>
        <v>3.1896573389154006</v>
      </c>
      <c r="AG10" s="2">
        <f>IF(ISERROR(Z10*100000000/'Calc-Units'!$E$23)," ",Z10*100000000/'Calc-Units'!$E$23)</f>
        <v>8.2454384421228183E-3</v>
      </c>
      <c r="AH10" s="2">
        <f>IF(ISERROR(AA10*100000000/'Calc-Units'!$D$23)," ",AA10*100000000/'Calc-Units'!$D$23)</f>
        <v>1.910207356575894E-2</v>
      </c>
      <c r="AI10" s="2">
        <f>IF(ISERROR(AB10*100000000/'Calc-Units'!$C$23)," ",AB10*100000000/'Calc-Units'!$C$23)</f>
        <v>4.3020873142600108E-3</v>
      </c>
      <c r="AJ10" s="2">
        <f>IF(ISERROR(AC10*100000000/'Calc-Units'!$C$23)," ",AC10*100000000/'Calc-Units'!$C$23)</f>
        <v>5.2149178565657442E-2</v>
      </c>
      <c r="AL10" s="2">
        <v>0.23499999999999999</v>
      </c>
      <c r="AM10" s="2">
        <f t="shared" si="3"/>
        <v>3.1724999999999999</v>
      </c>
      <c r="AN10" s="2">
        <f t="shared" si="4"/>
        <v>10.327500000000001</v>
      </c>
      <c r="AQ10" s="2">
        <f t="shared" si="6"/>
        <v>0.94980259429220737</v>
      </c>
      <c r="AR10" s="2">
        <f t="shared" si="6"/>
        <v>2.1286338932846842</v>
      </c>
      <c r="AS10" s="2">
        <f t="shared" si="6"/>
        <v>0.36648661120394072</v>
      </c>
      <c r="AT10" s="2">
        <f t="shared" si="6"/>
        <v>4.4424890369488859</v>
      </c>
      <c r="AU10" s="2">
        <f t="shared" si="6"/>
        <v>2.4400878642702817</v>
      </c>
      <c r="AX10" s="2">
        <f>IF(ISERROR(AQ10*100000000/'Calc-Units'!$E$23)," ",AQ10*100000000/'Calc-Units'!$E$23)</f>
        <v>6.3077604082239563E-3</v>
      </c>
      <c r="AY10" s="2">
        <f>IF(ISERROR(AR10*100000000/'Calc-Units'!$D$23)," ",AR10*100000000/'Calc-Units'!$D$23)</f>
        <v>1.4613086277805587E-2</v>
      </c>
      <c r="AZ10" s="2">
        <f>IF(ISERROR(AS10*100000000/'Calc-Units'!$C$23)," ",AS10*100000000/'Calc-Units'!$C$23)</f>
        <v>3.2910967954089087E-3</v>
      </c>
      <c r="BA10" s="2">
        <f>IF(ISERROR(AT10*100000000/'Calc-Units'!$C$23)," ",AT10*100000000/'Calc-Units'!$C$23)</f>
        <v>3.9894121602727942E-2</v>
      </c>
    </row>
    <row r="11" spans="1:53">
      <c r="C11" s="2" t="s">
        <v>549</v>
      </c>
      <c r="D11" s="2">
        <f>'RRP 1.3'!H$12</f>
        <v>7</v>
      </c>
      <c r="E11" s="2">
        <f>SUM('RRP 2.3'!G20:G27)</f>
        <v>2.1</v>
      </c>
      <c r="F11" s="2">
        <f>SUM('RRP 2.3'!G17:G18)</f>
        <v>0.8</v>
      </c>
      <c r="G11" s="2">
        <f>SUM('RRP 2.3'!G19)</f>
        <v>2.7</v>
      </c>
      <c r="H11" s="2">
        <f>SUM('RRP 2.3'!G11:G16)</f>
        <v>1.2000000000000002</v>
      </c>
      <c r="I11" s="2">
        <f t="shared" si="5"/>
        <v>0.20000000000000018</v>
      </c>
      <c r="K11" s="2" t="s">
        <v>851</v>
      </c>
      <c r="L11" s="2">
        <f>IF(ISERROR(VLOOKUP($K11,'Calc-Drivers'!$B$17:$G$27,L$43,FALSE))," ",VLOOKUP($K11,'Calc-Drivers'!$B$17:$G$27,L$43,FALSE))</f>
        <v>0.2196109260751124</v>
      </c>
      <c r="M11" s="2">
        <f>IF(ISERROR(VLOOKUP($K11,'Calc-Drivers'!$B$17:$G$27,M$43,FALSE))," ",VLOOKUP($K11,'Calc-Drivers'!$B$17:$G$27,M$43,FALSE))</f>
        <v>0.25684360461638045</v>
      </c>
      <c r="N11" s="2">
        <f>IF(ISERROR(VLOOKUP($K11,'Calc-Drivers'!$B$17:$G$27,N$43,FALSE))," ",VLOOKUP($K11,'Calc-Drivers'!$B$17:$G$27,N$43,FALSE))</f>
        <v>7.187951420551468E-2</v>
      </c>
      <c r="O11" s="2">
        <f>IF(ISERROR(VLOOKUP($K11,'Calc-Drivers'!$B$17:$G$27,O$43,FALSE))," ",VLOOKUP($K11,'Calc-Drivers'!$B$17:$G$27,O$43,FALSE))</f>
        <v>0.29153630721549384</v>
      </c>
      <c r="P11" s="2">
        <f>IF(ISERROR(VLOOKUP($K11,'Calc-Drivers'!$B$17:$G$27,P$43,FALSE))," ",VLOOKUP($K11,'Calc-Drivers'!$B$17:$G$27,P$43,FALSE))</f>
        <v>0.16012964788749887</v>
      </c>
      <c r="S11" s="2">
        <f t="shared" si="0"/>
        <v>4.3922185215022516E-2</v>
      </c>
      <c r="T11" s="2">
        <f t="shared" si="0"/>
        <v>5.1368720923276136E-2</v>
      </c>
      <c r="U11" s="2">
        <f t="shared" si="0"/>
        <v>1.4375902841102949E-2</v>
      </c>
      <c r="V11" s="2">
        <f t="shared" si="0"/>
        <v>5.8307261443098821E-2</v>
      </c>
      <c r="W11" s="2">
        <f t="shared" si="0"/>
        <v>3.20259295774998E-2</v>
      </c>
      <c r="Z11" s="2">
        <f t="shared" si="1"/>
        <v>2.1439221852150228</v>
      </c>
      <c r="AA11" s="2">
        <f t="shared" si="1"/>
        <v>0.8513687209232762</v>
      </c>
      <c r="AB11" s="2">
        <f t="shared" si="1"/>
        <v>2.7143759028411032</v>
      </c>
      <c r="AC11" s="2">
        <f t="shared" si="2"/>
        <v>0.83286988832698339</v>
      </c>
      <c r="AD11" s="2">
        <f t="shared" si="2"/>
        <v>0.45746330269361551</v>
      </c>
      <c r="AG11" s="2">
        <f>IF(ISERROR(Z11*100000000/'Calc-Units'!$E$23)," ",Z11*100000000/'Calc-Units'!$E$23)</f>
        <v>1.4238061213435517E-2</v>
      </c>
      <c r="AH11" s="2">
        <f>IF(ISERROR(AA11*100000000/'Calc-Units'!$D$23)," ",AA11*100000000/'Calc-Units'!$D$23)</f>
        <v>5.8446521087188869E-3</v>
      </c>
      <c r="AI11" s="2">
        <f>IF(ISERROR(AB11*100000000/'Calc-Units'!$C$23)," ",AB11*100000000/'Calc-Units'!$C$23)</f>
        <v>2.4375443910567233E-2</v>
      </c>
      <c r="AJ11" s="2">
        <f>IF(ISERROR(AC11*100000000/'Calc-Units'!$C$23)," ",AC11*100000000/'Calc-Units'!$C$23)</f>
        <v>7.4792784693031569E-3</v>
      </c>
      <c r="AL11" s="2">
        <v>0.23499999999999999</v>
      </c>
      <c r="AM11" s="2">
        <f t="shared" si="3"/>
        <v>1.645</v>
      </c>
      <c r="AN11" s="2">
        <f t="shared" si="4"/>
        <v>5.3550000000000004</v>
      </c>
      <c r="AQ11" s="2">
        <f t="shared" si="6"/>
        <v>1.6401004716894925</v>
      </c>
      <c r="AR11" s="2">
        <f t="shared" si="6"/>
        <v>0.65129707150630634</v>
      </c>
      <c r="AS11" s="2">
        <f t="shared" si="6"/>
        <v>2.0764975656734439</v>
      </c>
      <c r="AT11" s="2">
        <f t="shared" si="6"/>
        <v>0.63714546457014232</v>
      </c>
      <c r="AU11" s="2">
        <f t="shared" si="6"/>
        <v>0.34995942656061585</v>
      </c>
      <c r="AX11" s="2">
        <f>IF(ISERROR(AQ11*100000000/'Calc-Units'!$E$23)," ",AQ11*100000000/'Calc-Units'!$E$23)</f>
        <v>1.089211682827817E-2</v>
      </c>
      <c r="AY11" s="2">
        <f>IF(ISERROR(AR11*100000000/'Calc-Units'!$D$23)," ",AR11*100000000/'Calc-Units'!$D$23)</f>
        <v>4.4711588631699481E-3</v>
      </c>
      <c r="AZ11" s="2">
        <f>IF(ISERROR(AS11*100000000/'Calc-Units'!$C$23)," ",AS11*100000000/'Calc-Units'!$C$23)</f>
        <v>1.8647214591583933E-2</v>
      </c>
      <c r="BA11" s="2">
        <f>IF(ISERROR(AT11*100000000/'Calc-Units'!$C$23)," ",AT11*100000000/'Calc-Units'!$C$23)</f>
        <v>5.7216480290169149E-3</v>
      </c>
    </row>
    <row r="12" spans="1:53" ht="16.5" customHeight="1">
      <c r="C12" s="2" t="s">
        <v>550</v>
      </c>
      <c r="D12" s="2">
        <f>'RRP 1.3'!I$12</f>
        <v>5.3</v>
      </c>
      <c r="E12" s="2">
        <f>'RRP 2.3'!G46+'RRP 2.3'!G47</f>
        <v>0.3933301334794333</v>
      </c>
      <c r="F12" s="2">
        <f>'RRP 2.3'!G45</f>
        <v>2.1198961128685072</v>
      </c>
      <c r="G12" s="2">
        <v>0</v>
      </c>
      <c r="H12" s="2">
        <f>'RRP 2.3'!G44</f>
        <v>2.7959164081484307</v>
      </c>
      <c r="I12" s="2">
        <f t="shared" si="5"/>
        <v>-9.1426544963715273E-3</v>
      </c>
      <c r="K12" s="2" t="s">
        <v>851</v>
      </c>
      <c r="L12" s="2">
        <f>IF(ISERROR(VLOOKUP($K12,'Calc-Drivers'!$B$17:$G$27,L$43,FALSE))," ",VLOOKUP($K12,'Calc-Drivers'!$B$17:$G$27,L$43,FALSE))</f>
        <v>0.2196109260751124</v>
      </c>
      <c r="M12" s="2">
        <f>IF(ISERROR(VLOOKUP($K12,'Calc-Drivers'!$B$17:$G$27,M$43,FALSE))," ",VLOOKUP($K12,'Calc-Drivers'!$B$17:$G$27,M$43,FALSE))</f>
        <v>0.25684360461638045</v>
      </c>
      <c r="N12" s="2">
        <f>IF(ISERROR(VLOOKUP($K12,'Calc-Drivers'!$B$17:$G$27,N$43,FALSE))," ",VLOOKUP($K12,'Calc-Drivers'!$B$17:$G$27,N$43,FALSE))</f>
        <v>7.187951420551468E-2</v>
      </c>
      <c r="O12" s="2">
        <f>IF(ISERROR(VLOOKUP($K12,'Calc-Drivers'!$B$17:$G$27,O$43,FALSE))," ",VLOOKUP($K12,'Calc-Drivers'!$B$17:$G$27,O$43,FALSE))</f>
        <v>0.29153630721549384</v>
      </c>
      <c r="P12" s="2">
        <f>IF(ISERROR(VLOOKUP($K12,'Calc-Drivers'!$B$17:$G$27,P$43,FALSE))," ",VLOOKUP($K12,'Calc-Drivers'!$B$17:$G$27,P$43,FALSE))</f>
        <v>0.16012964788749887</v>
      </c>
      <c r="S12" s="2">
        <f t="shared" si="0"/>
        <v>-2.0078268207329416E-3</v>
      </c>
      <c r="T12" s="2">
        <f t="shared" si="0"/>
        <v>-2.3482323366102215E-3</v>
      </c>
      <c r="U12" s="2">
        <f t="shared" si="0"/>
        <v>-6.5716956374804985E-4</v>
      </c>
      <c r="V12" s="2">
        <f t="shared" si="0"/>
        <v>-2.6654157300192859E-3</v>
      </c>
      <c r="W12" s="2">
        <f t="shared" si="0"/>
        <v>-1.464010045261031E-3</v>
      </c>
      <c r="Z12" s="2">
        <f t="shared" si="1"/>
        <v>0.39132230665870038</v>
      </c>
      <c r="AA12" s="2">
        <f t="shared" si="1"/>
        <v>2.1175478805318968</v>
      </c>
      <c r="AB12" s="2">
        <f t="shared" si="1"/>
        <v>-6.5716956374804985E-4</v>
      </c>
      <c r="AC12" s="2">
        <f t="shared" si="2"/>
        <v>1.8020115489726503</v>
      </c>
      <c r="AD12" s="2">
        <f t="shared" si="2"/>
        <v>0.98977543340050056</v>
      </c>
      <c r="AG12" s="2">
        <f>IF(ISERROR(Z12*100000000/'Calc-Units'!$E$23)," ",Z12*100000000/'Calc-Units'!$E$23)</f>
        <v>2.598821447351437E-3</v>
      </c>
      <c r="AH12" s="2">
        <f>IF(ISERROR(AA12*100000000/'Calc-Units'!$D$23)," ",AA12*100000000/'Calc-Units'!$D$23)</f>
        <v>1.4536980724218185E-2</v>
      </c>
      <c r="AI12" s="2">
        <f>IF(ISERROR(AB12*100000000/'Calc-Units'!$C$23)," ",AB12*100000000/'Calc-Units'!$C$23)</f>
        <v>-5.9014670090851635E-6</v>
      </c>
      <c r="AJ12" s="2">
        <f>IF(ISERROR(AC12*100000000/'Calc-Units'!$C$23)," ",AC12*100000000/'Calc-Units'!$C$23)</f>
        <v>1.6182294940137672E-2</v>
      </c>
      <c r="AL12" s="2">
        <v>0.23499999999999999</v>
      </c>
      <c r="AM12" s="2">
        <f t="shared" si="3"/>
        <v>1.2454999999999998</v>
      </c>
      <c r="AN12" s="2">
        <f t="shared" si="4"/>
        <v>4.0545</v>
      </c>
      <c r="AQ12" s="2">
        <f t="shared" si="6"/>
        <v>0.29936156459390578</v>
      </c>
      <c r="AR12" s="2">
        <f t="shared" si="6"/>
        <v>1.619924128606901</v>
      </c>
      <c r="AS12" s="2">
        <f t="shared" si="6"/>
        <v>-5.0273471626725819E-4</v>
      </c>
      <c r="AT12" s="2">
        <f t="shared" si="6"/>
        <v>1.3785388349640775</v>
      </c>
      <c r="AU12" s="2">
        <f t="shared" si="6"/>
        <v>0.7571782065513829</v>
      </c>
      <c r="AX12" s="2">
        <f>IF(ISERROR(AQ12*100000000/'Calc-Units'!$E$23)," ",AQ12*100000000/'Calc-Units'!$E$23)</f>
        <v>1.988098407223849E-3</v>
      </c>
      <c r="AY12" s="2">
        <f>IF(ISERROR(AR12*100000000/'Calc-Units'!$D$23)," ",AR12*100000000/'Calc-Units'!$D$23)</f>
        <v>1.1120790254026914E-2</v>
      </c>
      <c r="AZ12" s="2">
        <f>IF(ISERROR(AS12*100000000/'Calc-Units'!$C$23)," ",AS12*100000000/'Calc-Units'!$C$23)</f>
        <v>-4.5146222619501509E-6</v>
      </c>
      <c r="BA12" s="2">
        <f>IF(ISERROR(AT12*100000000/'Calc-Units'!$C$23)," ",AT12*100000000/'Calc-Units'!$C$23)</f>
        <v>1.2379455629205321E-2</v>
      </c>
    </row>
    <row r="13" spans="1:53" ht="12.75" customHeight="1">
      <c r="B13" s="2" t="s">
        <v>852</v>
      </c>
      <c r="C13" s="2" t="s">
        <v>551</v>
      </c>
      <c r="D13" s="2">
        <f>'RRP 1.3'!J$12</f>
        <v>0.6</v>
      </c>
      <c r="E13" s="2">
        <v>0</v>
      </c>
      <c r="F13" s="2">
        <v>0</v>
      </c>
      <c r="G13" s="2">
        <v>0</v>
      </c>
      <c r="H13" s="2">
        <v>0</v>
      </c>
      <c r="I13" s="2">
        <f t="shared" si="5"/>
        <v>0.6</v>
      </c>
      <c r="K13" s="2" t="s">
        <v>851</v>
      </c>
      <c r="L13" s="2">
        <f>IF(ISERROR(VLOOKUP($K13,'Calc-Drivers'!$B$17:$G$27,L$43,FALSE))," ",VLOOKUP($K13,'Calc-Drivers'!$B$17:$G$27,L$43,FALSE))</f>
        <v>0.2196109260751124</v>
      </c>
      <c r="M13" s="2">
        <f>IF(ISERROR(VLOOKUP($K13,'Calc-Drivers'!$B$17:$G$27,M$43,FALSE))," ",VLOOKUP($K13,'Calc-Drivers'!$B$17:$G$27,M$43,FALSE))</f>
        <v>0.25684360461638045</v>
      </c>
      <c r="N13" s="2">
        <f>IF(ISERROR(VLOOKUP($K13,'Calc-Drivers'!$B$17:$G$27,N$43,FALSE))," ",VLOOKUP($K13,'Calc-Drivers'!$B$17:$G$27,N$43,FALSE))</f>
        <v>7.187951420551468E-2</v>
      </c>
      <c r="O13" s="2">
        <f>IF(ISERROR(VLOOKUP($K13,'Calc-Drivers'!$B$17:$G$27,O$43,FALSE))," ",VLOOKUP($K13,'Calc-Drivers'!$B$17:$G$27,O$43,FALSE))</f>
        <v>0.29153630721549384</v>
      </c>
      <c r="P13" s="2">
        <f>IF(ISERROR(VLOOKUP($K13,'Calc-Drivers'!$B$17:$G$27,P$43,FALSE))," ",VLOOKUP($K13,'Calc-Drivers'!$B$17:$G$27,P$43,FALSE))</f>
        <v>0.16012964788749887</v>
      </c>
      <c r="S13" s="2">
        <f t="shared" si="0"/>
        <v>0.13176655564506742</v>
      </c>
      <c r="T13" s="2">
        <f t="shared" si="0"/>
        <v>0.15410616276982828</v>
      </c>
      <c r="U13" s="2">
        <f t="shared" si="0"/>
        <v>4.3127708523308807E-2</v>
      </c>
      <c r="V13" s="2">
        <f t="shared" si="0"/>
        <v>0.17492178432929631</v>
      </c>
      <c r="W13" s="2">
        <f t="shared" si="0"/>
        <v>9.6077788732499322E-2</v>
      </c>
      <c r="Z13" s="2">
        <f t="shared" si="1"/>
        <v>0.13176655564506742</v>
      </c>
      <c r="AA13" s="2">
        <f t="shared" si="1"/>
        <v>0.15410616276982828</v>
      </c>
      <c r="AB13" s="2">
        <f t="shared" si="1"/>
        <v>4.3127708523308807E-2</v>
      </c>
      <c r="AC13" s="2">
        <f t="shared" si="2"/>
        <v>0.17492178432929631</v>
      </c>
      <c r="AD13" s="2">
        <f t="shared" si="2"/>
        <v>9.6077788732499322E-2</v>
      </c>
      <c r="AG13" s="2">
        <f>IF(ISERROR(Z13*100000000/'Calc-Units'!$E$23)," ",Z13*100000000/'Calc-Units'!$E$23)</f>
        <v>8.7507853507745917E-4</v>
      </c>
      <c r="AH13" s="2">
        <f>IF(ISERROR(AA13*100000000/'Calc-Units'!$D$23)," ",AA13*100000000/'Calc-Units'!$D$23)</f>
        <v>1.0579398644367413E-3</v>
      </c>
      <c r="AI13" s="2">
        <f>IF(ISERROR(AB13*100000000/'Calc-Units'!$C$23)," ",AB13*100000000/'Calc-Units'!$C$23)</f>
        <v>3.8729235659691369E-4</v>
      </c>
      <c r="AJ13" s="2">
        <f>IF(ISERROR(AC13*100000000/'Calc-Units'!$C$23)," ",AC13*100000000/'Calc-Units'!$C$23)</f>
        <v>1.5708200688755889E-3</v>
      </c>
      <c r="AL13" s="2">
        <v>0.52569999999999995</v>
      </c>
      <c r="AM13" s="2">
        <f t="shared" si="3"/>
        <v>0.31541999999999998</v>
      </c>
      <c r="AN13" s="2">
        <f t="shared" si="4"/>
        <v>0.28458</v>
      </c>
      <c r="AQ13" s="2">
        <f t="shared" si="6"/>
        <v>6.2496877342455487E-2</v>
      </c>
      <c r="AR13" s="2">
        <f t="shared" si="6"/>
        <v>7.3092553001729565E-2</v>
      </c>
      <c r="AS13" s="2">
        <f t="shared" si="6"/>
        <v>2.0455472152605368E-2</v>
      </c>
      <c r="AT13" s="2">
        <f t="shared" si="6"/>
        <v>8.296540230738525E-2</v>
      </c>
      <c r="AU13" s="2">
        <f t="shared" si="6"/>
        <v>4.5569695195824433E-2</v>
      </c>
      <c r="AX13" s="2">
        <f>IF(ISERROR(AQ13*100000000/'Calc-Units'!$E$23)," ",AQ13*100000000/'Calc-Units'!$E$23)</f>
        <v>4.1504974918723896E-4</v>
      </c>
      <c r="AY13" s="2">
        <f>IF(ISERROR(AR13*100000000/'Calc-Units'!$D$23)," ",AR13*100000000/'Calc-Units'!$D$23)</f>
        <v>5.0178087770234652E-4</v>
      </c>
      <c r="AZ13" s="2">
        <f>IF(ISERROR(AS13*100000000/'Calc-Units'!$C$23)," ",AS13*100000000/'Calc-Units'!$C$23)</f>
        <v>1.836927647339162E-4</v>
      </c>
      <c r="BA13" s="2">
        <f>IF(ISERROR(AT13*100000000/'Calc-Units'!$C$23)," ",AT13*100000000/'Calc-Units'!$C$23)</f>
        <v>7.4503995866769196E-4</v>
      </c>
    </row>
    <row r="14" spans="1:53">
      <c r="C14" s="2" t="s">
        <v>552</v>
      </c>
      <c r="D14" s="2">
        <f>'RRP 1.3'!K$12</f>
        <v>4.5</v>
      </c>
      <c r="E14" s="2">
        <v>0</v>
      </c>
      <c r="F14" s="2">
        <v>0</v>
      </c>
      <c r="G14" s="2">
        <v>0</v>
      </c>
      <c r="H14" s="2">
        <v>0</v>
      </c>
      <c r="I14" s="2">
        <f t="shared" si="5"/>
        <v>4.5</v>
      </c>
      <c r="K14" s="2" t="s">
        <v>851</v>
      </c>
      <c r="L14" s="2">
        <f>IF(ISERROR(VLOOKUP($K14,'Calc-Drivers'!$B$17:$G$27,L$43,FALSE))," ",VLOOKUP($K14,'Calc-Drivers'!$B$17:$G$27,L$43,FALSE))</f>
        <v>0.2196109260751124</v>
      </c>
      <c r="M14" s="2">
        <f>IF(ISERROR(VLOOKUP($K14,'Calc-Drivers'!$B$17:$G$27,M$43,FALSE))," ",VLOOKUP($K14,'Calc-Drivers'!$B$17:$G$27,M$43,FALSE))</f>
        <v>0.25684360461638045</v>
      </c>
      <c r="N14" s="2">
        <f>IF(ISERROR(VLOOKUP($K14,'Calc-Drivers'!$B$17:$G$27,N$43,FALSE))," ",VLOOKUP($K14,'Calc-Drivers'!$B$17:$G$27,N$43,FALSE))</f>
        <v>7.187951420551468E-2</v>
      </c>
      <c r="O14" s="2">
        <f>IF(ISERROR(VLOOKUP($K14,'Calc-Drivers'!$B$17:$G$27,O$43,FALSE))," ",VLOOKUP($K14,'Calc-Drivers'!$B$17:$G$27,O$43,FALSE))</f>
        <v>0.29153630721549384</v>
      </c>
      <c r="P14" s="2">
        <f>IF(ISERROR(VLOOKUP($K14,'Calc-Drivers'!$B$17:$G$27,P$43,FALSE))," ",VLOOKUP($K14,'Calc-Drivers'!$B$17:$G$27,P$43,FALSE))</f>
        <v>0.16012964788749887</v>
      </c>
      <c r="S14" s="2">
        <f t="shared" si="0"/>
        <v>0.98824916733800583</v>
      </c>
      <c r="T14" s="2">
        <f t="shared" si="0"/>
        <v>1.155796220773712</v>
      </c>
      <c r="U14" s="2">
        <f t="shared" si="0"/>
        <v>0.32345781392481604</v>
      </c>
      <c r="V14" s="2">
        <f t="shared" si="0"/>
        <v>1.3119133824697222</v>
      </c>
      <c r="W14" s="2">
        <f t="shared" si="0"/>
        <v>0.72058341549374494</v>
      </c>
      <c r="Z14" s="2">
        <f t="shared" si="1"/>
        <v>0.98824916733800583</v>
      </c>
      <c r="AA14" s="2">
        <f t="shared" si="1"/>
        <v>1.155796220773712</v>
      </c>
      <c r="AB14" s="2">
        <f t="shared" si="1"/>
        <v>0.32345781392481604</v>
      </c>
      <c r="AC14" s="2">
        <f t="shared" si="2"/>
        <v>1.3119133824697222</v>
      </c>
      <c r="AD14" s="2">
        <f t="shared" si="2"/>
        <v>0.72058341549374494</v>
      </c>
      <c r="AG14" s="2">
        <f>IF(ISERROR(Z14*100000000/'Calc-Units'!$E$23)," ",Z14*100000000/'Calc-Units'!$E$23)</f>
        <v>6.5630890130809454E-3</v>
      </c>
      <c r="AH14" s="2">
        <f>IF(ISERROR(AA14*100000000/'Calc-Units'!$D$23)," ",AA14*100000000/'Calc-Units'!$D$23)</f>
        <v>7.9345489832755613E-3</v>
      </c>
      <c r="AI14" s="2">
        <f>IF(ISERROR(AB14*100000000/'Calc-Units'!$C$23)," ",AB14*100000000/'Calc-Units'!$C$23)</f>
        <v>2.9046926744768528E-3</v>
      </c>
      <c r="AJ14" s="2">
        <f>IF(ISERROR(AC14*100000000/'Calc-Units'!$C$23)," ",AC14*100000000/'Calc-Units'!$C$23)</f>
        <v>1.1781150516566915E-2</v>
      </c>
      <c r="AL14" s="2">
        <v>0.52569999999999995</v>
      </c>
      <c r="AM14" s="2">
        <f t="shared" si="3"/>
        <v>2.3656499999999996</v>
      </c>
      <c r="AN14" s="2">
        <f t="shared" si="4"/>
        <v>2.1343500000000004</v>
      </c>
      <c r="AQ14" s="2">
        <f t="shared" si="6"/>
        <v>0.46872658006841622</v>
      </c>
      <c r="AR14" s="2">
        <f t="shared" si="6"/>
        <v>0.54819414751297169</v>
      </c>
      <c r="AS14" s="2">
        <f t="shared" si="6"/>
        <v>0.15341604114454027</v>
      </c>
      <c r="AT14" s="2">
        <f t="shared" si="6"/>
        <v>0.62224051730538932</v>
      </c>
      <c r="AU14" s="2">
        <f t="shared" si="6"/>
        <v>0.34177271396868325</v>
      </c>
      <c r="AX14" s="2">
        <f>IF(ISERROR(AQ14*100000000/'Calc-Units'!$E$23)," ",AQ14*100000000/'Calc-Units'!$E$23)</f>
        <v>3.1128731189042926E-3</v>
      </c>
      <c r="AY14" s="2">
        <f>IF(ISERROR(AR14*100000000/'Calc-Units'!$D$23)," ",AR14*100000000/'Calc-Units'!$D$23)</f>
        <v>3.7633565827675988E-3</v>
      </c>
      <c r="AZ14" s="2">
        <f>IF(ISERROR(AS14*100000000/'Calc-Units'!$C$23)," ",AS14*100000000/'Calc-Units'!$C$23)</f>
        <v>1.3776957355043716E-3</v>
      </c>
      <c r="BA14" s="2">
        <f>IF(ISERROR(AT14*100000000/'Calc-Units'!$C$23)," ",AT14*100000000/'Calc-Units'!$C$23)</f>
        <v>5.5877996900076891E-3</v>
      </c>
    </row>
    <row r="15" spans="1:53">
      <c r="C15" s="2" t="s">
        <v>553</v>
      </c>
      <c r="D15" s="2">
        <f>'RRP 1.3'!L$12</f>
        <v>4.9000000000000004</v>
      </c>
      <c r="E15" s="2">
        <v>0</v>
      </c>
      <c r="F15" s="2">
        <v>0</v>
      </c>
      <c r="G15" s="2">
        <v>0</v>
      </c>
      <c r="H15" s="2">
        <v>0</v>
      </c>
      <c r="I15" s="2">
        <f t="shared" si="5"/>
        <v>4.9000000000000004</v>
      </c>
      <c r="K15" s="2" t="s">
        <v>851</v>
      </c>
      <c r="L15" s="2">
        <f>IF(ISERROR(VLOOKUP($K15,'Calc-Drivers'!$B$17:$G$27,L$43,FALSE))," ",VLOOKUP($K15,'Calc-Drivers'!$B$17:$G$27,L$43,FALSE))</f>
        <v>0.2196109260751124</v>
      </c>
      <c r="M15" s="2">
        <f>IF(ISERROR(VLOOKUP($K15,'Calc-Drivers'!$B$17:$G$27,M$43,FALSE))," ",VLOOKUP($K15,'Calc-Drivers'!$B$17:$G$27,M$43,FALSE))</f>
        <v>0.25684360461638045</v>
      </c>
      <c r="N15" s="2">
        <f>IF(ISERROR(VLOOKUP($K15,'Calc-Drivers'!$B$17:$G$27,N$43,FALSE))," ",VLOOKUP($K15,'Calc-Drivers'!$B$17:$G$27,N$43,FALSE))</f>
        <v>7.187951420551468E-2</v>
      </c>
      <c r="O15" s="2">
        <f>IF(ISERROR(VLOOKUP($K15,'Calc-Drivers'!$B$17:$G$27,O$43,FALSE))," ",VLOOKUP($K15,'Calc-Drivers'!$B$17:$G$27,O$43,FALSE))</f>
        <v>0.29153630721549384</v>
      </c>
      <c r="P15" s="2">
        <f>IF(ISERROR(VLOOKUP($K15,'Calc-Drivers'!$B$17:$G$27,P$43,FALSE))," ",VLOOKUP($K15,'Calc-Drivers'!$B$17:$G$27,P$43,FALSE))</f>
        <v>0.16012964788749887</v>
      </c>
      <c r="S15" s="2">
        <f t="shared" si="0"/>
        <v>1.0760935377680509</v>
      </c>
      <c r="T15" s="2">
        <f t="shared" si="0"/>
        <v>1.2585336626202643</v>
      </c>
      <c r="U15" s="2">
        <f t="shared" si="0"/>
        <v>0.35220961960702196</v>
      </c>
      <c r="V15" s="2">
        <f t="shared" si="0"/>
        <v>1.4285279053559199</v>
      </c>
      <c r="W15" s="2">
        <f t="shared" si="0"/>
        <v>0.7846352746487445</v>
      </c>
      <c r="Z15" s="2">
        <f t="shared" si="1"/>
        <v>1.0760935377680509</v>
      </c>
      <c r="AA15" s="2">
        <f t="shared" si="1"/>
        <v>1.2585336626202643</v>
      </c>
      <c r="AB15" s="2">
        <f t="shared" si="1"/>
        <v>0.35220961960702196</v>
      </c>
      <c r="AC15" s="2">
        <f t="shared" si="2"/>
        <v>1.4285279053559199</v>
      </c>
      <c r="AD15" s="2">
        <f t="shared" si="2"/>
        <v>0.7846352746487445</v>
      </c>
      <c r="AG15" s="2">
        <f>IF(ISERROR(Z15*100000000/'Calc-Units'!$E$23)," ",Z15*100000000/'Calc-Units'!$E$23)</f>
        <v>7.146474703132585E-3</v>
      </c>
      <c r="AH15" s="2">
        <f>IF(ISERROR(AA15*100000000/'Calc-Units'!$D$23)," ",AA15*100000000/'Calc-Units'!$D$23)</f>
        <v>8.6398422262333879E-3</v>
      </c>
      <c r="AI15" s="2">
        <f>IF(ISERROR(AB15*100000000/'Calc-Units'!$C$23)," ",AB15*100000000/'Calc-Units'!$C$23)</f>
        <v>3.1628875788747958E-3</v>
      </c>
      <c r="AJ15" s="2">
        <f>IF(ISERROR(AC15*100000000/'Calc-Units'!$C$23)," ",AC15*100000000/'Calc-Units'!$C$23)</f>
        <v>1.282836389581731E-2</v>
      </c>
      <c r="AL15" s="2">
        <v>0.52569999999999995</v>
      </c>
      <c r="AM15" s="2">
        <f t="shared" si="3"/>
        <v>2.5759300000000001</v>
      </c>
      <c r="AN15" s="2">
        <f t="shared" si="4"/>
        <v>2.3240700000000003</v>
      </c>
      <c r="AQ15" s="2">
        <f t="shared" si="6"/>
        <v>0.51039116496338666</v>
      </c>
      <c r="AR15" s="2">
        <f t="shared" si="6"/>
        <v>0.5969225161807914</v>
      </c>
      <c r="AS15" s="2">
        <f t="shared" si="6"/>
        <v>0.16705302257961055</v>
      </c>
      <c r="AT15" s="2">
        <f t="shared" si="6"/>
        <v>0.67755078551031289</v>
      </c>
      <c r="AU15" s="2">
        <f t="shared" si="6"/>
        <v>0.37215251076589956</v>
      </c>
      <c r="AX15" s="2">
        <f>IF(ISERROR(AQ15*100000000/'Calc-Units'!$E$23)," ",AQ15*100000000/'Calc-Units'!$E$23)</f>
        <v>3.389572951695786E-3</v>
      </c>
      <c r="AY15" s="2">
        <f>IF(ISERROR(AR15*100000000/'Calc-Units'!$D$23)," ",AR15*100000000/'Calc-Units'!$D$23)</f>
        <v>4.0978771679024964E-3</v>
      </c>
      <c r="AZ15" s="2">
        <f>IF(ISERROR(AS15*100000000/'Calc-Units'!$C$23)," ",AS15*100000000/'Calc-Units'!$C$23)</f>
        <v>1.5001575786603161E-3</v>
      </c>
      <c r="BA15" s="2">
        <f>IF(ISERROR(AT15*100000000/'Calc-Units'!$C$23)," ",AT15*100000000/'Calc-Units'!$C$23)</f>
        <v>6.084492995786151E-3</v>
      </c>
    </row>
    <row r="16" spans="1:53">
      <c r="C16" s="2" t="s">
        <v>554</v>
      </c>
      <c r="D16" s="2">
        <f>'RRP 1.3'!M$12</f>
        <v>9.6</v>
      </c>
      <c r="E16" s="2">
        <v>0</v>
      </c>
      <c r="F16" s="2">
        <v>0</v>
      </c>
      <c r="G16" s="2">
        <v>0</v>
      </c>
      <c r="H16" s="2">
        <v>0</v>
      </c>
      <c r="I16" s="2">
        <f t="shared" si="5"/>
        <v>9.6</v>
      </c>
      <c r="K16" s="2" t="s">
        <v>851</v>
      </c>
      <c r="L16" s="2">
        <f>IF(ISERROR(VLOOKUP($K16,'Calc-Drivers'!$B$17:$G$27,L$43,FALSE))," ",VLOOKUP($K16,'Calc-Drivers'!$B$17:$G$27,L$43,FALSE))</f>
        <v>0.2196109260751124</v>
      </c>
      <c r="M16" s="2">
        <f>IF(ISERROR(VLOOKUP($K16,'Calc-Drivers'!$B$17:$G$27,M$43,FALSE))," ",VLOOKUP($K16,'Calc-Drivers'!$B$17:$G$27,M$43,FALSE))</f>
        <v>0.25684360461638045</v>
      </c>
      <c r="N16" s="2">
        <f>IF(ISERROR(VLOOKUP($K16,'Calc-Drivers'!$B$17:$G$27,N$43,FALSE))," ",VLOOKUP($K16,'Calc-Drivers'!$B$17:$G$27,N$43,FALSE))</f>
        <v>7.187951420551468E-2</v>
      </c>
      <c r="O16" s="2">
        <f>IF(ISERROR(VLOOKUP($K16,'Calc-Drivers'!$B$17:$G$27,O$43,FALSE))," ",VLOOKUP($K16,'Calc-Drivers'!$B$17:$G$27,O$43,FALSE))</f>
        <v>0.29153630721549384</v>
      </c>
      <c r="P16" s="2">
        <f>IF(ISERROR(VLOOKUP($K16,'Calc-Drivers'!$B$17:$G$27,P$43,FALSE))," ",VLOOKUP($K16,'Calc-Drivers'!$B$17:$G$27,P$43,FALSE))</f>
        <v>0.16012964788749887</v>
      </c>
      <c r="S16" s="2">
        <f t="shared" si="0"/>
        <v>2.1082648903210788</v>
      </c>
      <c r="T16" s="2">
        <f t="shared" si="0"/>
        <v>2.4656986043172524</v>
      </c>
      <c r="U16" s="2">
        <f t="shared" si="0"/>
        <v>0.69004333637294091</v>
      </c>
      <c r="V16" s="2">
        <f t="shared" si="0"/>
        <v>2.7987485492687409</v>
      </c>
      <c r="W16" s="2">
        <f t="shared" si="0"/>
        <v>1.5372446197199892</v>
      </c>
      <c r="Z16" s="2">
        <f t="shared" si="1"/>
        <v>2.1082648903210788</v>
      </c>
      <c r="AA16" s="2">
        <f t="shared" si="1"/>
        <v>2.4656986043172524</v>
      </c>
      <c r="AB16" s="2">
        <f t="shared" si="1"/>
        <v>0.69004333637294091</v>
      </c>
      <c r="AC16" s="2">
        <f t="shared" si="2"/>
        <v>2.7987485492687409</v>
      </c>
      <c r="AD16" s="2">
        <f t="shared" si="2"/>
        <v>1.5372446197199892</v>
      </c>
      <c r="AG16" s="2">
        <f>IF(ISERROR(Z16*100000000/'Calc-Units'!$E$23)," ",Z16*100000000/'Calc-Units'!$E$23)</f>
        <v>1.4001256561239347E-2</v>
      </c>
      <c r="AH16" s="2">
        <f>IF(ISERROR(AA16*100000000/'Calc-Units'!$D$23)," ",AA16*100000000/'Calc-Units'!$D$23)</f>
        <v>1.6927037830987861E-2</v>
      </c>
      <c r="AI16" s="2">
        <f>IF(ISERROR(AB16*100000000/'Calc-Units'!$C$23)," ",AB16*100000000/'Calc-Units'!$C$23)</f>
        <v>6.1966777055506191E-3</v>
      </c>
      <c r="AJ16" s="2">
        <f>IF(ISERROR(AC16*100000000/'Calc-Units'!$C$23)," ",AC16*100000000/'Calc-Units'!$C$23)</f>
        <v>2.5133121102009423E-2</v>
      </c>
      <c r="AL16" s="2">
        <v>0.52569999999999995</v>
      </c>
      <c r="AM16" s="2">
        <f t="shared" si="3"/>
        <v>5.0467199999999997</v>
      </c>
      <c r="AN16" s="2">
        <f t="shared" si="4"/>
        <v>4.55328</v>
      </c>
      <c r="AQ16" s="2">
        <f t="shared" si="6"/>
        <v>0.99995003747928779</v>
      </c>
      <c r="AR16" s="2">
        <f t="shared" si="6"/>
        <v>1.169480848027673</v>
      </c>
      <c r="AS16" s="2">
        <f t="shared" si="6"/>
        <v>0.32728755444168589</v>
      </c>
      <c r="AT16" s="2">
        <f t="shared" si="6"/>
        <v>1.327446436918164</v>
      </c>
      <c r="AU16" s="2">
        <f t="shared" si="6"/>
        <v>0.72911512313319093</v>
      </c>
      <c r="AX16" s="2">
        <f>IF(ISERROR(AQ16*100000000/'Calc-Units'!$E$23)," ",AQ16*100000000/'Calc-Units'!$E$23)</f>
        <v>6.6407959869958233E-3</v>
      </c>
      <c r="AY16" s="2">
        <f>IF(ISERROR(AR16*100000000/'Calc-Units'!$D$23)," ",AR16*100000000/'Calc-Units'!$D$23)</f>
        <v>8.0284940432375444E-3</v>
      </c>
      <c r="AZ16" s="2">
        <f>IF(ISERROR(AS16*100000000/'Calc-Units'!$C$23)," ",AS16*100000000/'Calc-Units'!$C$23)</f>
        <v>2.9390842357426591E-3</v>
      </c>
      <c r="BA16" s="2">
        <f>IF(ISERROR(AT16*100000000/'Calc-Units'!$C$23)," ",AT16*100000000/'Calc-Units'!$C$23)</f>
        <v>1.1920639338683071E-2</v>
      </c>
    </row>
    <row r="17" spans="1:53">
      <c r="C17" s="2" t="s">
        <v>555</v>
      </c>
      <c r="D17" s="2">
        <f>'RRP 1.3'!N$12</f>
        <v>1.9</v>
      </c>
      <c r="E17" s="2">
        <v>0</v>
      </c>
      <c r="F17" s="2">
        <v>0</v>
      </c>
      <c r="G17" s="2">
        <v>0</v>
      </c>
      <c r="H17" s="2">
        <v>0</v>
      </c>
      <c r="I17" s="2">
        <f t="shared" si="5"/>
        <v>1.9</v>
      </c>
      <c r="K17" s="2" t="s">
        <v>851</v>
      </c>
      <c r="L17" s="2">
        <f>IF(ISERROR(VLOOKUP($K17,'Calc-Drivers'!$B$17:$G$27,L$43,FALSE))," ",VLOOKUP($K17,'Calc-Drivers'!$B$17:$G$27,L$43,FALSE))</f>
        <v>0.2196109260751124</v>
      </c>
      <c r="M17" s="2">
        <f>IF(ISERROR(VLOOKUP($K17,'Calc-Drivers'!$B$17:$G$27,M$43,FALSE))," ",VLOOKUP($K17,'Calc-Drivers'!$B$17:$G$27,M$43,FALSE))</f>
        <v>0.25684360461638045</v>
      </c>
      <c r="N17" s="2">
        <f>IF(ISERROR(VLOOKUP($K17,'Calc-Drivers'!$B$17:$G$27,N$43,FALSE))," ",VLOOKUP($K17,'Calc-Drivers'!$B$17:$G$27,N$43,FALSE))</f>
        <v>7.187951420551468E-2</v>
      </c>
      <c r="O17" s="2">
        <f>IF(ISERROR(VLOOKUP($K17,'Calc-Drivers'!$B$17:$G$27,O$43,FALSE))," ",VLOOKUP($K17,'Calc-Drivers'!$B$17:$G$27,O$43,FALSE))</f>
        <v>0.29153630721549384</v>
      </c>
      <c r="P17" s="2">
        <f>IF(ISERROR(VLOOKUP($K17,'Calc-Drivers'!$B$17:$G$27,P$43,FALSE))," ",VLOOKUP($K17,'Calc-Drivers'!$B$17:$G$27,P$43,FALSE))</f>
        <v>0.16012964788749887</v>
      </c>
      <c r="S17" s="2">
        <f t="shared" si="0"/>
        <v>0.41726075954271352</v>
      </c>
      <c r="T17" s="2">
        <f t="shared" si="0"/>
        <v>0.48800284877112282</v>
      </c>
      <c r="U17" s="2">
        <f t="shared" si="0"/>
        <v>0.13657107699047788</v>
      </c>
      <c r="V17" s="2">
        <f t="shared" si="0"/>
        <v>0.55391898370943826</v>
      </c>
      <c r="W17" s="2">
        <f t="shared" si="0"/>
        <v>0.30424633098624781</v>
      </c>
      <c r="Z17" s="2">
        <f t="shared" si="1"/>
        <v>0.41726075954271352</v>
      </c>
      <c r="AA17" s="2">
        <f t="shared" si="1"/>
        <v>0.48800284877112282</v>
      </c>
      <c r="AB17" s="2">
        <f t="shared" si="1"/>
        <v>0.13657107699047788</v>
      </c>
      <c r="AC17" s="2">
        <f t="shared" si="2"/>
        <v>0.55391898370943826</v>
      </c>
      <c r="AD17" s="2">
        <f t="shared" si="2"/>
        <v>0.30424633098624781</v>
      </c>
      <c r="AG17" s="2">
        <f>IF(ISERROR(Z17*100000000/'Calc-Units'!$E$23)," ",Z17*100000000/'Calc-Units'!$E$23)</f>
        <v>2.7710820277452876E-3</v>
      </c>
      <c r="AH17" s="2">
        <f>IF(ISERROR(AA17*100000000/'Calc-Units'!$D$23)," ",AA17*100000000/'Calc-Units'!$D$23)</f>
        <v>3.350142904049681E-3</v>
      </c>
      <c r="AI17" s="2">
        <f>IF(ISERROR(AB17*100000000/'Calc-Units'!$C$23)," ",AB17*100000000/'Calc-Units'!$C$23)</f>
        <v>1.2264257958902267E-3</v>
      </c>
      <c r="AJ17" s="2">
        <f>IF(ISERROR(AC17*100000000/'Calc-Units'!$C$23)," ",AC17*100000000/'Calc-Units'!$C$23)</f>
        <v>4.9742635514393651E-3</v>
      </c>
      <c r="AL17" s="2">
        <v>0.52569999999999995</v>
      </c>
      <c r="AM17" s="2">
        <f t="shared" si="3"/>
        <v>0.99882999999999988</v>
      </c>
      <c r="AN17" s="2">
        <f t="shared" si="4"/>
        <v>0.90117000000000003</v>
      </c>
      <c r="AQ17" s="2">
        <f t="shared" si="6"/>
        <v>0.19790677825110906</v>
      </c>
      <c r="AR17" s="2">
        <f t="shared" si="6"/>
        <v>0.23145975117214357</v>
      </c>
      <c r="AS17" s="2">
        <f t="shared" si="6"/>
        <v>6.477566181658366E-2</v>
      </c>
      <c r="AT17" s="2">
        <f t="shared" si="6"/>
        <v>0.26272377397338659</v>
      </c>
      <c r="AU17" s="2">
        <f t="shared" si="6"/>
        <v>0.14430403478677736</v>
      </c>
      <c r="AX17" s="2">
        <f>IF(ISERROR(AQ17*100000000/'Calc-Units'!$E$23)," ",AQ17*100000000/'Calc-Units'!$E$23)</f>
        <v>1.3143242057595901E-3</v>
      </c>
      <c r="AY17" s="2">
        <f>IF(ISERROR(AR17*100000000/'Calc-Units'!$D$23)," ",AR17*100000000/'Calc-Units'!$D$23)</f>
        <v>1.5889727793907636E-3</v>
      </c>
      <c r="AZ17" s="2">
        <f>IF(ISERROR(AS17*100000000/'Calc-Units'!$C$23)," ",AS17*100000000/'Calc-Units'!$C$23)</f>
        <v>5.8169375499073452E-4</v>
      </c>
      <c r="BA17" s="2">
        <f>IF(ISERROR(AT17*100000000/'Calc-Units'!$C$23)," ",AT17*100000000/'Calc-Units'!$C$23)</f>
        <v>2.3592932024476907E-3</v>
      </c>
    </row>
    <row r="18" spans="1:53">
      <c r="C18" s="2" t="s">
        <v>556</v>
      </c>
      <c r="D18" s="2">
        <f>'RRP 1.3'!O$12</f>
        <v>1</v>
      </c>
      <c r="E18" s="2">
        <v>0</v>
      </c>
      <c r="F18" s="2">
        <v>0</v>
      </c>
      <c r="G18" s="2">
        <v>0</v>
      </c>
      <c r="H18" s="2">
        <v>0</v>
      </c>
      <c r="I18" s="2">
        <f t="shared" si="5"/>
        <v>1</v>
      </c>
      <c r="K18" s="2" t="s">
        <v>851</v>
      </c>
      <c r="L18" s="2">
        <f>IF(ISERROR(VLOOKUP($K18,'Calc-Drivers'!$B$17:$G$27,L$43,FALSE))," ",VLOOKUP($K18,'Calc-Drivers'!$B$17:$G$27,L$43,FALSE))</f>
        <v>0.2196109260751124</v>
      </c>
      <c r="M18" s="2">
        <f>IF(ISERROR(VLOOKUP($K18,'Calc-Drivers'!$B$17:$G$27,M$43,FALSE))," ",VLOOKUP($K18,'Calc-Drivers'!$B$17:$G$27,M$43,FALSE))</f>
        <v>0.25684360461638045</v>
      </c>
      <c r="N18" s="2">
        <f>IF(ISERROR(VLOOKUP($K18,'Calc-Drivers'!$B$17:$G$27,N$43,FALSE))," ",VLOOKUP($K18,'Calc-Drivers'!$B$17:$G$27,N$43,FALSE))</f>
        <v>7.187951420551468E-2</v>
      </c>
      <c r="O18" s="2">
        <f>IF(ISERROR(VLOOKUP($K18,'Calc-Drivers'!$B$17:$G$27,O$43,FALSE))," ",VLOOKUP($K18,'Calc-Drivers'!$B$17:$G$27,O$43,FALSE))</f>
        <v>0.29153630721549384</v>
      </c>
      <c r="P18" s="2">
        <f>IF(ISERROR(VLOOKUP($K18,'Calc-Drivers'!$B$17:$G$27,P$43,FALSE))," ",VLOOKUP($K18,'Calc-Drivers'!$B$17:$G$27,P$43,FALSE))</f>
        <v>0.16012964788749887</v>
      </c>
      <c r="S18" s="2">
        <f t="shared" si="0"/>
        <v>0.2196109260751124</v>
      </c>
      <c r="T18" s="2">
        <f t="shared" si="0"/>
        <v>0.25684360461638045</v>
      </c>
      <c r="U18" s="2">
        <f t="shared" si="0"/>
        <v>7.187951420551468E-2</v>
      </c>
      <c r="V18" s="2">
        <f t="shared" si="0"/>
        <v>0.29153630721549384</v>
      </c>
      <c r="W18" s="2">
        <f t="shared" si="0"/>
        <v>0.16012964788749887</v>
      </c>
      <c r="Z18" s="2">
        <f t="shared" si="1"/>
        <v>0.2196109260751124</v>
      </c>
      <c r="AA18" s="2">
        <f t="shared" si="1"/>
        <v>0.25684360461638045</v>
      </c>
      <c r="AB18" s="2">
        <f t="shared" si="1"/>
        <v>7.187951420551468E-2</v>
      </c>
      <c r="AC18" s="2">
        <f t="shared" si="2"/>
        <v>0.29153630721549384</v>
      </c>
      <c r="AD18" s="2">
        <f t="shared" si="2"/>
        <v>0.16012964788749887</v>
      </c>
      <c r="AG18" s="2">
        <f>IF(ISERROR(Z18*100000000/'Calc-Units'!$E$23)," ",Z18*100000000/'Calc-Units'!$E$23)</f>
        <v>1.4584642251290988E-3</v>
      </c>
      <c r="AH18" s="2">
        <f>IF(ISERROR(AA18*100000000/'Calc-Units'!$D$23)," ",AA18*100000000/'Calc-Units'!$D$23)</f>
        <v>1.7632331073945688E-3</v>
      </c>
      <c r="AI18" s="2">
        <f>IF(ISERROR(AB18*100000000/'Calc-Units'!$C$23)," ",AB18*100000000/'Calc-Units'!$C$23)</f>
        <v>6.4548726099485619E-4</v>
      </c>
      <c r="AJ18" s="2">
        <f>IF(ISERROR(AC18*100000000/'Calc-Units'!$C$23)," ",AC18*100000000/'Calc-Units'!$C$23)</f>
        <v>2.6180334481259817E-3</v>
      </c>
      <c r="AL18" s="2">
        <v>0.52569999999999995</v>
      </c>
      <c r="AM18" s="2">
        <f t="shared" si="3"/>
        <v>0.52569999999999995</v>
      </c>
      <c r="AN18" s="2">
        <f t="shared" si="4"/>
        <v>0.47430000000000005</v>
      </c>
      <c r="AQ18" s="2">
        <f t="shared" si="6"/>
        <v>0.10416146223742583</v>
      </c>
      <c r="AR18" s="2">
        <f t="shared" si="6"/>
        <v>0.12182092166954926</v>
      </c>
      <c r="AS18" s="2">
        <f t="shared" si="6"/>
        <v>3.4092453587675618E-2</v>
      </c>
      <c r="AT18" s="2">
        <f t="shared" si="6"/>
        <v>0.13827567051230874</v>
      </c>
      <c r="AU18" s="2">
        <f t="shared" si="6"/>
        <v>7.5949491993040727E-2</v>
      </c>
      <c r="AX18" s="2">
        <f>IF(ISERROR(AQ18*100000000/'Calc-Units'!$E$23)," ",AQ18*100000000/'Calc-Units'!$E$23)</f>
        <v>6.9174958197873167E-4</v>
      </c>
      <c r="AY18" s="2">
        <f>IF(ISERROR(AR18*100000000/'Calc-Units'!$D$23)," ",AR18*100000000/'Calc-Units'!$D$23)</f>
        <v>8.3630146283724413E-4</v>
      </c>
      <c r="AZ18" s="2">
        <f>IF(ISERROR(AS18*100000000/'Calc-Units'!$C$23)," ",AS18*100000000/'Calc-Units'!$C$23)</f>
        <v>3.0615460788986035E-4</v>
      </c>
      <c r="BA18" s="2">
        <f>IF(ISERROR(AT18*100000000/'Calc-Units'!$C$23)," ",AT18*100000000/'Calc-Units'!$C$23)</f>
        <v>1.2417332644461532E-3</v>
      </c>
    </row>
    <row r="19" spans="1:53">
      <c r="C19" s="2" t="s">
        <v>557</v>
      </c>
      <c r="D19" s="2">
        <f>'RRP 1.3'!P$12</f>
        <v>0.7</v>
      </c>
      <c r="E19" s="2">
        <v>0</v>
      </c>
      <c r="F19" s="2">
        <v>0</v>
      </c>
      <c r="G19" s="2">
        <v>0</v>
      </c>
      <c r="H19" s="2">
        <v>0</v>
      </c>
      <c r="I19" s="2">
        <f t="shared" si="5"/>
        <v>0.7</v>
      </c>
      <c r="K19" s="2" t="s">
        <v>851</v>
      </c>
      <c r="L19" s="2">
        <f>IF(ISERROR(VLOOKUP($K19,'Calc-Drivers'!$B$17:$G$27,L$43,FALSE))," ",VLOOKUP($K19,'Calc-Drivers'!$B$17:$G$27,L$43,FALSE))</f>
        <v>0.2196109260751124</v>
      </c>
      <c r="M19" s="2">
        <f>IF(ISERROR(VLOOKUP($K19,'Calc-Drivers'!$B$17:$G$27,M$43,FALSE))," ",VLOOKUP($K19,'Calc-Drivers'!$B$17:$G$27,M$43,FALSE))</f>
        <v>0.25684360461638045</v>
      </c>
      <c r="N19" s="2">
        <f>IF(ISERROR(VLOOKUP($K19,'Calc-Drivers'!$B$17:$G$27,N$43,FALSE))," ",VLOOKUP($K19,'Calc-Drivers'!$B$17:$G$27,N$43,FALSE))</f>
        <v>7.187951420551468E-2</v>
      </c>
      <c r="O19" s="2">
        <f>IF(ISERROR(VLOOKUP($K19,'Calc-Drivers'!$B$17:$G$27,O$43,FALSE))," ",VLOOKUP($K19,'Calc-Drivers'!$B$17:$G$27,O$43,FALSE))</f>
        <v>0.29153630721549384</v>
      </c>
      <c r="P19" s="2">
        <f>IF(ISERROR(VLOOKUP($K19,'Calc-Drivers'!$B$17:$G$27,P$43,FALSE))," ",VLOOKUP($K19,'Calc-Drivers'!$B$17:$G$27,P$43,FALSE))</f>
        <v>0.16012964788749887</v>
      </c>
      <c r="S19" s="2">
        <f t="shared" si="0"/>
        <v>0.15372764825257867</v>
      </c>
      <c r="T19" s="2">
        <f t="shared" si="0"/>
        <v>0.1797905232314663</v>
      </c>
      <c r="U19" s="2">
        <f t="shared" si="0"/>
        <v>5.0315659943860273E-2</v>
      </c>
      <c r="V19" s="2">
        <f t="shared" si="0"/>
        <v>0.20407541505084567</v>
      </c>
      <c r="W19" s="2">
        <f t="shared" si="0"/>
        <v>0.1120907535212492</v>
      </c>
      <c r="Z19" s="2">
        <f t="shared" si="1"/>
        <v>0.15372764825257867</v>
      </c>
      <c r="AA19" s="2">
        <f t="shared" si="1"/>
        <v>0.1797905232314663</v>
      </c>
      <c r="AB19" s="2">
        <f t="shared" si="1"/>
        <v>5.0315659943860273E-2</v>
      </c>
      <c r="AC19" s="2">
        <f t="shared" si="2"/>
        <v>0.20407541505084567</v>
      </c>
      <c r="AD19" s="2">
        <f t="shared" si="2"/>
        <v>0.1120907535212492</v>
      </c>
      <c r="AG19" s="2">
        <f>IF(ISERROR(Z19*100000000/'Calc-Units'!$E$23)," ",Z19*100000000/'Calc-Units'!$E$23)</f>
        <v>1.0209249575903691E-3</v>
      </c>
      <c r="AH19" s="2">
        <f>IF(ISERROR(AA19*100000000/'Calc-Units'!$D$23)," ",AA19*100000000/'Calc-Units'!$D$23)</f>
        <v>1.2342631751761982E-3</v>
      </c>
      <c r="AI19" s="2">
        <f>IF(ISERROR(AB19*100000000/'Calc-Units'!$C$23)," ",AB19*100000000/'Calc-Units'!$C$23)</f>
        <v>4.518410826963994E-4</v>
      </c>
      <c r="AJ19" s="2">
        <f>IF(ISERROR(AC19*100000000/'Calc-Units'!$C$23)," ",AC19*100000000/'Calc-Units'!$C$23)</f>
        <v>1.8326234136881868E-3</v>
      </c>
      <c r="AL19" s="2">
        <v>0.52569999999999995</v>
      </c>
      <c r="AM19" s="2">
        <f t="shared" si="3"/>
        <v>0.36798999999999993</v>
      </c>
      <c r="AN19" s="2">
        <f t="shared" si="4"/>
        <v>0.33201000000000003</v>
      </c>
      <c r="AQ19" s="2">
        <f t="shared" si="6"/>
        <v>7.2913023566198068E-2</v>
      </c>
      <c r="AR19" s="2">
        <f t="shared" si="6"/>
        <v>8.5274645168684479E-2</v>
      </c>
      <c r="AS19" s="2">
        <f t="shared" si="6"/>
        <v>2.3864717511372931E-2</v>
      </c>
      <c r="AT19" s="2">
        <f t="shared" si="6"/>
        <v>9.6792969358616116E-2</v>
      </c>
      <c r="AU19" s="2">
        <f t="shared" si="6"/>
        <v>5.3164644395128503E-2</v>
      </c>
      <c r="AX19" s="2">
        <f>IF(ISERROR(AQ19*100000000/'Calc-Units'!$E$23)," ",AQ19*100000000/'Calc-Units'!$E$23)</f>
        <v>4.8422470738511208E-4</v>
      </c>
      <c r="AY19" s="2">
        <f>IF(ISERROR(AR19*100000000/'Calc-Units'!$D$23)," ",AR19*100000000/'Calc-Units'!$D$23)</f>
        <v>5.8541102398607082E-4</v>
      </c>
      <c r="AZ19" s="2">
        <f>IF(ISERROR(AS19*100000000/'Calc-Units'!$C$23)," ",AS19*100000000/'Calc-Units'!$C$23)</f>
        <v>2.1430822552290221E-4</v>
      </c>
      <c r="BA19" s="2">
        <f>IF(ISERROR(AT19*100000000/'Calc-Units'!$C$23)," ",AT19*100000000/'Calc-Units'!$C$23)</f>
        <v>8.6921328511230722E-4</v>
      </c>
    </row>
    <row r="20" spans="1:53">
      <c r="C20" s="2" t="s">
        <v>558</v>
      </c>
      <c r="D20" s="2">
        <f>'RRP 1.3'!Q$12</f>
        <v>1.2</v>
      </c>
      <c r="E20" s="2">
        <v>0</v>
      </c>
      <c r="F20" s="2">
        <v>0</v>
      </c>
      <c r="G20" s="2">
        <v>0</v>
      </c>
      <c r="H20" s="2">
        <v>0</v>
      </c>
      <c r="I20" s="2">
        <f t="shared" si="5"/>
        <v>1.2</v>
      </c>
      <c r="K20" s="2" t="s">
        <v>851</v>
      </c>
      <c r="L20" s="2">
        <f>IF(ISERROR(VLOOKUP($K20,'Calc-Drivers'!$B$17:$G$27,L$43,FALSE))," ",VLOOKUP($K20,'Calc-Drivers'!$B$17:$G$27,L$43,FALSE))</f>
        <v>0.2196109260751124</v>
      </c>
      <c r="M20" s="2">
        <f>IF(ISERROR(VLOOKUP($K20,'Calc-Drivers'!$B$17:$G$27,M$43,FALSE))," ",VLOOKUP($K20,'Calc-Drivers'!$B$17:$G$27,M$43,FALSE))</f>
        <v>0.25684360461638045</v>
      </c>
      <c r="N20" s="2">
        <f>IF(ISERROR(VLOOKUP($K20,'Calc-Drivers'!$B$17:$G$27,N$43,FALSE))," ",VLOOKUP($K20,'Calc-Drivers'!$B$17:$G$27,N$43,FALSE))</f>
        <v>7.187951420551468E-2</v>
      </c>
      <c r="O20" s="2">
        <f>IF(ISERROR(VLOOKUP($K20,'Calc-Drivers'!$B$17:$G$27,O$43,FALSE))," ",VLOOKUP($K20,'Calc-Drivers'!$B$17:$G$27,O$43,FALSE))</f>
        <v>0.29153630721549384</v>
      </c>
      <c r="P20" s="2">
        <f>IF(ISERROR(VLOOKUP($K20,'Calc-Drivers'!$B$17:$G$27,P$43,FALSE))," ",VLOOKUP($K20,'Calc-Drivers'!$B$17:$G$27,P$43,FALSE))</f>
        <v>0.16012964788749887</v>
      </c>
      <c r="S20" s="2">
        <f t="shared" si="0"/>
        <v>0.26353311129013485</v>
      </c>
      <c r="T20" s="2">
        <f t="shared" si="0"/>
        <v>0.30821232553965655</v>
      </c>
      <c r="U20" s="2">
        <f t="shared" si="0"/>
        <v>8.6255417046617613E-2</v>
      </c>
      <c r="V20" s="2">
        <f t="shared" si="0"/>
        <v>0.34984356865859262</v>
      </c>
      <c r="W20" s="2">
        <f t="shared" si="0"/>
        <v>0.19215557746499864</v>
      </c>
      <c r="Z20" s="2">
        <f t="shared" si="1"/>
        <v>0.26353311129013485</v>
      </c>
      <c r="AA20" s="2">
        <f t="shared" si="1"/>
        <v>0.30821232553965655</v>
      </c>
      <c r="AB20" s="2">
        <f t="shared" si="1"/>
        <v>8.6255417046617613E-2</v>
      </c>
      <c r="AC20" s="2">
        <f t="shared" si="2"/>
        <v>0.34984356865859262</v>
      </c>
      <c r="AD20" s="2">
        <f t="shared" si="2"/>
        <v>0.19215557746499864</v>
      </c>
      <c r="AG20" s="2">
        <f>IF(ISERROR(Z20*100000000/'Calc-Units'!$E$23)," ",Z20*100000000/'Calc-Units'!$E$23)</f>
        <v>1.7501570701549183E-3</v>
      </c>
      <c r="AH20" s="2">
        <f>IF(ISERROR(AA20*100000000/'Calc-Units'!$D$23)," ",AA20*100000000/'Calc-Units'!$D$23)</f>
        <v>2.1158797288734826E-3</v>
      </c>
      <c r="AI20" s="2">
        <f>IF(ISERROR(AB20*100000000/'Calc-Units'!$C$23)," ",AB20*100000000/'Calc-Units'!$C$23)</f>
        <v>7.7458471319382738E-4</v>
      </c>
      <c r="AJ20" s="2">
        <f>IF(ISERROR(AC20*100000000/'Calc-Units'!$C$23)," ",AC20*100000000/'Calc-Units'!$C$23)</f>
        <v>3.1416401377511779E-3</v>
      </c>
      <c r="AL20" s="2">
        <v>0.52569999999999995</v>
      </c>
      <c r="AM20" s="2">
        <f t="shared" si="3"/>
        <v>0.63083999999999996</v>
      </c>
      <c r="AN20" s="2">
        <f t="shared" si="4"/>
        <v>0.56916</v>
      </c>
      <c r="AQ20" s="2">
        <f t="shared" si="6"/>
        <v>0.12499375468491097</v>
      </c>
      <c r="AR20" s="2">
        <f t="shared" si="6"/>
        <v>0.14618510600345913</v>
      </c>
      <c r="AS20" s="2">
        <f t="shared" si="6"/>
        <v>4.0910944305210736E-2</v>
      </c>
      <c r="AT20" s="2">
        <f t="shared" si="6"/>
        <v>0.1659308046147705</v>
      </c>
      <c r="AU20" s="2">
        <f t="shared" si="6"/>
        <v>9.1139390391648867E-2</v>
      </c>
      <c r="AX20" s="2">
        <f>IF(ISERROR(AQ20*100000000/'Calc-Units'!$E$23)," ",AQ20*100000000/'Calc-Units'!$E$23)</f>
        <v>8.3009949837447791E-4</v>
      </c>
      <c r="AY20" s="2">
        <f>IF(ISERROR(AR20*100000000/'Calc-Units'!$D$23)," ",AR20*100000000/'Calc-Units'!$D$23)</f>
        <v>1.003561755404693E-3</v>
      </c>
      <c r="AZ20" s="2">
        <f>IF(ISERROR(AS20*100000000/'Calc-Units'!$C$23)," ",AS20*100000000/'Calc-Units'!$C$23)</f>
        <v>3.6738552946783239E-4</v>
      </c>
      <c r="BA20" s="2">
        <f>IF(ISERROR(AT20*100000000/'Calc-Units'!$C$23)," ",AT20*100000000/'Calc-Units'!$C$23)</f>
        <v>1.4900799173353839E-3</v>
      </c>
    </row>
    <row r="21" spans="1:53">
      <c r="C21" s="2" t="s">
        <v>559</v>
      </c>
      <c r="D21" s="2">
        <f>'RRP 1.3'!R$12</f>
        <v>4.2</v>
      </c>
      <c r="E21" s="2">
        <v>0</v>
      </c>
      <c r="F21" s="2">
        <v>0</v>
      </c>
      <c r="G21" s="2">
        <v>0</v>
      </c>
      <c r="H21" s="2">
        <v>0</v>
      </c>
      <c r="I21" s="2">
        <f t="shared" si="5"/>
        <v>4.2</v>
      </c>
      <c r="K21" s="2" t="s">
        <v>851</v>
      </c>
      <c r="L21" s="2">
        <f>IF(ISERROR(VLOOKUP($K21,'Calc-Drivers'!$B$17:$G$27,L$43,FALSE))," ",VLOOKUP($K21,'Calc-Drivers'!$B$17:$G$27,L$43,FALSE))</f>
        <v>0.2196109260751124</v>
      </c>
      <c r="M21" s="2">
        <f>IF(ISERROR(VLOOKUP($K21,'Calc-Drivers'!$B$17:$G$27,M$43,FALSE))," ",VLOOKUP($K21,'Calc-Drivers'!$B$17:$G$27,M$43,FALSE))</f>
        <v>0.25684360461638045</v>
      </c>
      <c r="N21" s="2">
        <f>IF(ISERROR(VLOOKUP($K21,'Calc-Drivers'!$B$17:$G$27,N$43,FALSE))," ",VLOOKUP($K21,'Calc-Drivers'!$B$17:$G$27,N$43,FALSE))</f>
        <v>7.187951420551468E-2</v>
      </c>
      <c r="O21" s="2">
        <f>IF(ISERROR(VLOOKUP($K21,'Calc-Drivers'!$B$17:$G$27,O$43,FALSE))," ",VLOOKUP($K21,'Calc-Drivers'!$B$17:$G$27,O$43,FALSE))</f>
        <v>0.29153630721549384</v>
      </c>
      <c r="P21" s="2">
        <f>IF(ISERROR(VLOOKUP($K21,'Calc-Drivers'!$B$17:$G$27,P$43,FALSE))," ",VLOOKUP($K21,'Calc-Drivers'!$B$17:$G$27,P$43,FALSE))</f>
        <v>0.16012964788749887</v>
      </c>
      <c r="S21" s="2">
        <f t="shared" si="0"/>
        <v>0.92236588951547216</v>
      </c>
      <c r="T21" s="2">
        <f t="shared" si="0"/>
        <v>1.0787431393887978</v>
      </c>
      <c r="U21" s="2">
        <f t="shared" si="0"/>
        <v>0.30189395966316168</v>
      </c>
      <c r="V21" s="2">
        <f t="shared" si="0"/>
        <v>1.2244524903050742</v>
      </c>
      <c r="W21" s="2">
        <f t="shared" si="0"/>
        <v>0.6725445211274953</v>
      </c>
      <c r="Z21" s="2">
        <f t="shared" si="1"/>
        <v>0.92236588951547216</v>
      </c>
      <c r="AA21" s="2">
        <f t="shared" si="1"/>
        <v>1.0787431393887978</v>
      </c>
      <c r="AB21" s="2">
        <f t="shared" si="1"/>
        <v>0.30189395966316168</v>
      </c>
      <c r="AC21" s="2">
        <f t="shared" si="2"/>
        <v>1.2244524903050742</v>
      </c>
      <c r="AD21" s="2">
        <f t="shared" si="2"/>
        <v>0.6725445211274953</v>
      </c>
      <c r="AG21" s="2">
        <f>IF(ISERROR(Z21*100000000/'Calc-Units'!$E$23)," ",Z21*100000000/'Calc-Units'!$E$23)</f>
        <v>6.1255497455422157E-3</v>
      </c>
      <c r="AH21" s="2">
        <f>IF(ISERROR(AA21*100000000/'Calc-Units'!$D$23)," ",AA21*100000000/'Calc-Units'!$D$23)</f>
        <v>7.4055790510571895E-3</v>
      </c>
      <c r="AI21" s="2">
        <f>IF(ISERROR(AB21*100000000/'Calc-Units'!$C$23)," ",AB21*100000000/'Calc-Units'!$C$23)</f>
        <v>2.7110464961783965E-3</v>
      </c>
      <c r="AJ21" s="2">
        <f>IF(ISERROR(AC21*100000000/'Calc-Units'!$C$23)," ",AC21*100000000/'Calc-Units'!$C$23)</f>
        <v>1.0995740482129122E-2</v>
      </c>
      <c r="AL21" s="2">
        <v>0.52569999999999995</v>
      </c>
      <c r="AM21" s="2">
        <f t="shared" si="3"/>
        <v>2.2079399999999998</v>
      </c>
      <c r="AN21" s="2">
        <f t="shared" si="4"/>
        <v>1.9920600000000004</v>
      </c>
      <c r="AQ21" s="2">
        <f t="shared" si="6"/>
        <v>0.43747814139718849</v>
      </c>
      <c r="AR21" s="2">
        <f t="shared" si="6"/>
        <v>0.51164787101210685</v>
      </c>
      <c r="AS21" s="2">
        <f t="shared" si="6"/>
        <v>0.1431883050682376</v>
      </c>
      <c r="AT21" s="2">
        <f t="shared" si="6"/>
        <v>0.58075781615169675</v>
      </c>
      <c r="AU21" s="2">
        <f t="shared" si="6"/>
        <v>0.31898786637077103</v>
      </c>
      <c r="AX21" s="2">
        <f>IF(ISERROR(AQ21*100000000/'Calc-Units'!$E$23)," ",AQ21*100000000/'Calc-Units'!$E$23)</f>
        <v>2.9053482443106727E-3</v>
      </c>
      <c r="AY21" s="2">
        <f>IF(ISERROR(AR21*100000000/'Calc-Units'!$D$23)," ",AR21*100000000/'Calc-Units'!$D$23)</f>
        <v>3.5124661439164249E-3</v>
      </c>
      <c r="AZ21" s="2">
        <f>IF(ISERROR(AS21*100000000/'Calc-Units'!$C$23)," ",AS21*100000000/'Calc-Units'!$C$23)</f>
        <v>1.2858493531374136E-3</v>
      </c>
      <c r="BA21" s="2">
        <f>IF(ISERROR(AT21*100000000/'Calc-Units'!$C$23)," ",AT21*100000000/'Calc-Units'!$C$23)</f>
        <v>5.2152797106738433E-3</v>
      </c>
    </row>
    <row r="22" spans="1:53">
      <c r="C22" s="2" t="s">
        <v>560</v>
      </c>
      <c r="D22" s="2">
        <f>'RRP 1.3'!S$12</f>
        <v>6.9</v>
      </c>
      <c r="E22" s="2">
        <v>0</v>
      </c>
      <c r="F22" s="2">
        <v>0</v>
      </c>
      <c r="G22" s="2">
        <v>0</v>
      </c>
      <c r="H22" s="2">
        <v>0</v>
      </c>
      <c r="I22" s="2">
        <f t="shared" si="5"/>
        <v>6.9</v>
      </c>
      <c r="K22" s="2" t="s">
        <v>853</v>
      </c>
      <c r="L22" s="2" t="str">
        <f>IF(ISERROR(VLOOKUP($K22,'Calc-Drivers'!$B$17:$G$27,L$43,FALSE))," ",VLOOKUP($K22,'Calc-Drivers'!$B$17:$G$27,L$43,FALSE))</f>
        <v xml:space="preserve"> </v>
      </c>
      <c r="M22" s="2" t="str">
        <f>IF(ISERROR(VLOOKUP($K22,'Calc-Drivers'!$B$17:$G$27,M$43,FALSE))," ",VLOOKUP($K22,'Calc-Drivers'!$B$17:$G$27,M$43,FALSE))</f>
        <v xml:space="preserve"> </v>
      </c>
      <c r="N22" s="2" t="str">
        <f>IF(ISERROR(VLOOKUP($K22,'Calc-Drivers'!$B$17:$G$27,N$43,FALSE))," ",VLOOKUP($K22,'Calc-Drivers'!$B$17:$G$27,N$43,FALSE))</f>
        <v xml:space="preserve"> </v>
      </c>
      <c r="O22" s="2" t="str">
        <f>IF(ISERROR(VLOOKUP($K22,'Calc-Drivers'!$B$17:$G$27,O$43,FALSE))," ",VLOOKUP($K22,'Calc-Drivers'!$B$17:$G$27,O$43,FALSE))</f>
        <v xml:space="preserve"> </v>
      </c>
      <c r="P22" s="2" t="str">
        <f>IF(ISERROR(VLOOKUP($K22,'Calc-Drivers'!$B$17:$G$27,P$43,FALSE))," ",VLOOKUP($K22,'Calc-Drivers'!$B$17:$G$27,P$43,FALSE))</f>
        <v xml:space="preserve"> </v>
      </c>
      <c r="S22" s="2" t="str">
        <f t="shared" si="0"/>
        <v xml:space="preserve"> </v>
      </c>
      <c r="T22" s="2" t="str">
        <f t="shared" si="0"/>
        <v xml:space="preserve"> </v>
      </c>
      <c r="U22" s="2" t="str">
        <f t="shared" si="0"/>
        <v xml:space="preserve"> </v>
      </c>
      <c r="V22" s="2" t="str">
        <f t="shared" si="0"/>
        <v xml:space="preserve"> </v>
      </c>
      <c r="W22" s="2" t="str">
        <f t="shared" si="0"/>
        <v xml:space="preserve"> </v>
      </c>
      <c r="Z22" s="2" t="str">
        <f t="shared" si="1"/>
        <v xml:space="preserve"> </v>
      </c>
      <c r="AA22" s="2" t="str">
        <f t="shared" si="1"/>
        <v xml:space="preserve"> </v>
      </c>
      <c r="AB22" s="2" t="str">
        <f t="shared" si="1"/>
        <v xml:space="preserve"> </v>
      </c>
      <c r="AC22" s="2" t="str">
        <f t="shared" si="2"/>
        <v xml:space="preserve"> </v>
      </c>
      <c r="AD22" s="2" t="str">
        <f t="shared" si="2"/>
        <v xml:space="preserve"> </v>
      </c>
      <c r="AG22" s="2" t="str">
        <f>IF(ISERROR(Z22*100000000/'Calc-Units'!$E$23)," ",Z22*100000000/'Calc-Units'!$E$23)</f>
        <v xml:space="preserve"> </v>
      </c>
      <c r="AH22" s="2" t="str">
        <f>IF(ISERROR(AA22*100000000/'Calc-Units'!$D$23)," ",AA22*100000000/'Calc-Units'!$D$23)</f>
        <v xml:space="preserve"> </v>
      </c>
      <c r="AI22" s="2" t="str">
        <f>IF(ISERROR(AB22*100000000/'Calc-Units'!$C$23)," ",AB22*100000000/'Calc-Units'!$C$23)</f>
        <v xml:space="preserve"> </v>
      </c>
      <c r="AJ22" s="2" t="str">
        <f>IF(ISERROR(AC22*100000000/'Calc-Units'!$C$23)," ",AC22*100000000/'Calc-Units'!$C$23)</f>
        <v xml:space="preserve"> </v>
      </c>
      <c r="AL22" s="2">
        <v>0.52569999999999995</v>
      </c>
      <c r="AM22" s="2">
        <f t="shared" si="3"/>
        <v>3.6273299999999997</v>
      </c>
      <c r="AN22" s="2">
        <f t="shared" si="4"/>
        <v>3.2726700000000006</v>
      </c>
      <c r="AQ22" s="2" t="str">
        <f t="shared" si="6"/>
        <v xml:space="preserve"> </v>
      </c>
      <c r="AR22" s="2" t="str">
        <f t="shared" si="6"/>
        <v xml:space="preserve"> </v>
      </c>
      <c r="AS22" s="2" t="str">
        <f t="shared" si="6"/>
        <v xml:space="preserve"> </v>
      </c>
      <c r="AT22" s="2" t="str">
        <f t="shared" si="6"/>
        <v xml:space="preserve"> </v>
      </c>
      <c r="AU22" s="2" t="str">
        <f t="shared" si="6"/>
        <v xml:space="preserve"> </v>
      </c>
      <c r="AX22" s="2" t="str">
        <f>IF(ISERROR(AQ22*100000000/'Calc-Units'!$E$23)," ",AQ22*100000000/'Calc-Units'!$E$23)</f>
        <v xml:space="preserve"> </v>
      </c>
      <c r="AY22" s="2" t="str">
        <f>IF(ISERROR(AR22*100000000/'Calc-Units'!$D$23)," ",AR22*100000000/'Calc-Units'!$D$23)</f>
        <v xml:space="preserve"> </v>
      </c>
      <c r="AZ22" s="2" t="str">
        <f>IF(ISERROR(AS22*100000000/'Calc-Units'!$C$23)," ",AS22*100000000/'Calc-Units'!$C$23)</f>
        <v xml:space="preserve"> </v>
      </c>
      <c r="BA22" s="2" t="str">
        <f>IF(ISERROR(AT22*100000000/'Calc-Units'!$C$23)," ",AT22*100000000/'Calc-Units'!$C$23)</f>
        <v xml:space="preserve"> </v>
      </c>
    </row>
    <row r="23" spans="1:53">
      <c r="C23" s="2" t="s">
        <v>561</v>
      </c>
      <c r="D23" s="2">
        <f>'RRP 1.3'!T$12</f>
        <v>3</v>
      </c>
      <c r="E23" s="2">
        <v>0</v>
      </c>
      <c r="F23" s="2">
        <v>0</v>
      </c>
      <c r="G23" s="2">
        <v>0</v>
      </c>
      <c r="H23" s="2">
        <v>0</v>
      </c>
      <c r="I23" s="2">
        <f t="shared" si="5"/>
        <v>3</v>
      </c>
      <c r="K23" s="2" t="s">
        <v>853</v>
      </c>
      <c r="L23" s="2" t="str">
        <f>IF(ISERROR(VLOOKUP($K23,'Calc-Drivers'!$B$17:$G$27,L$43,FALSE))," ",VLOOKUP($K23,'Calc-Drivers'!$B$17:$G$27,L$43,FALSE))</f>
        <v xml:space="preserve"> </v>
      </c>
      <c r="M23" s="2" t="str">
        <f>IF(ISERROR(VLOOKUP($K23,'Calc-Drivers'!$B$17:$G$27,M$43,FALSE))," ",VLOOKUP($K23,'Calc-Drivers'!$B$17:$G$27,M$43,FALSE))</f>
        <v xml:space="preserve"> </v>
      </c>
      <c r="N23" s="2" t="str">
        <f>IF(ISERROR(VLOOKUP($K23,'Calc-Drivers'!$B$17:$G$27,N$43,FALSE))," ",VLOOKUP($K23,'Calc-Drivers'!$B$17:$G$27,N$43,FALSE))</f>
        <v xml:space="preserve"> </v>
      </c>
      <c r="O23" s="2" t="str">
        <f>IF(ISERROR(VLOOKUP($K23,'Calc-Drivers'!$B$17:$G$27,O$43,FALSE))," ",VLOOKUP($K23,'Calc-Drivers'!$B$17:$G$27,O$43,FALSE))</f>
        <v xml:space="preserve"> </v>
      </c>
      <c r="P23" s="2" t="str">
        <f>IF(ISERROR(VLOOKUP($K23,'Calc-Drivers'!$B$17:$G$27,P$43,FALSE))," ",VLOOKUP($K23,'Calc-Drivers'!$B$17:$G$27,P$43,FALSE))</f>
        <v xml:space="preserve"> </v>
      </c>
      <c r="S23" s="2" t="str">
        <f t="shared" si="0"/>
        <v xml:space="preserve"> </v>
      </c>
      <c r="T23" s="2" t="str">
        <f t="shared" si="0"/>
        <v xml:space="preserve"> </v>
      </c>
      <c r="U23" s="2" t="str">
        <f t="shared" si="0"/>
        <v xml:space="preserve"> </v>
      </c>
      <c r="V23" s="2" t="str">
        <f t="shared" si="0"/>
        <v xml:space="preserve"> </v>
      </c>
      <c r="W23" s="2" t="str">
        <f t="shared" si="0"/>
        <v xml:space="preserve"> </v>
      </c>
      <c r="Z23" s="2" t="str">
        <f t="shared" si="1"/>
        <v xml:space="preserve"> </v>
      </c>
      <c r="AA23" s="2" t="str">
        <f t="shared" si="1"/>
        <v xml:space="preserve"> </v>
      </c>
      <c r="AB23" s="2" t="str">
        <f t="shared" si="1"/>
        <v xml:space="preserve"> </v>
      </c>
      <c r="AC23" s="2" t="str">
        <f t="shared" si="2"/>
        <v xml:space="preserve"> </v>
      </c>
      <c r="AD23" s="2" t="str">
        <f t="shared" si="2"/>
        <v xml:space="preserve"> </v>
      </c>
      <c r="AG23" s="2" t="str">
        <f>IF(ISERROR(Z23*100000000/'Calc-Units'!$E$23)," ",Z23*100000000/'Calc-Units'!$E$23)</f>
        <v xml:space="preserve"> </v>
      </c>
      <c r="AH23" s="2" t="str">
        <f>IF(ISERROR(AA23*100000000/'Calc-Units'!$D$23)," ",AA23*100000000/'Calc-Units'!$D$23)</f>
        <v xml:space="preserve"> </v>
      </c>
      <c r="AI23" s="2" t="str">
        <f>IF(ISERROR(AB23*100000000/'Calc-Units'!$C$23)," ",AB23*100000000/'Calc-Units'!$C$23)</f>
        <v xml:space="preserve"> </v>
      </c>
      <c r="AJ23" s="2" t="str">
        <f>IF(ISERROR(AC23*100000000/'Calc-Units'!$C$23)," ",AC23*100000000/'Calc-Units'!$C$23)</f>
        <v xml:space="preserve"> </v>
      </c>
      <c r="AL23" s="2">
        <v>0.52569999999999995</v>
      </c>
      <c r="AM23" s="2">
        <f t="shared" si="3"/>
        <v>1.5770999999999997</v>
      </c>
      <c r="AN23" s="2">
        <f t="shared" si="4"/>
        <v>1.4229000000000003</v>
      </c>
      <c r="AQ23" s="2" t="str">
        <f t="shared" si="6"/>
        <v xml:space="preserve"> </v>
      </c>
      <c r="AR23" s="2" t="str">
        <f t="shared" si="6"/>
        <v xml:space="preserve"> </v>
      </c>
      <c r="AS23" s="2" t="str">
        <f t="shared" si="6"/>
        <v xml:space="preserve"> </v>
      </c>
      <c r="AT23" s="2" t="str">
        <f t="shared" si="6"/>
        <v xml:space="preserve"> </v>
      </c>
      <c r="AU23" s="2" t="str">
        <f t="shared" si="6"/>
        <v xml:space="preserve"> </v>
      </c>
      <c r="AX23" s="2" t="str">
        <f>IF(ISERROR(AQ23*100000000/'Calc-Units'!$E$23)," ",AQ23*100000000/'Calc-Units'!$E$23)</f>
        <v xml:space="preserve"> </v>
      </c>
      <c r="AY23" s="2" t="str">
        <f>IF(ISERROR(AR23*100000000/'Calc-Units'!$D$23)," ",AR23*100000000/'Calc-Units'!$D$23)</f>
        <v xml:space="preserve"> </v>
      </c>
      <c r="AZ23" s="2" t="str">
        <f>IF(ISERROR(AS23*100000000/'Calc-Units'!$C$23)," ",AS23*100000000/'Calc-Units'!$C$23)</f>
        <v xml:space="preserve"> </v>
      </c>
      <c r="BA23" s="2" t="str">
        <f>IF(ISERROR(AT23*100000000/'Calc-Units'!$C$23)," ",AT23*100000000/'Calc-Units'!$C$23)</f>
        <v xml:space="preserve"> </v>
      </c>
    </row>
    <row r="24" spans="1:53">
      <c r="C24" s="2" t="s">
        <v>562</v>
      </c>
      <c r="D24" s="2">
        <f>'RRP 1.3'!U$12</f>
        <v>0.9</v>
      </c>
      <c r="E24" s="2">
        <v>0</v>
      </c>
      <c r="F24" s="2">
        <v>0</v>
      </c>
      <c r="G24" s="2">
        <v>0</v>
      </c>
      <c r="H24" s="2">
        <v>0</v>
      </c>
      <c r="I24" s="2">
        <f t="shared" si="5"/>
        <v>0.9</v>
      </c>
      <c r="K24" s="2" t="s">
        <v>851</v>
      </c>
      <c r="L24" s="2">
        <f>IF(ISERROR(VLOOKUP($K24,'Calc-Drivers'!$B$17:$G$27,L$43,FALSE))," ",VLOOKUP($K24,'Calc-Drivers'!$B$17:$G$27,L$43,FALSE))</f>
        <v>0.2196109260751124</v>
      </c>
      <c r="M24" s="2">
        <f>IF(ISERROR(VLOOKUP($K24,'Calc-Drivers'!$B$17:$G$27,M$43,FALSE))," ",VLOOKUP($K24,'Calc-Drivers'!$B$17:$G$27,M$43,FALSE))</f>
        <v>0.25684360461638045</v>
      </c>
      <c r="N24" s="2">
        <f>IF(ISERROR(VLOOKUP($K24,'Calc-Drivers'!$B$17:$G$27,N$43,FALSE))," ",VLOOKUP($K24,'Calc-Drivers'!$B$17:$G$27,N$43,FALSE))</f>
        <v>7.187951420551468E-2</v>
      </c>
      <c r="O24" s="2">
        <f>IF(ISERROR(VLOOKUP($K24,'Calc-Drivers'!$B$17:$G$27,O$43,FALSE))," ",VLOOKUP($K24,'Calc-Drivers'!$B$17:$G$27,O$43,FALSE))</f>
        <v>0.29153630721549384</v>
      </c>
      <c r="P24" s="2">
        <f>IF(ISERROR(VLOOKUP($K24,'Calc-Drivers'!$B$17:$G$27,P$43,FALSE))," ",VLOOKUP($K24,'Calc-Drivers'!$B$17:$G$27,P$43,FALSE))</f>
        <v>0.16012964788749887</v>
      </c>
      <c r="S24" s="2">
        <f t="shared" si="0"/>
        <v>0.19764983346760118</v>
      </c>
      <c r="T24" s="2">
        <f t="shared" si="0"/>
        <v>0.2311592441547424</v>
      </c>
      <c r="U24" s="2">
        <f t="shared" si="0"/>
        <v>6.4691562784963214E-2</v>
      </c>
      <c r="V24" s="2">
        <f t="shared" si="0"/>
        <v>0.26238267649394448</v>
      </c>
      <c r="W24" s="2">
        <f t="shared" si="0"/>
        <v>0.14411668309874898</v>
      </c>
      <c r="Z24" s="2">
        <f t="shared" si="1"/>
        <v>0.19764983346760118</v>
      </c>
      <c r="AA24" s="2">
        <f t="shared" si="1"/>
        <v>0.2311592441547424</v>
      </c>
      <c r="AB24" s="2">
        <f t="shared" si="1"/>
        <v>6.4691562784963214E-2</v>
      </c>
      <c r="AC24" s="2">
        <f t="shared" si="2"/>
        <v>0.26238267649394448</v>
      </c>
      <c r="AD24" s="2">
        <f t="shared" si="2"/>
        <v>0.14411668309874898</v>
      </c>
      <c r="AG24" s="2">
        <f>IF(ISERROR(Z24*100000000/'Calc-Units'!$E$23)," ",Z24*100000000/'Calc-Units'!$E$23)</f>
        <v>1.3126178026161889E-3</v>
      </c>
      <c r="AH24" s="2">
        <f>IF(ISERROR(AA24*100000000/'Calc-Units'!$D$23)," ",AA24*100000000/'Calc-Units'!$D$23)</f>
        <v>1.586909796655112E-3</v>
      </c>
      <c r="AI24" s="2">
        <f>IF(ISERROR(AB24*100000000/'Calc-Units'!$C$23)," ",AB24*100000000/'Calc-Units'!$C$23)</f>
        <v>5.8093853489537065E-4</v>
      </c>
      <c r="AJ24" s="2">
        <f>IF(ISERROR(AC24*100000000/'Calc-Units'!$C$23)," ",AC24*100000000/'Calc-Units'!$C$23)</f>
        <v>2.3562301033133834E-3</v>
      </c>
      <c r="AL24" s="2">
        <v>0.52569999999999995</v>
      </c>
      <c r="AM24" s="2">
        <f t="shared" si="3"/>
        <v>0.47312999999999994</v>
      </c>
      <c r="AN24" s="2">
        <f t="shared" si="4"/>
        <v>0.42687000000000008</v>
      </c>
      <c r="AQ24" s="2">
        <f t="shared" si="6"/>
        <v>9.3745316013683244E-2</v>
      </c>
      <c r="AR24" s="2">
        <f t="shared" si="6"/>
        <v>0.10963882950259433</v>
      </c>
      <c r="AS24" s="2">
        <f t="shared" si="6"/>
        <v>3.0683208228908056E-2</v>
      </c>
      <c r="AT24" s="2">
        <f t="shared" si="6"/>
        <v>0.12444810346107787</v>
      </c>
      <c r="AU24" s="2">
        <f t="shared" si="6"/>
        <v>6.835454279373665E-2</v>
      </c>
      <c r="AX24" s="2">
        <f>IF(ISERROR(AQ24*100000000/'Calc-Units'!$E$23)," ",AQ24*100000000/'Calc-Units'!$E$23)</f>
        <v>6.2257462378085854E-4</v>
      </c>
      <c r="AY24" s="2">
        <f>IF(ISERROR(AR24*100000000/'Calc-Units'!$D$23)," ",AR24*100000000/'Calc-Units'!$D$23)</f>
        <v>7.5267131655351973E-4</v>
      </c>
      <c r="AZ24" s="2">
        <f>IF(ISERROR(AS24*100000000/'Calc-Units'!$C$23)," ",AS24*100000000/'Calc-Units'!$C$23)</f>
        <v>2.7553914710087433E-4</v>
      </c>
      <c r="BA24" s="2">
        <f>IF(ISERROR(AT24*100000000/'Calc-Units'!$C$23)," ",AT24*100000000/'Calc-Units'!$C$23)</f>
        <v>1.1175599380015379E-3</v>
      </c>
    </row>
    <row r="25" spans="1:53">
      <c r="C25" s="2" t="s">
        <v>563</v>
      </c>
      <c r="D25" s="2">
        <f>'RRP 1.3'!V$12</f>
        <v>1.2</v>
      </c>
      <c r="E25" s="2">
        <v>0</v>
      </c>
      <c r="F25" s="2">
        <v>0</v>
      </c>
      <c r="G25" s="2">
        <v>0</v>
      </c>
      <c r="H25" s="2">
        <v>0</v>
      </c>
      <c r="I25" s="2">
        <f t="shared" si="5"/>
        <v>1.2</v>
      </c>
      <c r="K25" s="2" t="s">
        <v>851</v>
      </c>
      <c r="L25" s="2">
        <f>IF(ISERROR(VLOOKUP($K25,'Calc-Drivers'!$B$17:$G$27,L$43,FALSE))," ",VLOOKUP($K25,'Calc-Drivers'!$B$17:$G$27,L$43,FALSE))</f>
        <v>0.2196109260751124</v>
      </c>
      <c r="M25" s="2">
        <f>IF(ISERROR(VLOOKUP($K25,'Calc-Drivers'!$B$17:$G$27,M$43,FALSE))," ",VLOOKUP($K25,'Calc-Drivers'!$B$17:$G$27,M$43,FALSE))</f>
        <v>0.25684360461638045</v>
      </c>
      <c r="N25" s="2">
        <f>IF(ISERROR(VLOOKUP($K25,'Calc-Drivers'!$B$17:$G$27,N$43,FALSE))," ",VLOOKUP($K25,'Calc-Drivers'!$B$17:$G$27,N$43,FALSE))</f>
        <v>7.187951420551468E-2</v>
      </c>
      <c r="O25" s="2">
        <f>IF(ISERROR(VLOOKUP($K25,'Calc-Drivers'!$B$17:$G$27,O$43,FALSE))," ",VLOOKUP($K25,'Calc-Drivers'!$B$17:$G$27,O$43,FALSE))</f>
        <v>0.29153630721549384</v>
      </c>
      <c r="P25" s="2">
        <f>IF(ISERROR(VLOOKUP($K25,'Calc-Drivers'!$B$17:$G$27,P$43,FALSE))," ",VLOOKUP($K25,'Calc-Drivers'!$B$17:$G$27,P$43,FALSE))</f>
        <v>0.16012964788749887</v>
      </c>
      <c r="S25" s="2">
        <f t="shared" si="0"/>
        <v>0.26353311129013485</v>
      </c>
      <c r="T25" s="2">
        <f t="shared" si="0"/>
        <v>0.30821232553965655</v>
      </c>
      <c r="U25" s="2">
        <f t="shared" si="0"/>
        <v>8.6255417046617613E-2</v>
      </c>
      <c r="V25" s="2">
        <f t="shared" si="0"/>
        <v>0.34984356865859262</v>
      </c>
      <c r="W25" s="2">
        <f t="shared" si="0"/>
        <v>0.19215557746499864</v>
      </c>
      <c r="Z25" s="2">
        <f t="shared" si="1"/>
        <v>0.26353311129013485</v>
      </c>
      <c r="AA25" s="2">
        <f t="shared" si="1"/>
        <v>0.30821232553965655</v>
      </c>
      <c r="AB25" s="2">
        <f t="shared" si="1"/>
        <v>8.6255417046617613E-2</v>
      </c>
      <c r="AC25" s="2">
        <f t="shared" si="2"/>
        <v>0.34984356865859262</v>
      </c>
      <c r="AD25" s="2">
        <f t="shared" si="2"/>
        <v>0.19215557746499864</v>
      </c>
      <c r="AG25" s="2">
        <f>IF(ISERROR(Z25*100000000/'Calc-Units'!$E$23)," ",Z25*100000000/'Calc-Units'!$E$23)</f>
        <v>1.7501570701549183E-3</v>
      </c>
      <c r="AH25" s="2">
        <f>IF(ISERROR(AA25*100000000/'Calc-Units'!$D$23)," ",AA25*100000000/'Calc-Units'!$D$23)</f>
        <v>2.1158797288734826E-3</v>
      </c>
      <c r="AI25" s="2">
        <f>IF(ISERROR(AB25*100000000/'Calc-Units'!$C$23)," ",AB25*100000000/'Calc-Units'!$C$23)</f>
        <v>7.7458471319382738E-4</v>
      </c>
      <c r="AJ25" s="2">
        <f>IF(ISERROR(AC25*100000000/'Calc-Units'!$C$23)," ",AC25*100000000/'Calc-Units'!$C$23)</f>
        <v>3.1416401377511779E-3</v>
      </c>
      <c r="AL25" s="2">
        <v>0.52569999999999995</v>
      </c>
      <c r="AM25" s="2">
        <f t="shared" si="3"/>
        <v>0.63083999999999996</v>
      </c>
      <c r="AN25" s="2">
        <f t="shared" si="4"/>
        <v>0.56916</v>
      </c>
      <c r="AQ25" s="2">
        <f t="shared" si="6"/>
        <v>0.12499375468491097</v>
      </c>
      <c r="AR25" s="2">
        <f t="shared" si="6"/>
        <v>0.14618510600345913</v>
      </c>
      <c r="AS25" s="2">
        <f t="shared" si="6"/>
        <v>4.0910944305210736E-2</v>
      </c>
      <c r="AT25" s="2">
        <f t="shared" si="6"/>
        <v>0.1659308046147705</v>
      </c>
      <c r="AU25" s="2">
        <f t="shared" si="6"/>
        <v>9.1139390391648867E-2</v>
      </c>
      <c r="AX25" s="2">
        <f>IF(ISERROR(AQ25*100000000/'Calc-Units'!$E$23)," ",AQ25*100000000/'Calc-Units'!$E$23)</f>
        <v>8.3009949837447791E-4</v>
      </c>
      <c r="AY25" s="2">
        <f>IF(ISERROR(AR25*100000000/'Calc-Units'!$D$23)," ",AR25*100000000/'Calc-Units'!$D$23)</f>
        <v>1.003561755404693E-3</v>
      </c>
      <c r="AZ25" s="2">
        <f>IF(ISERROR(AS25*100000000/'Calc-Units'!$C$23)," ",AS25*100000000/'Calc-Units'!$C$23)</f>
        <v>3.6738552946783239E-4</v>
      </c>
      <c r="BA25" s="2">
        <f>IF(ISERROR(AT25*100000000/'Calc-Units'!$C$23)," ",AT25*100000000/'Calc-Units'!$C$23)</f>
        <v>1.4900799173353839E-3</v>
      </c>
    </row>
    <row r="26" spans="1:53">
      <c r="C26" s="2" t="s">
        <v>564</v>
      </c>
      <c r="D26" s="2">
        <f>'RRP 1.3'!W$12</f>
        <v>5.9</v>
      </c>
      <c r="E26" s="2">
        <v>0</v>
      </c>
      <c r="F26" s="2">
        <v>0</v>
      </c>
      <c r="G26" s="2">
        <v>0</v>
      </c>
      <c r="H26" s="2">
        <v>0</v>
      </c>
      <c r="I26" s="2">
        <f t="shared" si="5"/>
        <v>5.9</v>
      </c>
      <c r="K26" s="2" t="s">
        <v>851</v>
      </c>
      <c r="L26" s="2">
        <f>IF(ISERROR(VLOOKUP($K26,'Calc-Drivers'!$B$17:$G$27,L$43,FALSE))," ",VLOOKUP($K26,'Calc-Drivers'!$B$17:$G$27,L$43,FALSE))</f>
        <v>0.2196109260751124</v>
      </c>
      <c r="M26" s="2">
        <f>IF(ISERROR(VLOOKUP($K26,'Calc-Drivers'!$B$17:$G$27,M$43,FALSE))," ",VLOOKUP($K26,'Calc-Drivers'!$B$17:$G$27,M$43,FALSE))</f>
        <v>0.25684360461638045</v>
      </c>
      <c r="N26" s="2">
        <f>IF(ISERROR(VLOOKUP($K26,'Calc-Drivers'!$B$17:$G$27,N$43,FALSE))," ",VLOOKUP($K26,'Calc-Drivers'!$B$17:$G$27,N$43,FALSE))</f>
        <v>7.187951420551468E-2</v>
      </c>
      <c r="O26" s="2">
        <f>IF(ISERROR(VLOOKUP($K26,'Calc-Drivers'!$B$17:$G$27,O$43,FALSE))," ",VLOOKUP($K26,'Calc-Drivers'!$B$17:$G$27,O$43,FALSE))</f>
        <v>0.29153630721549384</v>
      </c>
      <c r="P26" s="2">
        <f>IF(ISERROR(VLOOKUP($K26,'Calc-Drivers'!$B$17:$G$27,P$43,FALSE))," ",VLOOKUP($K26,'Calc-Drivers'!$B$17:$G$27,P$43,FALSE))</f>
        <v>0.16012964788749887</v>
      </c>
      <c r="S26" s="2">
        <f t="shared" si="0"/>
        <v>1.2957044638431632</v>
      </c>
      <c r="T26" s="2">
        <f t="shared" si="0"/>
        <v>1.5153772672366448</v>
      </c>
      <c r="U26" s="2">
        <f t="shared" si="0"/>
        <v>0.42408913381253666</v>
      </c>
      <c r="V26" s="2">
        <f t="shared" si="0"/>
        <v>1.7200642125714138</v>
      </c>
      <c r="W26" s="2">
        <f t="shared" si="0"/>
        <v>0.94476492253624333</v>
      </c>
      <c r="Z26" s="2">
        <f t="shared" si="1"/>
        <v>1.2957044638431632</v>
      </c>
      <c r="AA26" s="2">
        <f t="shared" si="1"/>
        <v>1.5153772672366448</v>
      </c>
      <c r="AB26" s="2">
        <f t="shared" si="1"/>
        <v>0.42408913381253666</v>
      </c>
      <c r="AC26" s="2">
        <f t="shared" si="2"/>
        <v>1.7200642125714138</v>
      </c>
      <c r="AD26" s="2">
        <f t="shared" si="2"/>
        <v>0.94476492253624333</v>
      </c>
      <c r="AG26" s="2">
        <f>IF(ISERROR(Z26*100000000/'Calc-Units'!$E$23)," ",Z26*100000000/'Calc-Units'!$E$23)</f>
        <v>8.604938928261684E-3</v>
      </c>
      <c r="AH26" s="2">
        <f>IF(ISERROR(AA26*100000000/'Calc-Units'!$D$23)," ",AA26*100000000/'Calc-Units'!$D$23)</f>
        <v>1.0403075333627958E-2</v>
      </c>
      <c r="AI26" s="2">
        <f>IF(ISERROR(AB26*100000000/'Calc-Units'!$C$23)," ",AB26*100000000/'Calc-Units'!$C$23)</f>
        <v>3.8083748398696523E-3</v>
      </c>
      <c r="AJ26" s="2">
        <f>IF(ISERROR(AC26*100000000/'Calc-Units'!$C$23)," ",AC26*100000000/'Calc-Units'!$C$23)</f>
        <v>1.5446397343943293E-2</v>
      </c>
      <c r="AL26" s="2">
        <v>0.52569999999999995</v>
      </c>
      <c r="AM26" s="2">
        <f t="shared" si="3"/>
        <v>3.1016299999999997</v>
      </c>
      <c r="AN26" s="2">
        <f t="shared" si="4"/>
        <v>2.7983700000000007</v>
      </c>
      <c r="AQ26" s="2">
        <f t="shared" si="6"/>
        <v>0.61455262720081238</v>
      </c>
      <c r="AR26" s="2">
        <f t="shared" si="6"/>
        <v>0.71874343785034067</v>
      </c>
      <c r="AS26" s="2">
        <f t="shared" si="6"/>
        <v>0.20114547616728615</v>
      </c>
      <c r="AT26" s="2">
        <f t="shared" si="6"/>
        <v>0.81582645602262172</v>
      </c>
      <c r="AU26" s="2">
        <f t="shared" si="6"/>
        <v>0.44810200275894024</v>
      </c>
      <c r="AX26" s="2">
        <f>IF(ISERROR(AQ26*100000000/'Calc-Units'!$E$23)," ",AQ26*100000000/'Calc-Units'!$E$23)</f>
        <v>4.081322533674517E-3</v>
      </c>
      <c r="AY26" s="2">
        <f>IF(ISERROR(AR26*100000000/'Calc-Units'!$D$23)," ",AR26*100000000/'Calc-Units'!$D$23)</f>
        <v>4.93417863073974E-3</v>
      </c>
      <c r="AZ26" s="2">
        <f>IF(ISERROR(AS26*100000000/'Calc-Units'!$C$23)," ",AS26*100000000/'Calc-Units'!$C$23)</f>
        <v>1.8063121865501762E-3</v>
      </c>
      <c r="BA26" s="2">
        <f>IF(ISERROR(AT26*100000000/'Calc-Units'!$C$23)," ",AT26*100000000/'Calc-Units'!$C$23)</f>
        <v>7.3262262602323044E-3</v>
      </c>
    </row>
    <row r="27" spans="1:53">
      <c r="C27" s="2" t="s">
        <v>565</v>
      </c>
      <c r="D27" s="2">
        <f>'RRP 1.3'!X$12</f>
        <v>1.6</v>
      </c>
      <c r="E27" s="2">
        <v>0</v>
      </c>
      <c r="F27" s="2">
        <v>0</v>
      </c>
      <c r="G27" s="2">
        <v>0</v>
      </c>
      <c r="H27" s="2">
        <v>0</v>
      </c>
      <c r="I27" s="2">
        <f t="shared" si="5"/>
        <v>1.6</v>
      </c>
      <c r="K27" s="2" t="s">
        <v>851</v>
      </c>
      <c r="L27" s="2">
        <f>IF(ISERROR(VLOOKUP($K27,'Calc-Drivers'!$B$17:$G$27,L$43,FALSE))," ",VLOOKUP($K27,'Calc-Drivers'!$B$17:$G$27,L$43,FALSE))</f>
        <v>0.2196109260751124</v>
      </c>
      <c r="M27" s="2">
        <f>IF(ISERROR(VLOOKUP($K27,'Calc-Drivers'!$B$17:$G$27,M$43,FALSE))," ",VLOOKUP($K27,'Calc-Drivers'!$B$17:$G$27,M$43,FALSE))</f>
        <v>0.25684360461638045</v>
      </c>
      <c r="N27" s="2">
        <f>IF(ISERROR(VLOOKUP($K27,'Calc-Drivers'!$B$17:$G$27,N$43,FALSE))," ",VLOOKUP($K27,'Calc-Drivers'!$B$17:$G$27,N$43,FALSE))</f>
        <v>7.187951420551468E-2</v>
      </c>
      <c r="O27" s="2">
        <f>IF(ISERROR(VLOOKUP($K27,'Calc-Drivers'!$B$17:$G$27,O$43,FALSE))," ",VLOOKUP($K27,'Calc-Drivers'!$B$17:$G$27,O$43,FALSE))</f>
        <v>0.29153630721549384</v>
      </c>
      <c r="P27" s="2">
        <f>IF(ISERROR(VLOOKUP($K27,'Calc-Drivers'!$B$17:$G$27,P$43,FALSE))," ",VLOOKUP($K27,'Calc-Drivers'!$B$17:$G$27,P$43,FALSE))</f>
        <v>0.16012964788749887</v>
      </c>
      <c r="S27" s="2">
        <f t="shared" si="0"/>
        <v>0.35137748172017985</v>
      </c>
      <c r="T27" s="2">
        <f t="shared" si="0"/>
        <v>0.41094976738620875</v>
      </c>
      <c r="U27" s="2">
        <f t="shared" si="0"/>
        <v>0.11500722272882349</v>
      </c>
      <c r="V27" s="2">
        <f t="shared" si="0"/>
        <v>0.46645809154479018</v>
      </c>
      <c r="W27" s="2">
        <f t="shared" si="0"/>
        <v>0.25620743661999817</v>
      </c>
      <c r="Z27" s="2">
        <f t="shared" si="1"/>
        <v>0.35137748172017985</v>
      </c>
      <c r="AA27" s="2">
        <f t="shared" si="1"/>
        <v>0.41094976738620875</v>
      </c>
      <c r="AB27" s="2">
        <f t="shared" si="1"/>
        <v>0.11500722272882349</v>
      </c>
      <c r="AC27" s="2">
        <f t="shared" si="2"/>
        <v>0.46645809154479018</v>
      </c>
      <c r="AD27" s="2">
        <f t="shared" si="2"/>
        <v>0.25620743661999817</v>
      </c>
      <c r="AG27" s="2">
        <f>IF(ISERROR(Z27*100000000/'Calc-Units'!$E$23)," ",Z27*100000000/'Calc-Units'!$E$23)</f>
        <v>2.3335427602065579E-3</v>
      </c>
      <c r="AH27" s="2">
        <f>IF(ISERROR(AA27*100000000/'Calc-Units'!$D$23)," ",AA27*100000000/'Calc-Units'!$D$23)</f>
        <v>2.8211729718313106E-3</v>
      </c>
      <c r="AI27" s="2">
        <f>IF(ISERROR(AB27*100000000/'Calc-Units'!$C$23)," ",AB27*100000000/'Calc-Units'!$C$23)</f>
        <v>1.03277961759177E-3</v>
      </c>
      <c r="AJ27" s="2">
        <f>IF(ISERROR(AC27*100000000/'Calc-Units'!$C$23)," ",AC27*100000000/'Calc-Units'!$C$23)</f>
        <v>4.1888535170015711E-3</v>
      </c>
      <c r="AL27" s="2">
        <v>0.52569999999999995</v>
      </c>
      <c r="AM27" s="2">
        <f t="shared" si="3"/>
        <v>0.84111999999999998</v>
      </c>
      <c r="AN27" s="2">
        <f t="shared" si="4"/>
        <v>0.75888000000000011</v>
      </c>
      <c r="AQ27" s="2">
        <f t="shared" si="6"/>
        <v>0.16665833957988133</v>
      </c>
      <c r="AR27" s="2">
        <f t="shared" si="6"/>
        <v>0.19491347467127884</v>
      </c>
      <c r="AS27" s="2">
        <f t="shared" si="6"/>
        <v>5.4547925740280986E-2</v>
      </c>
      <c r="AT27" s="2">
        <f t="shared" si="6"/>
        <v>0.22124107281969402</v>
      </c>
      <c r="AU27" s="2">
        <f t="shared" si="6"/>
        <v>0.12151918718886515</v>
      </c>
      <c r="AX27" s="2">
        <f>IF(ISERROR(AQ27*100000000/'Calc-Units'!$E$23)," ",AQ27*100000000/'Calc-Units'!$E$23)</f>
        <v>1.1067993311659706E-3</v>
      </c>
      <c r="AY27" s="2">
        <f>IF(ISERROR(AR27*100000000/'Calc-Units'!$D$23)," ",AR27*100000000/'Calc-Units'!$D$23)</f>
        <v>1.3380823405395909E-3</v>
      </c>
      <c r="AZ27" s="2">
        <f>IF(ISERROR(AS27*100000000/'Calc-Units'!$C$23)," ",AS27*100000000/'Calc-Units'!$C$23)</f>
        <v>4.8984737262377663E-4</v>
      </c>
      <c r="BA27" s="2">
        <f>IF(ISERROR(AT27*100000000/'Calc-Units'!$C$23)," ",AT27*100000000/'Calc-Units'!$C$23)</f>
        <v>1.9867732231138454E-3</v>
      </c>
    </row>
    <row r="28" spans="1:53" ht="12.75" customHeight="1">
      <c r="A28" s="2" t="s">
        <v>854</v>
      </c>
      <c r="C28" s="2" t="s">
        <v>529</v>
      </c>
      <c r="D28" s="2">
        <f>'RRP 1.3'!Y$12</f>
        <v>7.3</v>
      </c>
      <c r="E28" s="2">
        <v>0</v>
      </c>
      <c r="F28" s="2">
        <v>0</v>
      </c>
      <c r="G28" s="2">
        <v>0</v>
      </c>
      <c r="H28" s="2">
        <v>0</v>
      </c>
      <c r="I28" s="2">
        <f t="shared" si="5"/>
        <v>7.3</v>
      </c>
      <c r="K28" s="2" t="s">
        <v>853</v>
      </c>
      <c r="L28" s="2" t="str">
        <f>IF(ISERROR(VLOOKUP($K28,'Calc-Drivers'!$B$17:$G$27,L$43,FALSE))," ",VLOOKUP($K28,'Calc-Drivers'!$B$17:$G$27,L$43,FALSE))</f>
        <v xml:space="preserve"> </v>
      </c>
      <c r="M28" s="2" t="str">
        <f>IF(ISERROR(VLOOKUP($K28,'Calc-Drivers'!$B$17:$G$27,M$43,FALSE))," ",VLOOKUP($K28,'Calc-Drivers'!$B$17:$G$27,M$43,FALSE))</f>
        <v xml:space="preserve"> </v>
      </c>
      <c r="N28" s="2" t="str">
        <f>IF(ISERROR(VLOOKUP($K28,'Calc-Drivers'!$B$17:$G$27,N$43,FALSE))," ",VLOOKUP($K28,'Calc-Drivers'!$B$17:$G$27,N$43,FALSE))</f>
        <v xml:space="preserve"> </v>
      </c>
      <c r="O28" s="2" t="str">
        <f>IF(ISERROR(VLOOKUP($K28,'Calc-Drivers'!$B$17:$G$27,O$43,FALSE))," ",VLOOKUP($K28,'Calc-Drivers'!$B$17:$G$27,O$43,FALSE))</f>
        <v xml:space="preserve"> </v>
      </c>
      <c r="P28" s="2" t="str">
        <f>IF(ISERROR(VLOOKUP($K28,'Calc-Drivers'!$B$17:$G$27,P$43,FALSE))," ",VLOOKUP($K28,'Calc-Drivers'!$B$17:$G$27,P$43,FALSE))</f>
        <v xml:space="preserve"> </v>
      </c>
      <c r="S28" s="2" t="str">
        <f t="shared" si="0"/>
        <v xml:space="preserve"> </v>
      </c>
      <c r="T28" s="2" t="str">
        <f t="shared" si="0"/>
        <v xml:space="preserve"> </v>
      </c>
      <c r="U28" s="2" t="str">
        <f t="shared" si="0"/>
        <v xml:space="preserve"> </v>
      </c>
      <c r="V28" s="2" t="str">
        <f t="shared" si="0"/>
        <v xml:space="preserve"> </v>
      </c>
      <c r="W28" s="2" t="str">
        <f t="shared" si="0"/>
        <v xml:space="preserve"> </v>
      </c>
      <c r="Z28" s="2" t="str">
        <f t="shared" si="1"/>
        <v xml:space="preserve"> </v>
      </c>
      <c r="AA28" s="2" t="str">
        <f t="shared" si="1"/>
        <v xml:space="preserve"> </v>
      </c>
      <c r="AB28" s="2" t="str">
        <f t="shared" si="1"/>
        <v xml:space="preserve"> </v>
      </c>
      <c r="AC28" s="2" t="str">
        <f t="shared" si="2"/>
        <v xml:space="preserve"> </v>
      </c>
      <c r="AD28" s="2" t="str">
        <f t="shared" si="2"/>
        <v xml:space="preserve"> </v>
      </c>
      <c r="AG28" s="2" t="str">
        <f>IF(ISERROR(Z28*100000000/'Calc-Units'!$E$23)," ",Z28*100000000/'Calc-Units'!$E$23)</f>
        <v xml:space="preserve"> </v>
      </c>
      <c r="AH28" s="2" t="str">
        <f>IF(ISERROR(AA28*100000000/'Calc-Units'!$D$23)," ",AA28*100000000/'Calc-Units'!$D$23)</f>
        <v xml:space="preserve"> </v>
      </c>
      <c r="AI28" s="2" t="str">
        <f>IF(ISERROR(AB28*100000000/'Calc-Units'!$C$23)," ",AB28*100000000/'Calc-Units'!$C$23)</f>
        <v xml:space="preserve"> </v>
      </c>
      <c r="AJ28" s="2" t="str">
        <f>IF(ISERROR(AC28*100000000/'Calc-Units'!$C$23)," ",AC28*100000000/'Calc-Units'!$C$23)</f>
        <v xml:space="preserve"> </v>
      </c>
      <c r="AL28" s="2">
        <v>0</v>
      </c>
      <c r="AM28" s="2">
        <f t="shared" si="3"/>
        <v>0</v>
      </c>
      <c r="AN28" s="2">
        <f t="shared" si="4"/>
        <v>7.3</v>
      </c>
      <c r="AQ28" s="2" t="str">
        <f t="shared" si="6"/>
        <v xml:space="preserve"> </v>
      </c>
      <c r="AR28" s="2" t="str">
        <f t="shared" si="6"/>
        <v xml:space="preserve"> </v>
      </c>
      <c r="AS28" s="2" t="str">
        <f t="shared" si="6"/>
        <v xml:space="preserve"> </v>
      </c>
      <c r="AT28" s="2" t="str">
        <f t="shared" si="6"/>
        <v xml:space="preserve"> </v>
      </c>
      <c r="AU28" s="2" t="str">
        <f t="shared" si="6"/>
        <v xml:space="preserve"> </v>
      </c>
      <c r="AX28" s="2" t="str">
        <f>IF(ISERROR(AQ28*100000000/'Calc-Units'!$E$23)," ",AQ28*100000000/'Calc-Units'!$E$23)</f>
        <v xml:space="preserve"> </v>
      </c>
      <c r="AY28" s="2" t="str">
        <f>IF(ISERROR(AR28*100000000/'Calc-Units'!$D$23)," ",AR28*100000000/'Calc-Units'!$D$23)</f>
        <v xml:space="preserve"> </v>
      </c>
      <c r="AZ28" s="2" t="str">
        <f>IF(ISERROR(AS28*100000000/'Calc-Units'!$C$23)," ",AS28*100000000/'Calc-Units'!$C$23)</f>
        <v xml:space="preserve"> </v>
      </c>
      <c r="BA28" s="2" t="str">
        <f>IF(ISERROR(AT28*100000000/'Calc-Units'!$C$23)," ",AT28*100000000/'Calc-Units'!$C$23)</f>
        <v xml:space="preserve"> </v>
      </c>
    </row>
    <row r="29" spans="1:53">
      <c r="C29" s="2" t="s">
        <v>530</v>
      </c>
      <c r="D29" s="2">
        <f>'RRP 1.3'!Z$12</f>
        <v>20.5</v>
      </c>
      <c r="E29" s="2">
        <v>0</v>
      </c>
      <c r="F29" s="2">
        <v>0</v>
      </c>
      <c r="G29" s="2">
        <v>0</v>
      </c>
      <c r="H29" s="2">
        <v>0</v>
      </c>
      <c r="I29" s="2">
        <f t="shared" si="5"/>
        <v>20.5</v>
      </c>
      <c r="K29" s="2" t="s">
        <v>853</v>
      </c>
      <c r="L29" s="2" t="str">
        <f>IF(ISERROR(VLOOKUP($K29,'Calc-Drivers'!$B$17:$G$27,L$43,FALSE))," ",VLOOKUP($K29,'Calc-Drivers'!$B$17:$G$27,L$43,FALSE))</f>
        <v xml:space="preserve"> </v>
      </c>
      <c r="M29" s="2" t="str">
        <f>IF(ISERROR(VLOOKUP($K29,'Calc-Drivers'!$B$17:$G$27,M$43,FALSE))," ",VLOOKUP($K29,'Calc-Drivers'!$B$17:$G$27,M$43,FALSE))</f>
        <v xml:space="preserve"> </v>
      </c>
      <c r="N29" s="2" t="str">
        <f>IF(ISERROR(VLOOKUP($K29,'Calc-Drivers'!$B$17:$G$27,N$43,FALSE))," ",VLOOKUP($K29,'Calc-Drivers'!$B$17:$G$27,N$43,FALSE))</f>
        <v xml:space="preserve"> </v>
      </c>
      <c r="O29" s="2" t="str">
        <f>IF(ISERROR(VLOOKUP($K29,'Calc-Drivers'!$B$17:$G$27,O$43,FALSE))," ",VLOOKUP($K29,'Calc-Drivers'!$B$17:$G$27,O$43,FALSE))</f>
        <v xml:space="preserve"> </v>
      </c>
      <c r="P29" s="2" t="str">
        <f>IF(ISERROR(VLOOKUP($K29,'Calc-Drivers'!$B$17:$G$27,P$43,FALSE))," ",VLOOKUP($K29,'Calc-Drivers'!$B$17:$G$27,P$43,FALSE))</f>
        <v xml:space="preserve"> </v>
      </c>
      <c r="S29" s="2" t="str">
        <f t="shared" si="0"/>
        <v xml:space="preserve"> </v>
      </c>
      <c r="T29" s="2" t="str">
        <f t="shared" si="0"/>
        <v xml:space="preserve"> </v>
      </c>
      <c r="U29" s="2" t="str">
        <f t="shared" si="0"/>
        <v xml:space="preserve"> </v>
      </c>
      <c r="V29" s="2" t="str">
        <f t="shared" si="0"/>
        <v xml:space="preserve"> </v>
      </c>
      <c r="W29" s="2" t="str">
        <f t="shared" si="0"/>
        <v xml:space="preserve"> </v>
      </c>
      <c r="Z29" s="2" t="str">
        <f t="shared" si="1"/>
        <v xml:space="preserve"> </v>
      </c>
      <c r="AA29" s="2" t="str">
        <f t="shared" si="1"/>
        <v xml:space="preserve"> </v>
      </c>
      <c r="AB29" s="2" t="str">
        <f t="shared" si="1"/>
        <v xml:space="preserve"> </v>
      </c>
      <c r="AC29" s="2" t="str">
        <f t="shared" si="2"/>
        <v xml:space="preserve"> </v>
      </c>
      <c r="AD29" s="2" t="str">
        <f t="shared" si="2"/>
        <v xml:space="preserve"> </v>
      </c>
      <c r="AG29" s="2" t="str">
        <f>IF(ISERROR(Z29*100000000/'Calc-Units'!$E$23)," ",Z29*100000000/'Calc-Units'!$E$23)</f>
        <v xml:space="preserve"> </v>
      </c>
      <c r="AH29" s="2" t="str">
        <f>IF(ISERROR(AA29*100000000/'Calc-Units'!$D$23)," ",AA29*100000000/'Calc-Units'!$D$23)</f>
        <v xml:space="preserve"> </v>
      </c>
      <c r="AI29" s="2" t="str">
        <f>IF(ISERROR(AB29*100000000/'Calc-Units'!$C$23)," ",AB29*100000000/'Calc-Units'!$C$23)</f>
        <v xml:space="preserve"> </v>
      </c>
      <c r="AJ29" s="2" t="str">
        <f>IF(ISERROR(AC29*100000000/'Calc-Units'!$C$23)," ",AC29*100000000/'Calc-Units'!$C$23)</f>
        <v xml:space="preserve"> </v>
      </c>
      <c r="AL29" s="2">
        <v>0.57699999999999996</v>
      </c>
      <c r="AM29" s="2">
        <f t="shared" si="3"/>
        <v>11.828499999999998</v>
      </c>
      <c r="AN29" s="2">
        <f t="shared" si="4"/>
        <v>8.6715000000000018</v>
      </c>
      <c r="AQ29" s="2" t="str">
        <f t="shared" si="6"/>
        <v xml:space="preserve"> </v>
      </c>
      <c r="AR29" s="2" t="str">
        <f t="shared" si="6"/>
        <v xml:space="preserve"> </v>
      </c>
      <c r="AS29" s="2" t="str">
        <f t="shared" si="6"/>
        <v xml:space="preserve"> </v>
      </c>
      <c r="AT29" s="2" t="str">
        <f t="shared" si="6"/>
        <v xml:space="preserve"> </v>
      </c>
      <c r="AU29" s="2" t="str">
        <f t="shared" si="6"/>
        <v xml:space="preserve"> </v>
      </c>
      <c r="AX29" s="2" t="str">
        <f>IF(ISERROR(AQ29*100000000/'Calc-Units'!$E$23)," ",AQ29*100000000/'Calc-Units'!$E$23)</f>
        <v xml:space="preserve"> </v>
      </c>
      <c r="AY29" s="2" t="str">
        <f>IF(ISERROR(AR29*100000000/'Calc-Units'!$D$23)," ",AR29*100000000/'Calc-Units'!$D$23)</f>
        <v xml:space="preserve"> </v>
      </c>
      <c r="AZ29" s="2" t="str">
        <f>IF(ISERROR(AS29*100000000/'Calc-Units'!$C$23)," ",AS29*100000000/'Calc-Units'!$C$23)</f>
        <v xml:space="preserve"> </v>
      </c>
      <c r="BA29" s="2" t="str">
        <f>IF(ISERROR(AT29*100000000/'Calc-Units'!$C$23)," ",AT29*100000000/'Calc-Units'!$C$23)</f>
        <v xml:space="preserve"> </v>
      </c>
    </row>
    <row r="30" spans="1:53">
      <c r="C30" s="2" t="s">
        <v>531</v>
      </c>
      <c r="D30" s="2">
        <f>'RRP 1.3'!AA$12</f>
        <v>5.8</v>
      </c>
      <c r="E30" s="2">
        <v>0</v>
      </c>
      <c r="F30" s="2">
        <v>0</v>
      </c>
      <c r="G30" s="2">
        <v>0</v>
      </c>
      <c r="H30" s="2">
        <v>0</v>
      </c>
      <c r="I30" s="2">
        <f t="shared" si="5"/>
        <v>5.8</v>
      </c>
      <c r="K30" s="2" t="s">
        <v>853</v>
      </c>
      <c r="L30" s="2" t="str">
        <f>IF(ISERROR(VLOOKUP($K30,'Calc-Drivers'!$B$17:$G$27,L$43,FALSE))," ",VLOOKUP($K30,'Calc-Drivers'!$B$17:$G$27,L$43,FALSE))</f>
        <v xml:space="preserve"> </v>
      </c>
      <c r="M30" s="2" t="str">
        <f>IF(ISERROR(VLOOKUP($K30,'Calc-Drivers'!$B$17:$G$27,M$43,FALSE))," ",VLOOKUP($K30,'Calc-Drivers'!$B$17:$G$27,M$43,FALSE))</f>
        <v xml:space="preserve"> </v>
      </c>
      <c r="N30" s="2" t="str">
        <f>IF(ISERROR(VLOOKUP($K30,'Calc-Drivers'!$B$17:$G$27,N$43,FALSE))," ",VLOOKUP($K30,'Calc-Drivers'!$B$17:$G$27,N$43,FALSE))</f>
        <v xml:space="preserve"> </v>
      </c>
      <c r="O30" s="2" t="str">
        <f>IF(ISERROR(VLOOKUP($K30,'Calc-Drivers'!$B$17:$G$27,O$43,FALSE))," ",VLOOKUP($K30,'Calc-Drivers'!$B$17:$G$27,O$43,FALSE))</f>
        <v xml:space="preserve"> </v>
      </c>
      <c r="P30" s="2" t="str">
        <f>IF(ISERROR(VLOOKUP($K30,'Calc-Drivers'!$B$17:$G$27,P$43,FALSE))," ",VLOOKUP($K30,'Calc-Drivers'!$B$17:$G$27,P$43,FALSE))</f>
        <v xml:space="preserve"> </v>
      </c>
      <c r="S30" s="2" t="str">
        <f t="shared" si="0"/>
        <v xml:space="preserve"> </v>
      </c>
      <c r="T30" s="2" t="str">
        <f t="shared" si="0"/>
        <v xml:space="preserve"> </v>
      </c>
      <c r="U30" s="2" t="str">
        <f t="shared" si="0"/>
        <v xml:space="preserve"> </v>
      </c>
      <c r="V30" s="2" t="str">
        <f t="shared" si="0"/>
        <v xml:space="preserve"> </v>
      </c>
      <c r="W30" s="2" t="str">
        <f t="shared" si="0"/>
        <v xml:space="preserve"> </v>
      </c>
      <c r="Z30" s="2" t="str">
        <f t="shared" si="1"/>
        <v xml:space="preserve"> </v>
      </c>
      <c r="AA30" s="2" t="str">
        <f t="shared" si="1"/>
        <v xml:space="preserve"> </v>
      </c>
      <c r="AB30" s="2" t="str">
        <f t="shared" si="1"/>
        <v xml:space="preserve"> </v>
      </c>
      <c r="AC30" s="2" t="str">
        <f t="shared" si="2"/>
        <v xml:space="preserve"> </v>
      </c>
      <c r="AD30" s="2" t="str">
        <f t="shared" si="2"/>
        <v xml:space="preserve"> </v>
      </c>
      <c r="AG30" s="2" t="str">
        <f>IF(ISERROR(Z30*100000000/'Calc-Units'!$E$23)," ",Z30*100000000/'Calc-Units'!$E$23)</f>
        <v xml:space="preserve"> </v>
      </c>
      <c r="AH30" s="2" t="str">
        <f>IF(ISERROR(AA30*100000000/'Calc-Units'!$D$23)," ",AA30*100000000/'Calc-Units'!$D$23)</f>
        <v xml:space="preserve"> </v>
      </c>
      <c r="AI30" s="2" t="str">
        <f>IF(ISERROR(AB30*100000000/'Calc-Units'!$C$23)," ",AB30*100000000/'Calc-Units'!$C$23)</f>
        <v xml:space="preserve"> </v>
      </c>
      <c r="AJ30" s="2" t="str">
        <f>IF(ISERROR(AC30*100000000/'Calc-Units'!$C$23)," ",AC30*100000000/'Calc-Units'!$C$23)</f>
        <v xml:space="preserve"> </v>
      </c>
      <c r="AL30" s="2">
        <v>0</v>
      </c>
      <c r="AM30" s="2">
        <f t="shared" si="3"/>
        <v>0</v>
      </c>
      <c r="AN30" s="2">
        <f t="shared" si="4"/>
        <v>5.8</v>
      </c>
      <c r="AQ30" s="2" t="str">
        <f t="shared" si="6"/>
        <v xml:space="preserve"> </v>
      </c>
      <c r="AR30" s="2" t="str">
        <f t="shared" si="6"/>
        <v xml:space="preserve"> </v>
      </c>
      <c r="AS30" s="2" t="str">
        <f t="shared" si="6"/>
        <v xml:space="preserve"> </v>
      </c>
      <c r="AT30" s="2" t="str">
        <f t="shared" si="6"/>
        <v xml:space="preserve"> </v>
      </c>
      <c r="AU30" s="2" t="str">
        <f t="shared" si="6"/>
        <v xml:space="preserve"> </v>
      </c>
      <c r="AX30" s="2" t="str">
        <f>IF(ISERROR(AQ30*100000000/'Calc-Units'!$E$23)," ",AQ30*100000000/'Calc-Units'!$E$23)</f>
        <v xml:space="preserve"> </v>
      </c>
      <c r="AY30" s="2" t="str">
        <f>IF(ISERROR(AR30*100000000/'Calc-Units'!$D$23)," ",AR30*100000000/'Calc-Units'!$D$23)</f>
        <v xml:space="preserve"> </v>
      </c>
      <c r="AZ30" s="2" t="str">
        <f>IF(ISERROR(AS30*100000000/'Calc-Units'!$C$23)," ",AS30*100000000/'Calc-Units'!$C$23)</f>
        <v xml:space="preserve"> </v>
      </c>
      <c r="BA30" s="2" t="str">
        <f>IF(ISERROR(AT30*100000000/'Calc-Units'!$C$23)," ",AT30*100000000/'Calc-Units'!$C$23)</f>
        <v xml:space="preserve"> </v>
      </c>
    </row>
    <row r="31" spans="1:53">
      <c r="C31" s="2" t="s">
        <v>532</v>
      </c>
      <c r="D31" s="2">
        <f>'RRP 1.3'!AB$12</f>
        <v>25.2</v>
      </c>
      <c r="E31" s="2">
        <v>0</v>
      </c>
      <c r="F31" s="2">
        <v>0</v>
      </c>
      <c r="G31" s="2">
        <v>0</v>
      </c>
      <c r="H31" s="2">
        <v>0</v>
      </c>
      <c r="I31" s="2">
        <f t="shared" si="5"/>
        <v>25.2</v>
      </c>
      <c r="K31" s="2" t="s">
        <v>853</v>
      </c>
      <c r="L31" s="2" t="str">
        <f>IF(ISERROR(VLOOKUP($K31,'Calc-Drivers'!$B$17:$G$27,L$43,FALSE))," ",VLOOKUP($K31,'Calc-Drivers'!$B$17:$G$27,L$43,FALSE))</f>
        <v xml:space="preserve"> </v>
      </c>
      <c r="M31" s="2" t="str">
        <f>IF(ISERROR(VLOOKUP($K31,'Calc-Drivers'!$B$17:$G$27,M$43,FALSE))," ",VLOOKUP($K31,'Calc-Drivers'!$B$17:$G$27,M$43,FALSE))</f>
        <v xml:space="preserve"> </v>
      </c>
      <c r="N31" s="2" t="str">
        <f>IF(ISERROR(VLOOKUP($K31,'Calc-Drivers'!$B$17:$G$27,N$43,FALSE))," ",VLOOKUP($K31,'Calc-Drivers'!$B$17:$G$27,N$43,FALSE))</f>
        <v xml:space="preserve"> </v>
      </c>
      <c r="O31" s="2" t="str">
        <f>IF(ISERROR(VLOOKUP($K31,'Calc-Drivers'!$B$17:$G$27,O$43,FALSE))," ",VLOOKUP($K31,'Calc-Drivers'!$B$17:$G$27,O$43,FALSE))</f>
        <v xml:space="preserve"> </v>
      </c>
      <c r="P31" s="2" t="str">
        <f>IF(ISERROR(VLOOKUP($K31,'Calc-Drivers'!$B$17:$G$27,P$43,FALSE))," ",VLOOKUP($K31,'Calc-Drivers'!$B$17:$G$27,P$43,FALSE))</f>
        <v xml:space="preserve"> </v>
      </c>
      <c r="S31" s="2" t="str">
        <f t="shared" si="0"/>
        <v xml:space="preserve"> </v>
      </c>
      <c r="T31" s="2" t="str">
        <f t="shared" si="0"/>
        <v xml:space="preserve"> </v>
      </c>
      <c r="U31" s="2" t="str">
        <f t="shared" si="0"/>
        <v xml:space="preserve"> </v>
      </c>
      <c r="V31" s="2" t="str">
        <f t="shared" si="0"/>
        <v xml:space="preserve"> </v>
      </c>
      <c r="W31" s="2" t="str">
        <f t="shared" si="0"/>
        <v xml:space="preserve"> </v>
      </c>
      <c r="Z31" s="2" t="str">
        <f t="shared" si="1"/>
        <v xml:space="preserve"> </v>
      </c>
      <c r="AA31" s="2" t="str">
        <f t="shared" si="1"/>
        <v xml:space="preserve"> </v>
      </c>
      <c r="AB31" s="2" t="str">
        <f t="shared" si="1"/>
        <v xml:space="preserve"> </v>
      </c>
      <c r="AC31" s="2" t="str">
        <f t="shared" si="2"/>
        <v xml:space="preserve"> </v>
      </c>
      <c r="AD31" s="2" t="str">
        <f t="shared" si="2"/>
        <v xml:space="preserve"> </v>
      </c>
      <c r="AG31" s="2" t="str">
        <f>IF(ISERROR(Z31*100000000/'Calc-Units'!$E$23)," ",Z31*100000000/'Calc-Units'!$E$23)</f>
        <v xml:space="preserve"> </v>
      </c>
      <c r="AH31" s="2" t="str">
        <f>IF(ISERROR(AA31*100000000/'Calc-Units'!$D$23)," ",AA31*100000000/'Calc-Units'!$D$23)</f>
        <v xml:space="preserve"> </v>
      </c>
      <c r="AI31" s="2" t="str">
        <f>IF(ISERROR(AB31*100000000/'Calc-Units'!$C$23)," ",AB31*100000000/'Calc-Units'!$C$23)</f>
        <v xml:space="preserve"> </v>
      </c>
      <c r="AJ31" s="2" t="str">
        <f>IF(ISERROR(AC31*100000000/'Calc-Units'!$C$23)," ",AC31*100000000/'Calc-Units'!$C$23)</f>
        <v xml:space="preserve"> </v>
      </c>
      <c r="AL31" s="2">
        <v>0</v>
      </c>
      <c r="AM31" s="2">
        <f t="shared" si="3"/>
        <v>0</v>
      </c>
      <c r="AN31" s="2">
        <f t="shared" si="4"/>
        <v>25.2</v>
      </c>
      <c r="AQ31" s="2" t="str">
        <f t="shared" si="6"/>
        <v xml:space="preserve"> </v>
      </c>
      <c r="AR31" s="2" t="str">
        <f t="shared" si="6"/>
        <v xml:space="preserve"> </v>
      </c>
      <c r="AS31" s="2" t="str">
        <f t="shared" si="6"/>
        <v xml:space="preserve"> </v>
      </c>
      <c r="AT31" s="2" t="str">
        <f t="shared" si="6"/>
        <v xml:space="preserve"> </v>
      </c>
      <c r="AU31" s="2" t="str">
        <f t="shared" si="6"/>
        <v xml:space="preserve"> </v>
      </c>
      <c r="AX31" s="2" t="str">
        <f>IF(ISERROR(AQ31*100000000/'Calc-Units'!$E$23)," ",AQ31*100000000/'Calc-Units'!$E$23)</f>
        <v xml:space="preserve"> </v>
      </c>
      <c r="AY31" s="2" t="str">
        <f>IF(ISERROR(AR31*100000000/'Calc-Units'!$D$23)," ",AR31*100000000/'Calc-Units'!$D$23)</f>
        <v xml:space="preserve"> </v>
      </c>
      <c r="AZ31" s="2" t="str">
        <f>IF(ISERROR(AS31*100000000/'Calc-Units'!$C$23)," ",AS31*100000000/'Calc-Units'!$C$23)</f>
        <v xml:space="preserve"> </v>
      </c>
      <c r="BA31" s="2" t="str">
        <f>IF(ISERROR(AT31*100000000/'Calc-Units'!$C$23)," ",AT31*100000000/'Calc-Units'!$C$23)</f>
        <v xml:space="preserve"> </v>
      </c>
    </row>
    <row r="32" spans="1:53">
      <c r="C32" s="2" t="s">
        <v>533</v>
      </c>
      <c r="D32" s="2">
        <f>'RRP 1.3'!AC$12</f>
        <v>0.3</v>
      </c>
      <c r="E32" s="2">
        <v>0</v>
      </c>
      <c r="F32" s="2">
        <v>0</v>
      </c>
      <c r="G32" s="2">
        <v>0</v>
      </c>
      <c r="H32" s="2">
        <v>0</v>
      </c>
      <c r="I32" s="2">
        <f t="shared" si="5"/>
        <v>0.3</v>
      </c>
      <c r="K32" s="2" t="s">
        <v>853</v>
      </c>
      <c r="L32" s="2" t="str">
        <f>IF(ISERROR(VLOOKUP($K32,'Calc-Drivers'!$B$17:$G$27,L$43,FALSE))," ",VLOOKUP($K32,'Calc-Drivers'!$B$17:$G$27,L$43,FALSE))</f>
        <v xml:space="preserve"> </v>
      </c>
      <c r="M32" s="2" t="str">
        <f>IF(ISERROR(VLOOKUP($K32,'Calc-Drivers'!$B$17:$G$27,M$43,FALSE))," ",VLOOKUP($K32,'Calc-Drivers'!$B$17:$G$27,M$43,FALSE))</f>
        <v xml:space="preserve"> </v>
      </c>
      <c r="N32" s="2" t="str">
        <f>IF(ISERROR(VLOOKUP($K32,'Calc-Drivers'!$B$17:$G$27,N$43,FALSE))," ",VLOOKUP($K32,'Calc-Drivers'!$B$17:$G$27,N$43,FALSE))</f>
        <v xml:space="preserve"> </v>
      </c>
      <c r="O32" s="2" t="str">
        <f>IF(ISERROR(VLOOKUP($K32,'Calc-Drivers'!$B$17:$G$27,O$43,FALSE))," ",VLOOKUP($K32,'Calc-Drivers'!$B$17:$G$27,O$43,FALSE))</f>
        <v xml:space="preserve"> </v>
      </c>
      <c r="P32" s="2" t="str">
        <f>IF(ISERROR(VLOOKUP($K32,'Calc-Drivers'!$B$17:$G$27,P$43,FALSE))," ",VLOOKUP($K32,'Calc-Drivers'!$B$17:$G$27,P$43,FALSE))</f>
        <v xml:space="preserve"> </v>
      </c>
      <c r="S32" s="2" t="str">
        <f t="shared" si="0"/>
        <v xml:space="preserve"> </v>
      </c>
      <c r="T32" s="2" t="str">
        <f t="shared" si="0"/>
        <v xml:space="preserve"> </v>
      </c>
      <c r="U32" s="2" t="str">
        <f t="shared" si="0"/>
        <v xml:space="preserve"> </v>
      </c>
      <c r="V32" s="2" t="str">
        <f t="shared" si="0"/>
        <v xml:space="preserve"> </v>
      </c>
      <c r="W32" s="2" t="str">
        <f t="shared" si="0"/>
        <v xml:space="preserve"> </v>
      </c>
      <c r="Z32" s="2" t="str">
        <f t="shared" si="1"/>
        <v xml:space="preserve"> </v>
      </c>
      <c r="AA32" s="2" t="str">
        <f t="shared" si="1"/>
        <v xml:space="preserve"> </v>
      </c>
      <c r="AB32" s="2" t="str">
        <f t="shared" si="1"/>
        <v xml:space="preserve"> </v>
      </c>
      <c r="AC32" s="2" t="str">
        <f t="shared" si="2"/>
        <v xml:space="preserve"> </v>
      </c>
      <c r="AD32" s="2" t="str">
        <f t="shared" si="2"/>
        <v xml:space="preserve"> </v>
      </c>
      <c r="AG32" s="2" t="str">
        <f>IF(ISERROR(Z32*100000000/'Calc-Units'!$E$23)," ",Z32*100000000/'Calc-Units'!$E$23)</f>
        <v xml:space="preserve"> </v>
      </c>
      <c r="AH32" s="2" t="str">
        <f>IF(ISERROR(AA32*100000000/'Calc-Units'!$D$23)," ",AA32*100000000/'Calc-Units'!$D$23)</f>
        <v xml:space="preserve"> </v>
      </c>
      <c r="AI32" s="2" t="str">
        <f>IF(ISERROR(AB32*100000000/'Calc-Units'!$C$23)," ",AB32*100000000/'Calc-Units'!$C$23)</f>
        <v xml:space="preserve"> </v>
      </c>
      <c r="AJ32" s="2" t="str">
        <f>IF(ISERROR(AC32*100000000/'Calc-Units'!$C$23)," ",AC32*100000000/'Calc-Units'!$C$23)</f>
        <v xml:space="preserve"> </v>
      </c>
      <c r="AL32" s="2">
        <v>0</v>
      </c>
      <c r="AM32" s="2">
        <f t="shared" si="3"/>
        <v>0</v>
      </c>
      <c r="AN32" s="2">
        <f t="shared" si="4"/>
        <v>0.3</v>
      </c>
      <c r="AQ32" s="2" t="str">
        <f t="shared" si="6"/>
        <v xml:space="preserve"> </v>
      </c>
      <c r="AR32" s="2" t="str">
        <f t="shared" si="6"/>
        <v xml:space="preserve"> </v>
      </c>
      <c r="AS32" s="2" t="str">
        <f t="shared" si="6"/>
        <v xml:space="preserve"> </v>
      </c>
      <c r="AT32" s="2" t="str">
        <f t="shared" si="6"/>
        <v xml:space="preserve"> </v>
      </c>
      <c r="AU32" s="2" t="str">
        <f t="shared" si="6"/>
        <v xml:space="preserve"> </v>
      </c>
      <c r="AX32" s="2" t="str">
        <f>IF(ISERROR(AQ32*100000000/'Calc-Units'!$E$23)," ",AQ32*100000000/'Calc-Units'!$E$23)</f>
        <v xml:space="preserve"> </v>
      </c>
      <c r="AY32" s="2" t="str">
        <f>IF(ISERROR(AR32*100000000/'Calc-Units'!$D$23)," ",AR32*100000000/'Calc-Units'!$D$23)</f>
        <v xml:space="preserve"> </v>
      </c>
      <c r="AZ32" s="2" t="str">
        <f>IF(ISERROR(AS32*100000000/'Calc-Units'!$C$23)," ",AS32*100000000/'Calc-Units'!$C$23)</f>
        <v xml:space="preserve"> </v>
      </c>
      <c r="BA32" s="2" t="str">
        <f>IF(ISERROR(AT32*100000000/'Calc-Units'!$C$23)," ",AT32*100000000/'Calc-Units'!$C$23)</f>
        <v xml:space="preserve"> </v>
      </c>
    </row>
    <row r="33" spans="3:53">
      <c r="C33" s="2" t="s">
        <v>534</v>
      </c>
      <c r="D33" s="2">
        <f>'RRP 1.3'!AD$12</f>
        <v>0.1</v>
      </c>
      <c r="E33" s="2">
        <v>0</v>
      </c>
      <c r="F33" s="2">
        <v>0</v>
      </c>
      <c r="G33" s="2">
        <v>0</v>
      </c>
      <c r="H33" s="2">
        <v>0</v>
      </c>
      <c r="I33" s="2">
        <f t="shared" si="5"/>
        <v>0.1</v>
      </c>
      <c r="K33" s="2" t="s">
        <v>853</v>
      </c>
      <c r="L33" s="2" t="str">
        <f>IF(ISERROR(VLOOKUP($K33,'Calc-Drivers'!$B$17:$G$27,L$43,FALSE))," ",VLOOKUP($K33,'Calc-Drivers'!$B$17:$G$27,L$43,FALSE))</f>
        <v xml:space="preserve"> </v>
      </c>
      <c r="M33" s="2" t="str">
        <f>IF(ISERROR(VLOOKUP($K33,'Calc-Drivers'!$B$17:$G$27,M$43,FALSE))," ",VLOOKUP($K33,'Calc-Drivers'!$B$17:$G$27,M$43,FALSE))</f>
        <v xml:space="preserve"> </v>
      </c>
      <c r="N33" s="2" t="str">
        <f>IF(ISERROR(VLOOKUP($K33,'Calc-Drivers'!$B$17:$G$27,N$43,FALSE))," ",VLOOKUP($K33,'Calc-Drivers'!$B$17:$G$27,N$43,FALSE))</f>
        <v xml:space="preserve"> </v>
      </c>
      <c r="O33" s="2" t="str">
        <f>IF(ISERROR(VLOOKUP($K33,'Calc-Drivers'!$B$17:$G$27,O$43,FALSE))," ",VLOOKUP($K33,'Calc-Drivers'!$B$17:$G$27,O$43,FALSE))</f>
        <v xml:space="preserve"> </v>
      </c>
      <c r="P33" s="2" t="str">
        <f>IF(ISERROR(VLOOKUP($K33,'Calc-Drivers'!$B$17:$G$27,P$43,FALSE))," ",VLOOKUP($K33,'Calc-Drivers'!$B$17:$G$27,P$43,FALSE))</f>
        <v xml:space="preserve"> </v>
      </c>
      <c r="S33" s="2" t="str">
        <f t="shared" si="0"/>
        <v xml:space="preserve"> </v>
      </c>
      <c r="T33" s="2" t="str">
        <f t="shared" si="0"/>
        <v xml:space="preserve"> </v>
      </c>
      <c r="U33" s="2" t="str">
        <f t="shared" si="0"/>
        <v xml:space="preserve"> </v>
      </c>
      <c r="V33" s="2" t="str">
        <f t="shared" si="0"/>
        <v xml:space="preserve"> </v>
      </c>
      <c r="W33" s="2" t="str">
        <f t="shared" si="0"/>
        <v xml:space="preserve"> </v>
      </c>
      <c r="Z33" s="2" t="str">
        <f t="shared" si="1"/>
        <v xml:space="preserve"> </v>
      </c>
      <c r="AA33" s="2" t="str">
        <f t="shared" si="1"/>
        <v xml:space="preserve"> </v>
      </c>
      <c r="AB33" s="2" t="str">
        <f t="shared" si="1"/>
        <v xml:space="preserve"> </v>
      </c>
      <c r="AC33" s="2" t="str">
        <f t="shared" si="2"/>
        <v xml:space="preserve"> </v>
      </c>
      <c r="AD33" s="2" t="str">
        <f t="shared" si="2"/>
        <v xml:space="preserve"> </v>
      </c>
      <c r="AG33" s="2" t="str">
        <f>IF(ISERROR(Z33*100000000/'Calc-Units'!$E$23)," ",Z33*100000000/'Calc-Units'!$E$23)</f>
        <v xml:space="preserve"> </v>
      </c>
      <c r="AH33" s="2" t="str">
        <f>IF(ISERROR(AA33*100000000/'Calc-Units'!$D$23)," ",AA33*100000000/'Calc-Units'!$D$23)</f>
        <v xml:space="preserve"> </v>
      </c>
      <c r="AI33" s="2" t="str">
        <f>IF(ISERROR(AB33*100000000/'Calc-Units'!$C$23)," ",AB33*100000000/'Calc-Units'!$C$23)</f>
        <v xml:space="preserve"> </v>
      </c>
      <c r="AJ33" s="2" t="str">
        <f>IF(ISERROR(AC33*100000000/'Calc-Units'!$C$23)," ",AC33*100000000/'Calc-Units'!$C$23)</f>
        <v xml:space="preserve"> </v>
      </c>
      <c r="AL33" s="2">
        <v>0</v>
      </c>
      <c r="AM33" s="2">
        <f t="shared" si="3"/>
        <v>0</v>
      </c>
      <c r="AN33" s="2">
        <f t="shared" si="4"/>
        <v>0.1</v>
      </c>
      <c r="AQ33" s="2" t="str">
        <f t="shared" si="6"/>
        <v xml:space="preserve"> </v>
      </c>
      <c r="AR33" s="2" t="str">
        <f t="shared" si="6"/>
        <v xml:space="preserve"> </v>
      </c>
      <c r="AS33" s="2" t="str">
        <f t="shared" si="6"/>
        <v xml:space="preserve"> </v>
      </c>
      <c r="AT33" s="2" t="str">
        <f t="shared" si="6"/>
        <v xml:space="preserve"> </v>
      </c>
      <c r="AU33" s="2" t="str">
        <f t="shared" si="6"/>
        <v xml:space="preserve"> </v>
      </c>
      <c r="AX33" s="2" t="str">
        <f>IF(ISERROR(AQ33*100000000/'Calc-Units'!$E$23)," ",AQ33*100000000/'Calc-Units'!$E$23)</f>
        <v xml:space="preserve"> </v>
      </c>
      <c r="AY33" s="2" t="str">
        <f>IF(ISERROR(AR33*100000000/'Calc-Units'!$D$23)," ",AR33*100000000/'Calc-Units'!$D$23)</f>
        <v xml:space="preserve"> </v>
      </c>
      <c r="AZ33" s="2" t="str">
        <f>IF(ISERROR(AS33*100000000/'Calc-Units'!$C$23)," ",AS33*100000000/'Calc-Units'!$C$23)</f>
        <v xml:space="preserve"> </v>
      </c>
      <c r="BA33" s="2" t="str">
        <f>IF(ISERROR(AT33*100000000/'Calc-Units'!$C$23)," ",AT33*100000000/'Calc-Units'!$C$23)</f>
        <v xml:space="preserve"> </v>
      </c>
    </row>
    <row r="34" spans="3:53">
      <c r="C34" s="2" t="s">
        <v>535</v>
      </c>
      <c r="D34" s="2">
        <f>'RRP 1.3'!AE$12</f>
        <v>1.1000000000000001</v>
      </c>
      <c r="E34" s="2">
        <v>0</v>
      </c>
      <c r="F34" s="2">
        <v>0</v>
      </c>
      <c r="G34" s="2">
        <v>0</v>
      </c>
      <c r="H34" s="2">
        <v>0</v>
      </c>
      <c r="I34" s="2">
        <f t="shared" si="5"/>
        <v>1.1000000000000001</v>
      </c>
      <c r="K34" s="2" t="s">
        <v>853</v>
      </c>
      <c r="L34" s="2" t="str">
        <f>IF(ISERROR(VLOOKUP($K34,'Calc-Drivers'!$B$17:$G$27,L$43,FALSE))," ",VLOOKUP($K34,'Calc-Drivers'!$B$17:$G$27,L$43,FALSE))</f>
        <v xml:space="preserve"> </v>
      </c>
      <c r="M34" s="2" t="str">
        <f>IF(ISERROR(VLOOKUP($K34,'Calc-Drivers'!$B$17:$G$27,M$43,FALSE))," ",VLOOKUP($K34,'Calc-Drivers'!$B$17:$G$27,M$43,FALSE))</f>
        <v xml:space="preserve"> </v>
      </c>
      <c r="N34" s="2" t="str">
        <f>IF(ISERROR(VLOOKUP($K34,'Calc-Drivers'!$B$17:$G$27,N$43,FALSE))," ",VLOOKUP($K34,'Calc-Drivers'!$B$17:$G$27,N$43,FALSE))</f>
        <v xml:space="preserve"> </v>
      </c>
      <c r="O34" s="2" t="str">
        <f>IF(ISERROR(VLOOKUP($K34,'Calc-Drivers'!$B$17:$G$27,O$43,FALSE))," ",VLOOKUP($K34,'Calc-Drivers'!$B$17:$G$27,O$43,FALSE))</f>
        <v xml:space="preserve"> </v>
      </c>
      <c r="P34" s="2" t="str">
        <f>IF(ISERROR(VLOOKUP($K34,'Calc-Drivers'!$B$17:$G$27,P$43,FALSE))," ",VLOOKUP($K34,'Calc-Drivers'!$B$17:$G$27,P$43,FALSE))</f>
        <v xml:space="preserve"> </v>
      </c>
      <c r="S34" s="2" t="str">
        <f t="shared" si="0"/>
        <v xml:space="preserve"> </v>
      </c>
      <c r="T34" s="2" t="str">
        <f t="shared" si="0"/>
        <v xml:space="preserve"> </v>
      </c>
      <c r="U34" s="2" t="str">
        <f t="shared" si="0"/>
        <v xml:space="preserve"> </v>
      </c>
      <c r="V34" s="2" t="str">
        <f t="shared" si="0"/>
        <v xml:space="preserve"> </v>
      </c>
      <c r="W34" s="2" t="str">
        <f t="shared" si="0"/>
        <v xml:space="preserve"> </v>
      </c>
      <c r="Z34" s="2" t="str">
        <f t="shared" si="1"/>
        <v xml:space="preserve"> </v>
      </c>
      <c r="AA34" s="2" t="str">
        <f t="shared" si="1"/>
        <v xml:space="preserve"> </v>
      </c>
      <c r="AB34" s="2" t="str">
        <f t="shared" si="1"/>
        <v xml:space="preserve"> </v>
      </c>
      <c r="AC34" s="2" t="str">
        <f t="shared" si="2"/>
        <v xml:space="preserve"> </v>
      </c>
      <c r="AD34" s="2" t="str">
        <f t="shared" si="2"/>
        <v xml:space="preserve"> </v>
      </c>
      <c r="AG34" s="2" t="str">
        <f>IF(ISERROR(Z34*100000000/'Calc-Units'!$E$23)," ",Z34*100000000/'Calc-Units'!$E$23)</f>
        <v xml:space="preserve"> </v>
      </c>
      <c r="AH34" s="2" t="str">
        <f>IF(ISERROR(AA34*100000000/'Calc-Units'!$D$23)," ",AA34*100000000/'Calc-Units'!$D$23)</f>
        <v xml:space="preserve"> </v>
      </c>
      <c r="AI34" s="2" t="str">
        <f>IF(ISERROR(AB34*100000000/'Calc-Units'!$C$23)," ",AB34*100000000/'Calc-Units'!$C$23)</f>
        <v xml:space="preserve"> </v>
      </c>
      <c r="AJ34" s="2" t="str">
        <f>IF(ISERROR(AC34*100000000/'Calc-Units'!$C$23)," ",AC34*100000000/'Calc-Units'!$C$23)</f>
        <v xml:space="preserve"> </v>
      </c>
      <c r="AL34" s="2">
        <v>0</v>
      </c>
      <c r="AM34" s="2">
        <f t="shared" si="3"/>
        <v>0</v>
      </c>
      <c r="AN34" s="2">
        <f t="shared" si="4"/>
        <v>1.1000000000000001</v>
      </c>
      <c r="AQ34" s="2" t="str">
        <f t="shared" si="6"/>
        <v xml:space="preserve"> </v>
      </c>
      <c r="AR34" s="2" t="str">
        <f t="shared" si="6"/>
        <v xml:space="preserve"> </v>
      </c>
      <c r="AS34" s="2" t="str">
        <f t="shared" si="6"/>
        <v xml:space="preserve"> </v>
      </c>
      <c r="AT34" s="2" t="str">
        <f t="shared" si="6"/>
        <v xml:space="preserve"> </v>
      </c>
      <c r="AU34" s="2" t="str">
        <f t="shared" si="6"/>
        <v xml:space="preserve"> </v>
      </c>
      <c r="AX34" s="2" t="str">
        <f>IF(ISERROR(AQ34*100000000/'Calc-Units'!$E$23)," ",AQ34*100000000/'Calc-Units'!$E$23)</f>
        <v xml:space="preserve"> </v>
      </c>
      <c r="AY34" s="2" t="str">
        <f>IF(ISERROR(AR34*100000000/'Calc-Units'!$D$23)," ",AR34*100000000/'Calc-Units'!$D$23)</f>
        <v xml:space="preserve"> </v>
      </c>
      <c r="AZ34" s="2" t="str">
        <f>IF(ISERROR(AS34*100000000/'Calc-Units'!$C$23)," ",AS34*100000000/'Calc-Units'!$C$23)</f>
        <v xml:space="preserve"> </v>
      </c>
      <c r="BA34" s="2" t="str">
        <f>IF(ISERROR(AT34*100000000/'Calc-Units'!$C$23)," ",AT34*100000000/'Calc-Units'!$C$23)</f>
        <v xml:space="preserve"> </v>
      </c>
    </row>
    <row r="35" spans="3:53">
      <c r="C35" s="2" t="s">
        <v>536</v>
      </c>
      <c r="D35" s="2">
        <f>'RRP 1.3'!AF$12</f>
        <v>34</v>
      </c>
      <c r="E35" s="2">
        <v>0</v>
      </c>
      <c r="F35" s="2">
        <v>0</v>
      </c>
      <c r="G35" s="2">
        <v>0</v>
      </c>
      <c r="H35" s="2">
        <v>0</v>
      </c>
      <c r="I35" s="2">
        <f t="shared" si="5"/>
        <v>34</v>
      </c>
      <c r="K35" s="2" t="s">
        <v>853</v>
      </c>
      <c r="L35" s="2" t="str">
        <f>IF(ISERROR(VLOOKUP($K35,'Calc-Drivers'!$B$17:$G$27,L$43,FALSE))," ",VLOOKUP($K35,'Calc-Drivers'!$B$17:$G$27,L$43,FALSE))</f>
        <v xml:space="preserve"> </v>
      </c>
      <c r="M35" s="2" t="str">
        <f>IF(ISERROR(VLOOKUP($K35,'Calc-Drivers'!$B$17:$G$27,M$43,FALSE))," ",VLOOKUP($K35,'Calc-Drivers'!$B$17:$G$27,M$43,FALSE))</f>
        <v xml:space="preserve"> </v>
      </c>
      <c r="N35" s="2" t="str">
        <f>IF(ISERROR(VLOOKUP($K35,'Calc-Drivers'!$B$17:$G$27,N$43,FALSE))," ",VLOOKUP($K35,'Calc-Drivers'!$B$17:$G$27,N$43,FALSE))</f>
        <v xml:space="preserve"> </v>
      </c>
      <c r="O35" s="2" t="str">
        <f>IF(ISERROR(VLOOKUP($K35,'Calc-Drivers'!$B$17:$G$27,O$43,FALSE))," ",VLOOKUP($K35,'Calc-Drivers'!$B$17:$G$27,O$43,FALSE))</f>
        <v xml:space="preserve"> </v>
      </c>
      <c r="P35" s="2" t="str">
        <f>IF(ISERROR(VLOOKUP($K35,'Calc-Drivers'!$B$17:$G$27,P$43,FALSE))," ",VLOOKUP($K35,'Calc-Drivers'!$B$17:$G$27,P$43,FALSE))</f>
        <v xml:space="preserve"> </v>
      </c>
      <c r="S35" s="2" t="str">
        <f t="shared" si="0"/>
        <v xml:space="preserve"> </v>
      </c>
      <c r="T35" s="2" t="str">
        <f t="shared" si="0"/>
        <v xml:space="preserve"> </v>
      </c>
      <c r="U35" s="2" t="str">
        <f t="shared" si="0"/>
        <v xml:space="preserve"> </v>
      </c>
      <c r="V35" s="2" t="str">
        <f t="shared" si="0"/>
        <v xml:space="preserve"> </v>
      </c>
      <c r="W35" s="2" t="str">
        <f t="shared" si="0"/>
        <v xml:space="preserve"> </v>
      </c>
      <c r="Z35" s="2" t="str">
        <f t="shared" si="1"/>
        <v xml:space="preserve"> </v>
      </c>
      <c r="AA35" s="2" t="str">
        <f t="shared" si="1"/>
        <v xml:space="preserve"> </v>
      </c>
      <c r="AB35" s="2" t="str">
        <f t="shared" si="1"/>
        <v xml:space="preserve"> </v>
      </c>
      <c r="AC35" s="2" t="str">
        <f t="shared" si="2"/>
        <v xml:space="preserve"> </v>
      </c>
      <c r="AD35" s="2" t="str">
        <f t="shared" si="2"/>
        <v xml:space="preserve"> </v>
      </c>
      <c r="AG35" s="2" t="str">
        <f>IF(ISERROR(Z35*100000000/'Calc-Units'!$E$23)," ",Z35*100000000/'Calc-Units'!$E$23)</f>
        <v xml:space="preserve"> </v>
      </c>
      <c r="AH35" s="2" t="str">
        <f>IF(ISERROR(AA35*100000000/'Calc-Units'!$D$23)," ",AA35*100000000/'Calc-Units'!$D$23)</f>
        <v xml:space="preserve"> </v>
      </c>
      <c r="AI35" s="2" t="str">
        <f>IF(ISERROR(AB35*100000000/'Calc-Units'!$C$23)," ",AB35*100000000/'Calc-Units'!$C$23)</f>
        <v xml:space="preserve"> </v>
      </c>
      <c r="AJ35" s="2" t="str">
        <f>IF(ISERROR(AC35*100000000/'Calc-Units'!$C$23)," ",AC35*100000000/'Calc-Units'!$C$23)</f>
        <v xml:space="preserve"> </v>
      </c>
      <c r="AL35" s="2">
        <v>0</v>
      </c>
      <c r="AM35" s="2">
        <f t="shared" si="3"/>
        <v>0</v>
      </c>
      <c r="AN35" s="2">
        <f t="shared" si="4"/>
        <v>34</v>
      </c>
      <c r="AQ35" s="2" t="str">
        <f t="shared" si="6"/>
        <v xml:space="preserve"> </v>
      </c>
      <c r="AR35" s="2" t="str">
        <f t="shared" si="6"/>
        <v xml:space="preserve"> </v>
      </c>
      <c r="AS35" s="2" t="str">
        <f t="shared" si="6"/>
        <v xml:space="preserve"> </v>
      </c>
      <c r="AT35" s="2" t="str">
        <f t="shared" si="6"/>
        <v xml:space="preserve"> </v>
      </c>
      <c r="AU35" s="2" t="str">
        <f t="shared" si="6"/>
        <v xml:space="preserve"> </v>
      </c>
      <c r="AX35" s="2" t="str">
        <f>IF(ISERROR(AQ35*100000000/'Calc-Units'!$E$23)," ",AQ35*100000000/'Calc-Units'!$E$23)</f>
        <v xml:space="preserve"> </v>
      </c>
      <c r="AY35" s="2" t="str">
        <f>IF(ISERROR(AR35*100000000/'Calc-Units'!$D$23)," ",AR35*100000000/'Calc-Units'!$D$23)</f>
        <v xml:space="preserve"> </v>
      </c>
      <c r="AZ35" s="2" t="str">
        <f>IF(ISERROR(AS35*100000000/'Calc-Units'!$C$23)," ",AS35*100000000/'Calc-Units'!$C$23)</f>
        <v xml:space="preserve"> </v>
      </c>
      <c r="BA35" s="2" t="str">
        <f>IF(ISERROR(AT35*100000000/'Calc-Units'!$C$23)," ",AT35*100000000/'Calc-Units'!$C$23)</f>
        <v xml:space="preserve"> </v>
      </c>
    </row>
    <row r="36" spans="3:53">
      <c r="C36" s="2" t="s">
        <v>537</v>
      </c>
      <c r="D36" s="2">
        <f>'RRP 1.3'!AG$12</f>
        <v>18.0171204</v>
      </c>
      <c r="E36" s="2">
        <v>0</v>
      </c>
      <c r="F36" s="2">
        <v>0</v>
      </c>
      <c r="G36" s="2">
        <v>0</v>
      </c>
      <c r="H36" s="2">
        <v>0</v>
      </c>
      <c r="I36" s="2">
        <f t="shared" si="5"/>
        <v>18.0171204</v>
      </c>
      <c r="K36" s="2" t="s">
        <v>853</v>
      </c>
      <c r="L36" s="2" t="str">
        <f>IF(ISERROR(VLOOKUP($K36,'Calc-Drivers'!$B$17:$G$27,L$43,FALSE))," ",VLOOKUP($K36,'Calc-Drivers'!$B$17:$G$27,L$43,FALSE))</f>
        <v xml:space="preserve"> </v>
      </c>
      <c r="M36" s="2" t="str">
        <f>IF(ISERROR(VLOOKUP($K36,'Calc-Drivers'!$B$17:$G$27,M$43,FALSE))," ",VLOOKUP($K36,'Calc-Drivers'!$B$17:$G$27,M$43,FALSE))</f>
        <v xml:space="preserve"> </v>
      </c>
      <c r="N36" s="2" t="str">
        <f>IF(ISERROR(VLOOKUP($K36,'Calc-Drivers'!$B$17:$G$27,N$43,FALSE))," ",VLOOKUP($K36,'Calc-Drivers'!$B$17:$G$27,N$43,FALSE))</f>
        <v xml:space="preserve"> </v>
      </c>
      <c r="O36" s="2" t="str">
        <f>IF(ISERROR(VLOOKUP($K36,'Calc-Drivers'!$B$17:$G$27,O$43,FALSE))," ",VLOOKUP($K36,'Calc-Drivers'!$B$17:$G$27,O$43,FALSE))</f>
        <v xml:space="preserve"> </v>
      </c>
      <c r="P36" s="2" t="str">
        <f>IF(ISERROR(VLOOKUP($K36,'Calc-Drivers'!$B$17:$G$27,P$43,FALSE))," ",VLOOKUP($K36,'Calc-Drivers'!$B$17:$G$27,P$43,FALSE))</f>
        <v xml:space="preserve"> </v>
      </c>
      <c r="S36" s="2" t="str">
        <f t="shared" si="0"/>
        <v xml:space="preserve"> </v>
      </c>
      <c r="T36" s="2" t="str">
        <f t="shared" si="0"/>
        <v xml:space="preserve"> </v>
      </c>
      <c r="U36" s="2" t="str">
        <f t="shared" si="0"/>
        <v xml:space="preserve"> </v>
      </c>
      <c r="V36" s="2" t="str">
        <f t="shared" si="0"/>
        <v xml:space="preserve"> </v>
      </c>
      <c r="W36" s="2" t="str">
        <f t="shared" si="0"/>
        <v xml:space="preserve"> </v>
      </c>
      <c r="Z36" s="2" t="str">
        <f t="shared" si="1"/>
        <v xml:space="preserve"> </v>
      </c>
      <c r="AA36" s="2" t="str">
        <f t="shared" si="1"/>
        <v xml:space="preserve"> </v>
      </c>
      <c r="AB36" s="2" t="str">
        <f t="shared" si="1"/>
        <v xml:space="preserve"> </v>
      </c>
      <c r="AC36" s="2" t="str">
        <f t="shared" si="2"/>
        <v xml:space="preserve"> </v>
      </c>
      <c r="AD36" s="2" t="str">
        <f t="shared" si="2"/>
        <v xml:space="preserve"> </v>
      </c>
      <c r="AG36" s="2" t="str">
        <f>IF(ISERROR(Z36*100000000/'Calc-Units'!$E$23)," ",Z36*100000000/'Calc-Units'!$E$23)</f>
        <v xml:space="preserve"> </v>
      </c>
      <c r="AH36" s="2" t="str">
        <f>IF(ISERROR(AA36*100000000/'Calc-Units'!$D$23)," ",AA36*100000000/'Calc-Units'!$D$23)</f>
        <v xml:space="preserve"> </v>
      </c>
      <c r="AI36" s="2" t="str">
        <f>IF(ISERROR(AB36*100000000/'Calc-Units'!$C$23)," ",AB36*100000000/'Calc-Units'!$C$23)</f>
        <v xml:space="preserve"> </v>
      </c>
      <c r="AJ36" s="2" t="str">
        <f>IF(ISERROR(AC36*100000000/'Calc-Units'!$C$23)," ",AC36*100000000/'Calc-Units'!$C$23)</f>
        <v xml:space="preserve"> </v>
      </c>
      <c r="AL36" s="2">
        <v>0</v>
      </c>
      <c r="AM36" s="2">
        <f t="shared" si="3"/>
        <v>0</v>
      </c>
      <c r="AN36" s="2">
        <f t="shared" si="4"/>
        <v>18.0171204</v>
      </c>
      <c r="AQ36" s="2" t="str">
        <f t="shared" si="6"/>
        <v xml:space="preserve"> </v>
      </c>
      <c r="AR36" s="2" t="str">
        <f t="shared" si="6"/>
        <v xml:space="preserve"> </v>
      </c>
      <c r="AS36" s="2" t="str">
        <f t="shared" si="6"/>
        <v xml:space="preserve"> </v>
      </c>
      <c r="AT36" s="2" t="str">
        <f t="shared" si="6"/>
        <v xml:space="preserve"> </v>
      </c>
      <c r="AU36" s="2" t="str">
        <f t="shared" si="6"/>
        <v xml:space="preserve"> </v>
      </c>
      <c r="AX36" s="2" t="str">
        <f>IF(ISERROR(AQ36*100000000/'Calc-Units'!$E$23)," ",AQ36*100000000/'Calc-Units'!$E$23)</f>
        <v xml:space="preserve"> </v>
      </c>
      <c r="AY36" s="2" t="str">
        <f>IF(ISERROR(AR36*100000000/'Calc-Units'!$D$23)," ",AR36*100000000/'Calc-Units'!$D$23)</f>
        <v xml:space="preserve"> </v>
      </c>
      <c r="AZ36" s="2" t="str">
        <f>IF(ISERROR(AS36*100000000/'Calc-Units'!$C$23)," ",AS36*100000000/'Calc-Units'!$C$23)</f>
        <v xml:space="preserve"> </v>
      </c>
      <c r="BA36" s="2" t="str">
        <f>IF(ISERROR(AT36*100000000/'Calc-Units'!$C$23)," ",AT36*100000000/'Calc-Units'!$C$23)</f>
        <v xml:space="preserve"> </v>
      </c>
    </row>
    <row r="37" spans="3:53">
      <c r="C37" s="2" t="s">
        <v>538</v>
      </c>
      <c r="D37" s="2">
        <f>'RRP 1.3'!AH$12</f>
        <v>5.1675739700000003</v>
      </c>
      <c r="E37" s="2">
        <v>0</v>
      </c>
      <c r="F37" s="2">
        <v>0</v>
      </c>
      <c r="G37" s="2">
        <v>0</v>
      </c>
      <c r="H37" s="2">
        <v>0</v>
      </c>
      <c r="I37" s="2">
        <f t="shared" si="5"/>
        <v>5.1675739700000003</v>
      </c>
      <c r="K37" s="2" t="s">
        <v>853</v>
      </c>
      <c r="L37" s="2" t="str">
        <f>IF(ISERROR(VLOOKUP($K37,'Calc-Drivers'!$B$17:$G$27,L$43,FALSE))," ",VLOOKUP($K37,'Calc-Drivers'!$B$17:$G$27,L$43,FALSE))</f>
        <v xml:space="preserve"> </v>
      </c>
      <c r="M37" s="2" t="str">
        <f>IF(ISERROR(VLOOKUP($K37,'Calc-Drivers'!$B$17:$G$27,M$43,FALSE))," ",VLOOKUP($K37,'Calc-Drivers'!$B$17:$G$27,M$43,FALSE))</f>
        <v xml:space="preserve"> </v>
      </c>
      <c r="N37" s="2" t="str">
        <f>IF(ISERROR(VLOOKUP($K37,'Calc-Drivers'!$B$17:$G$27,N$43,FALSE))," ",VLOOKUP($K37,'Calc-Drivers'!$B$17:$G$27,N$43,FALSE))</f>
        <v xml:space="preserve"> </v>
      </c>
      <c r="O37" s="2" t="str">
        <f>IF(ISERROR(VLOOKUP($K37,'Calc-Drivers'!$B$17:$G$27,O$43,FALSE))," ",VLOOKUP($K37,'Calc-Drivers'!$B$17:$G$27,O$43,FALSE))</f>
        <v xml:space="preserve"> </v>
      </c>
      <c r="P37" s="2" t="str">
        <f>IF(ISERROR(VLOOKUP($K37,'Calc-Drivers'!$B$17:$G$27,P$43,FALSE))," ",VLOOKUP($K37,'Calc-Drivers'!$B$17:$G$27,P$43,FALSE))</f>
        <v xml:space="preserve"> </v>
      </c>
      <c r="S37" s="2" t="str">
        <f t="shared" si="0"/>
        <v xml:space="preserve"> </v>
      </c>
      <c r="T37" s="2" t="str">
        <f t="shared" si="0"/>
        <v xml:space="preserve"> </v>
      </c>
      <c r="U37" s="2" t="str">
        <f t="shared" si="0"/>
        <v xml:space="preserve"> </v>
      </c>
      <c r="V37" s="2" t="str">
        <f t="shared" si="0"/>
        <v xml:space="preserve"> </v>
      </c>
      <c r="W37" s="2" t="str">
        <f t="shared" si="0"/>
        <v xml:space="preserve"> </v>
      </c>
      <c r="Z37" s="2" t="str">
        <f t="shared" si="1"/>
        <v xml:space="preserve"> </v>
      </c>
      <c r="AA37" s="2" t="str">
        <f t="shared" si="1"/>
        <v xml:space="preserve"> </v>
      </c>
      <c r="AB37" s="2" t="str">
        <f t="shared" si="1"/>
        <v xml:space="preserve"> </v>
      </c>
      <c r="AC37" s="2" t="str">
        <f t="shared" si="2"/>
        <v xml:space="preserve"> </v>
      </c>
      <c r="AD37" s="2" t="str">
        <f t="shared" si="2"/>
        <v xml:space="preserve"> </v>
      </c>
      <c r="AG37" s="2" t="str">
        <f>IF(ISERROR(Z37*100000000/'Calc-Units'!$E$23)," ",Z37*100000000/'Calc-Units'!$E$23)</f>
        <v xml:space="preserve"> </v>
      </c>
      <c r="AH37" s="2" t="str">
        <f>IF(ISERROR(AA37*100000000/'Calc-Units'!$D$23)," ",AA37*100000000/'Calc-Units'!$D$23)</f>
        <v xml:space="preserve"> </v>
      </c>
      <c r="AI37" s="2" t="str">
        <f>IF(ISERROR(AB37*100000000/'Calc-Units'!$C$23)," ",AB37*100000000/'Calc-Units'!$C$23)</f>
        <v xml:space="preserve"> </v>
      </c>
      <c r="AJ37" s="2" t="str">
        <f>IF(ISERROR(AC37*100000000/'Calc-Units'!$C$23)," ",AC37*100000000/'Calc-Units'!$C$23)</f>
        <v xml:space="preserve"> </v>
      </c>
      <c r="AL37" s="2">
        <v>0</v>
      </c>
      <c r="AM37" s="2">
        <f t="shared" si="3"/>
        <v>0</v>
      </c>
      <c r="AN37" s="2">
        <f t="shared" si="4"/>
        <v>5.1675739700000003</v>
      </c>
      <c r="AQ37" s="2" t="str">
        <f t="shared" si="6"/>
        <v xml:space="preserve"> </v>
      </c>
      <c r="AR37" s="2" t="str">
        <f t="shared" si="6"/>
        <v xml:space="preserve"> </v>
      </c>
      <c r="AS37" s="2" t="str">
        <f t="shared" si="6"/>
        <v xml:space="preserve"> </v>
      </c>
      <c r="AT37" s="2" t="str">
        <f t="shared" si="6"/>
        <v xml:space="preserve"> </v>
      </c>
      <c r="AU37" s="2" t="str">
        <f t="shared" si="6"/>
        <v xml:space="preserve"> </v>
      </c>
      <c r="AX37" s="2" t="str">
        <f>IF(ISERROR(AQ37*100000000/'Calc-Units'!$E$23)," ",AQ37*100000000/'Calc-Units'!$E$23)</f>
        <v xml:space="preserve"> </v>
      </c>
      <c r="AY37" s="2" t="str">
        <f>IF(ISERROR(AR37*100000000/'Calc-Units'!$D$23)," ",AR37*100000000/'Calc-Units'!$D$23)</f>
        <v xml:space="preserve"> </v>
      </c>
      <c r="AZ37" s="2" t="str">
        <f>IF(ISERROR(AS37*100000000/'Calc-Units'!$C$23)," ",AS37*100000000/'Calc-Units'!$C$23)</f>
        <v xml:space="preserve"> </v>
      </c>
      <c r="BA37" s="2" t="str">
        <f>IF(ISERROR(AT37*100000000/'Calc-Units'!$C$23)," ",AT37*100000000/'Calc-Units'!$C$23)</f>
        <v xml:space="preserve"> </v>
      </c>
    </row>
    <row r="38" spans="3:53">
      <c r="C38" s="2" t="s">
        <v>539</v>
      </c>
      <c r="D38" s="2">
        <f>'RRP 1.3'!AI$12</f>
        <v>0</v>
      </c>
      <c r="E38" s="2">
        <v>0</v>
      </c>
      <c r="F38" s="2">
        <v>0</v>
      </c>
      <c r="G38" s="2">
        <v>0</v>
      </c>
      <c r="H38" s="2">
        <v>0</v>
      </c>
      <c r="I38" s="2">
        <f t="shared" si="5"/>
        <v>0</v>
      </c>
      <c r="K38" s="2" t="s">
        <v>853</v>
      </c>
      <c r="L38" s="2" t="str">
        <f>IF(ISERROR(VLOOKUP($K38,'Calc-Drivers'!$B$17:$G$27,L$43,FALSE))," ",VLOOKUP($K38,'Calc-Drivers'!$B$17:$G$27,L$43,FALSE))</f>
        <v xml:space="preserve"> </v>
      </c>
      <c r="M38" s="2" t="str">
        <f>IF(ISERROR(VLOOKUP($K38,'Calc-Drivers'!$B$17:$G$27,M$43,FALSE))," ",VLOOKUP($K38,'Calc-Drivers'!$B$17:$G$27,M$43,FALSE))</f>
        <v xml:space="preserve"> </v>
      </c>
      <c r="N38" s="2" t="str">
        <f>IF(ISERROR(VLOOKUP($K38,'Calc-Drivers'!$B$17:$G$27,N$43,FALSE))," ",VLOOKUP($K38,'Calc-Drivers'!$B$17:$G$27,N$43,FALSE))</f>
        <v xml:space="preserve"> </v>
      </c>
      <c r="O38" s="2" t="str">
        <f>IF(ISERROR(VLOOKUP($K38,'Calc-Drivers'!$B$17:$G$27,O$43,FALSE))," ",VLOOKUP($K38,'Calc-Drivers'!$B$17:$G$27,O$43,FALSE))</f>
        <v xml:space="preserve"> </v>
      </c>
      <c r="P38" s="2" t="str">
        <f>IF(ISERROR(VLOOKUP($K38,'Calc-Drivers'!$B$17:$G$27,P$43,FALSE))," ",VLOOKUP($K38,'Calc-Drivers'!$B$17:$G$27,P$43,FALSE))</f>
        <v xml:space="preserve"> </v>
      </c>
      <c r="S38" s="2" t="str">
        <f t="shared" si="0"/>
        <v xml:space="preserve"> </v>
      </c>
      <c r="T38" s="2" t="str">
        <f t="shared" si="0"/>
        <v xml:space="preserve"> </v>
      </c>
      <c r="U38" s="2" t="str">
        <f t="shared" si="0"/>
        <v xml:space="preserve"> </v>
      </c>
      <c r="V38" s="2" t="str">
        <f t="shared" si="0"/>
        <v xml:space="preserve"> </v>
      </c>
      <c r="W38" s="2" t="str">
        <f t="shared" si="0"/>
        <v xml:space="preserve"> </v>
      </c>
      <c r="Z38" s="2" t="str">
        <f t="shared" si="1"/>
        <v xml:space="preserve"> </v>
      </c>
      <c r="AA38" s="2" t="str">
        <f t="shared" si="1"/>
        <v xml:space="preserve"> </v>
      </c>
      <c r="AB38" s="2" t="str">
        <f t="shared" si="1"/>
        <v xml:space="preserve"> </v>
      </c>
      <c r="AC38" s="2" t="str">
        <f t="shared" si="2"/>
        <v xml:space="preserve"> </v>
      </c>
      <c r="AD38" s="2" t="str">
        <f t="shared" si="2"/>
        <v xml:space="preserve"> </v>
      </c>
      <c r="AG38" s="2" t="str">
        <f>IF(ISERROR(Z38*100000000/'Calc-Units'!$E$23)," ",Z38*100000000/'Calc-Units'!$E$23)</f>
        <v xml:space="preserve"> </v>
      </c>
      <c r="AH38" s="2" t="str">
        <f>IF(ISERROR(AA38*100000000/'Calc-Units'!$D$23)," ",AA38*100000000/'Calc-Units'!$D$23)</f>
        <v xml:space="preserve"> </v>
      </c>
      <c r="AI38" s="2" t="str">
        <f>IF(ISERROR(AB38*100000000/'Calc-Units'!$C$23)," ",AB38*100000000/'Calc-Units'!$C$23)</f>
        <v xml:space="preserve"> </v>
      </c>
      <c r="AJ38" s="2" t="str">
        <f>IF(ISERROR(AC38*100000000/'Calc-Units'!$C$23)," ",AC38*100000000/'Calc-Units'!$C$23)</f>
        <v xml:space="preserve"> </v>
      </c>
      <c r="AL38" s="2">
        <v>0</v>
      </c>
      <c r="AM38" s="2">
        <f t="shared" si="3"/>
        <v>0</v>
      </c>
      <c r="AN38" s="2">
        <f t="shared" si="4"/>
        <v>0</v>
      </c>
      <c r="AQ38" s="2" t="str">
        <f t="shared" si="6"/>
        <v xml:space="preserve"> </v>
      </c>
      <c r="AR38" s="2" t="str">
        <f t="shared" si="6"/>
        <v xml:space="preserve"> </v>
      </c>
      <c r="AS38" s="2" t="str">
        <f t="shared" si="6"/>
        <v xml:space="preserve"> </v>
      </c>
      <c r="AT38" s="2" t="str">
        <f t="shared" si="6"/>
        <v xml:space="preserve"> </v>
      </c>
      <c r="AU38" s="2" t="str">
        <f t="shared" si="6"/>
        <v xml:space="preserve"> </v>
      </c>
      <c r="AX38" s="2" t="str">
        <f>IF(ISERROR(AQ38*100000000/'Calc-Units'!$E$23)," ",AQ38*100000000/'Calc-Units'!$E$23)</f>
        <v xml:space="preserve"> </v>
      </c>
      <c r="AY38" s="2" t="str">
        <f>IF(ISERROR(AR38*100000000/'Calc-Units'!$D$23)," ",AR38*100000000/'Calc-Units'!$D$23)</f>
        <v xml:space="preserve"> </v>
      </c>
      <c r="AZ38" s="2" t="str">
        <f>IF(ISERROR(AS38*100000000/'Calc-Units'!$C$23)," ",AS38*100000000/'Calc-Units'!$C$23)</f>
        <v xml:space="preserve"> </v>
      </c>
      <c r="BA38" s="2" t="str">
        <f>IF(ISERROR(AT38*100000000/'Calc-Units'!$C$23)," ",AT38*100000000/'Calc-Units'!$C$23)</f>
        <v xml:space="preserve"> </v>
      </c>
    </row>
    <row r="39" spans="3:53">
      <c r="C39" s="2" t="s">
        <v>540</v>
      </c>
      <c r="D39" s="2">
        <f>'RRP 1.3'!AJ$12</f>
        <v>-11.484694370000085</v>
      </c>
      <c r="E39" s="2">
        <v>0</v>
      </c>
      <c r="F39" s="2">
        <v>0</v>
      </c>
      <c r="G39" s="2">
        <v>0</v>
      </c>
      <c r="H39" s="2">
        <v>0</v>
      </c>
      <c r="I39" s="2">
        <f t="shared" si="5"/>
        <v>-11.484694370000085</v>
      </c>
      <c r="K39" s="2" t="s">
        <v>853</v>
      </c>
      <c r="L39" s="2" t="str">
        <f>IF(ISERROR(VLOOKUP($K39,'Calc-Drivers'!$B$17:$G$27,L$43,FALSE))," ",VLOOKUP($K39,'Calc-Drivers'!$B$17:$G$27,L$43,FALSE))</f>
        <v xml:space="preserve"> </v>
      </c>
      <c r="M39" s="2" t="str">
        <f>IF(ISERROR(VLOOKUP($K39,'Calc-Drivers'!$B$17:$G$27,M$43,FALSE))," ",VLOOKUP($K39,'Calc-Drivers'!$B$17:$G$27,M$43,FALSE))</f>
        <v xml:space="preserve"> </v>
      </c>
      <c r="N39" s="2" t="str">
        <f>IF(ISERROR(VLOOKUP($K39,'Calc-Drivers'!$B$17:$G$27,N$43,FALSE))," ",VLOOKUP($K39,'Calc-Drivers'!$B$17:$G$27,N$43,FALSE))</f>
        <v xml:space="preserve"> </v>
      </c>
      <c r="O39" s="2" t="str">
        <f>IF(ISERROR(VLOOKUP($K39,'Calc-Drivers'!$B$17:$G$27,O$43,FALSE))," ",VLOOKUP($K39,'Calc-Drivers'!$B$17:$G$27,O$43,FALSE))</f>
        <v xml:space="preserve"> </v>
      </c>
      <c r="P39" s="2" t="str">
        <f>IF(ISERROR(VLOOKUP($K39,'Calc-Drivers'!$B$17:$G$27,P$43,FALSE))," ",VLOOKUP($K39,'Calc-Drivers'!$B$17:$G$27,P$43,FALSE))</f>
        <v xml:space="preserve"> </v>
      </c>
      <c r="S39" s="2" t="str">
        <f t="shared" si="0"/>
        <v xml:space="preserve"> </v>
      </c>
      <c r="T39" s="2" t="str">
        <f t="shared" si="0"/>
        <v xml:space="preserve"> </v>
      </c>
      <c r="U39" s="2" t="str">
        <f t="shared" si="0"/>
        <v xml:space="preserve"> </v>
      </c>
      <c r="V39" s="2" t="str">
        <f t="shared" si="0"/>
        <v xml:space="preserve"> </v>
      </c>
      <c r="W39" s="2" t="str">
        <f t="shared" si="0"/>
        <v xml:space="preserve"> </v>
      </c>
      <c r="Z39" s="2" t="str">
        <f t="shared" si="1"/>
        <v xml:space="preserve"> </v>
      </c>
      <c r="AA39" s="2" t="str">
        <f t="shared" si="1"/>
        <v xml:space="preserve"> </v>
      </c>
      <c r="AB39" s="2" t="str">
        <f t="shared" si="1"/>
        <v xml:space="preserve"> </v>
      </c>
      <c r="AC39" s="2" t="str">
        <f t="shared" si="2"/>
        <v xml:space="preserve"> </v>
      </c>
      <c r="AD39" s="2" t="str">
        <f t="shared" si="2"/>
        <v xml:space="preserve"> </v>
      </c>
      <c r="AG39" s="2" t="str">
        <f>IF(ISERROR(Z39*100000000/'Calc-Units'!$E$23)," ",Z39*100000000/'Calc-Units'!$E$23)</f>
        <v xml:space="preserve"> </v>
      </c>
      <c r="AH39" s="2" t="str">
        <f>IF(ISERROR(AA39*100000000/'Calc-Units'!$D$23)," ",AA39*100000000/'Calc-Units'!$D$23)</f>
        <v xml:space="preserve"> </v>
      </c>
      <c r="AI39" s="2" t="str">
        <f>IF(ISERROR(AB39*100000000/'Calc-Units'!$C$23)," ",AB39*100000000/'Calc-Units'!$C$23)</f>
        <v xml:space="preserve"> </v>
      </c>
      <c r="AJ39" s="2" t="str">
        <f>IF(ISERROR(AC39*100000000/'Calc-Units'!$C$23)," ",AC39*100000000/'Calc-Units'!$C$23)</f>
        <v xml:space="preserve"> </v>
      </c>
      <c r="AL39" s="2">
        <v>0</v>
      </c>
      <c r="AM39" s="2">
        <f t="shared" si="3"/>
        <v>0</v>
      </c>
      <c r="AN39" s="2">
        <f t="shared" si="4"/>
        <v>-11.484694370000085</v>
      </c>
      <c r="AQ39" s="2" t="str">
        <f t="shared" si="6"/>
        <v xml:space="preserve"> </v>
      </c>
      <c r="AR39" s="2" t="str">
        <f t="shared" si="6"/>
        <v xml:space="preserve"> </v>
      </c>
      <c r="AS39" s="2" t="str">
        <f t="shared" si="6"/>
        <v xml:space="preserve"> </v>
      </c>
      <c r="AT39" s="2" t="str">
        <f t="shared" si="6"/>
        <v xml:space="preserve"> </v>
      </c>
      <c r="AU39" s="2" t="str">
        <f t="shared" si="6"/>
        <v xml:space="preserve"> </v>
      </c>
      <c r="AX39" s="2" t="str">
        <f>IF(ISERROR(AQ39*100000000/'Calc-Units'!$E$23)," ",AQ39*100000000/'Calc-Units'!$E$23)</f>
        <v xml:space="preserve"> </v>
      </c>
      <c r="AY39" s="2" t="str">
        <f>IF(ISERROR(AR39*100000000/'Calc-Units'!$D$23)," ",AR39*100000000/'Calc-Units'!$D$23)</f>
        <v xml:space="preserve"> </v>
      </c>
      <c r="AZ39" s="2" t="str">
        <f>IF(ISERROR(AS39*100000000/'Calc-Units'!$C$23)," ",AS39*100000000/'Calc-Units'!$C$23)</f>
        <v xml:space="preserve"> </v>
      </c>
      <c r="BA39" s="2" t="str">
        <f>IF(ISERROR(AT39*100000000/'Calc-Units'!$C$23)," ",AT39*100000000/'Calc-Units'!$C$23)</f>
        <v xml:space="preserve"> </v>
      </c>
    </row>
    <row r="40" spans="3:53">
      <c r="C40" s="2" t="s">
        <v>541</v>
      </c>
      <c r="D40" s="2">
        <f>SUM(D7:D39)</f>
        <v>240.69999999999996</v>
      </c>
      <c r="E40" s="2">
        <f>SUM(E7:E39)</f>
        <v>21.693330133479439</v>
      </c>
      <c r="F40" s="2">
        <f>SUM(F7:F39)</f>
        <v>21.479896112868506</v>
      </c>
      <c r="G40" s="2">
        <f>SUM(G7:G39)</f>
        <v>8.1000000000000014</v>
      </c>
      <c r="H40" s="2">
        <f>SUM(H7:H39)</f>
        <v>25.385916408148432</v>
      </c>
      <c r="I40" s="2">
        <f t="shared" si="5"/>
        <v>164.04085734550358</v>
      </c>
      <c r="R40" s="2" t="s">
        <v>200</v>
      </c>
      <c r="S40" s="2">
        <f>SUM(S7:S39)</f>
        <v>11.791098903412804</v>
      </c>
      <c r="T40" s="2">
        <f>SUM(T7:T39)</f>
        <v>13.790153335563019</v>
      </c>
      <c r="U40" s="2">
        <f>SUM(U7:U39)</f>
        <v>3.8592727432723906</v>
      </c>
      <c r="V40" s="2">
        <f>SUM(V7:V39)</f>
        <v>15.652834281741997</v>
      </c>
      <c r="Y40" s="2" t="s">
        <v>855</v>
      </c>
      <c r="Z40" s="2">
        <f>SUM(Z41:AD41)</f>
        <v>130.35000000000002</v>
      </c>
      <c r="AF40" s="2" t="s">
        <v>855</v>
      </c>
      <c r="AG40" s="2">
        <f>SUM(AG41:AJ41)</f>
        <v>0.85961051992219906</v>
      </c>
      <c r="AL40" s="2" t="s">
        <v>200</v>
      </c>
      <c r="AM40" s="2">
        <f>SUM(AM7:AM39)</f>
        <v>92.579170000000033</v>
      </c>
      <c r="AN40" s="2">
        <f>SUM(AN7:AN39)</f>
        <v>148.1208299999999</v>
      </c>
      <c r="AP40" s="2" t="s">
        <v>855</v>
      </c>
      <c r="AQ40" s="2">
        <f>SUM(AQ41:AU41)</f>
        <v>49.253760000000014</v>
      </c>
      <c r="AW40" s="2" t="s">
        <v>855</v>
      </c>
      <c r="AX40" s="2">
        <f>SUM(AX41:BA41)</f>
        <v>0.32074465754730036</v>
      </c>
    </row>
    <row r="41" spans="3:53" ht="20.25" customHeight="1">
      <c r="Y41" s="2" t="s">
        <v>856</v>
      </c>
      <c r="Z41" s="2">
        <f>SUM(Z7:Z39)</f>
        <v>33.484429036892237</v>
      </c>
      <c r="AA41" s="2">
        <f>SUM(AA7:AA39)</f>
        <v>35.270049448431521</v>
      </c>
      <c r="AB41" s="2">
        <f>SUM(AB7:AB39)</f>
        <v>11.959272743272392</v>
      </c>
      <c r="AC41" s="2">
        <f>SUM(AC7:AC39)</f>
        <v>32.038652697533792</v>
      </c>
      <c r="AD41" s="2">
        <f>SUM(AD7:AD39)</f>
        <v>17.597596073870065</v>
      </c>
      <c r="AF41" s="2" t="s">
        <v>856</v>
      </c>
      <c r="AG41" s="2">
        <f>SUM(AG7:AG39)</f>
        <v>0.2223743723592253</v>
      </c>
      <c r="AH41" s="2">
        <f>SUM(AH7:AH39)</f>
        <v>0.24212913138251382</v>
      </c>
      <c r="AI41" s="2">
        <f>SUM(AI7:AI39)</f>
        <v>0.10739580382351947</v>
      </c>
      <c r="AJ41" s="2">
        <f>SUM(AJ7:AJ39)</f>
        <v>0.28771121235694053</v>
      </c>
      <c r="AP41" s="2" t="s">
        <v>856</v>
      </c>
      <c r="AQ41" s="2">
        <f>SUM(AQ7:AQ39)</f>
        <v>9.3714676289124395</v>
      </c>
      <c r="AR41" s="2">
        <f>SUM(AR7:AR39)</f>
        <v>11.981046128394489</v>
      </c>
      <c r="AS41" s="2">
        <f>SUM(AS7:AS39)</f>
        <v>4.5641318118818859</v>
      </c>
      <c r="AT41" s="2">
        <f>SUM(AT7:AT39)</f>
        <v>15.063380547849107</v>
      </c>
      <c r="AU41" s="2">
        <f>SUM(AU7:AU39)</f>
        <v>8.273733882962091</v>
      </c>
      <c r="AW41" s="2" t="s">
        <v>856</v>
      </c>
      <c r="AX41" s="2">
        <f>SUM(AX7:AX39)</f>
        <v>6.223711414544756E-2</v>
      </c>
      <c r="AY41" s="2">
        <f>SUM(AY7:AY39)</f>
        <v>8.2249963850022173E-2</v>
      </c>
      <c r="AZ41" s="2">
        <f>SUM(AZ7:AZ39)</f>
        <v>4.0986489330573424E-2</v>
      </c>
      <c r="BA41" s="2">
        <f>SUM(BA7:BA39)</f>
        <v>0.13527109022125722</v>
      </c>
    </row>
    <row r="42" spans="3:53" ht="20.25" customHeight="1">
      <c r="Y42" s="2" t="s">
        <v>857</v>
      </c>
      <c r="Z42" s="2">
        <f>Z41/$Z$40</f>
        <v>0.2568809285530666</v>
      </c>
      <c r="AA42" s="2">
        <f>AA41/$Z$40</f>
        <v>0.27057958917093605</v>
      </c>
      <c r="AB42" s="2">
        <f>AB41/$Z$40</f>
        <v>9.1747393504199387E-2</v>
      </c>
      <c r="AC42" s="2">
        <f>AC41/$Z$40</f>
        <v>0.24578943381307086</v>
      </c>
      <c r="AD42" s="2">
        <f>AD41/$Z$40</f>
        <v>0.13500265495872699</v>
      </c>
      <c r="AF42" s="2" t="s">
        <v>857</v>
      </c>
      <c r="AG42" s="2">
        <f>AG41/$AG$40</f>
        <v>0.25869200900350986</v>
      </c>
      <c r="AH42" s="2">
        <f>AH41/$AG$40</f>
        <v>0.28167306677962511</v>
      </c>
      <c r="AI42" s="2">
        <f>AI41/$AG$40</f>
        <v>0.12493542288575013</v>
      </c>
      <c r="AJ42" s="2">
        <f>AJ41/$AG$40</f>
        <v>0.33469950133111503</v>
      </c>
      <c r="AP42" s="2" t="s">
        <v>857</v>
      </c>
      <c r="AQ42" s="2">
        <f>AQ41/$AQ$40</f>
        <v>0.19026908055166625</v>
      </c>
      <c r="AR42" s="2">
        <f>AR41/$AQ$40</f>
        <v>0.24325140107870924</v>
      </c>
      <c r="AS42" s="2">
        <f>AS41/$AQ$40</f>
        <v>9.2665652569101004E-2</v>
      </c>
      <c r="AT42" s="2">
        <f>AT41/$AQ$40</f>
        <v>0.30583209379038478</v>
      </c>
      <c r="AU42" s="2">
        <f>AU41/$AQ$40</f>
        <v>0.1679817720101387</v>
      </c>
      <c r="AW42" s="2" t="s">
        <v>857</v>
      </c>
      <c r="AX42" s="2">
        <f>AX41/$AX$40</f>
        <v>0.19403944128444112</v>
      </c>
      <c r="AY42" s="2">
        <f>AY41/$AX$40</f>
        <v>0.25643440012057794</v>
      </c>
      <c r="AZ42" s="2">
        <f>AZ41/$AX$40</f>
        <v>0.1277854154890456</v>
      </c>
      <c r="BA42" s="2">
        <f>BA41/$AX$40</f>
        <v>0.4217407431059354</v>
      </c>
    </row>
    <row r="43" spans="3:53">
      <c r="K43" s="2" t="s">
        <v>858</v>
      </c>
      <c r="L43" s="2">
        <v>6</v>
      </c>
      <c r="M43" s="2">
        <v>5</v>
      </c>
      <c r="N43" s="2">
        <v>4</v>
      </c>
      <c r="O43" s="2">
        <v>3</v>
      </c>
      <c r="P43" s="2">
        <v>2</v>
      </c>
      <c r="AQ43" s="2" t="s">
        <v>859</v>
      </c>
    </row>
    <row r="45" spans="3:53">
      <c r="Y45" s="2" t="s">
        <v>860</v>
      </c>
    </row>
    <row r="47" spans="3:53">
      <c r="Y47" s="2" t="s">
        <v>861</v>
      </c>
      <c r="Z47" s="2">
        <f>SUMIF(Z7:Z12,"&gt;0",Z7:Z12)+SUMIF(Z28:Z39,"&gt;0",Z28:Z39)</f>
        <v>25.095291660822948</v>
      </c>
      <c r="AA47" s="2">
        <f>SUMIF(AA7:AA12,"&gt;0",AA7:AA12)+SUMIF(AA28:AA39,"&gt;0",AA28:AA39)</f>
        <v>25.458623752085792</v>
      </c>
      <c r="AB47" s="2">
        <f>SUMIF(AB7:AB12,"&gt;0",AB7:AB12)+SUMIF(AB28:AB39,"&gt;0",AB28:AB39)</f>
        <v>9.2141324701854774</v>
      </c>
      <c r="AC47" s="2">
        <f>SUMIF(AC7:AC12,"&gt;0",AC7:AC12)+SUMIF(AC28:AC39,"&gt;0",AC28:AC39)</f>
        <v>20.901965761901927</v>
      </c>
      <c r="AD47" s="2">
        <f>SUMIF(AD7:AD12,"&gt;0",AD7:AD12)+SUMIF(AD28:AD39,"&gt;0",AD28:AD39)</f>
        <v>11.48064352456761</v>
      </c>
    </row>
    <row r="48" spans="3:53">
      <c r="Y48" s="2" t="s">
        <v>862</v>
      </c>
      <c r="Z48" s="2">
        <f>SUMIF(Z13:Z28,"&gt;0",Z13:Z28)</f>
        <v>8.3891373760692929</v>
      </c>
      <c r="AA48" s="2">
        <f>SUMIF(AA13:AA28,"&gt;0",AA13:AA28)</f>
        <v>9.8114256963457329</v>
      </c>
      <c r="AB48" s="2">
        <f>SUMIF(AB13:AB28,"&gt;0",AB13:AB28)</f>
        <v>2.7457974426506611</v>
      </c>
      <c r="AC48" s="2">
        <f>SUMIF(AC13:AC28,"&gt;0",AC13:AC28)</f>
        <v>11.136686935631865</v>
      </c>
      <c r="AD48" s="2">
        <f>SUMIF(AD13:AD28,"&gt;0",AD13:AD28)</f>
        <v>6.1169525493024555</v>
      </c>
    </row>
    <row r="49" spans="25:30">
      <c r="Y49" s="2" t="s">
        <v>863</v>
      </c>
      <c r="Z49" s="2">
        <f>Z47/(Z48+Z47)</f>
        <v>0.74946153727673348</v>
      </c>
      <c r="AA49" s="2">
        <f>AA47/(AA48+AA47)</f>
        <v>0.72181990527994433</v>
      </c>
      <c r="AB49" s="2">
        <f>AB47/(AB48+AB47)</f>
        <v>0.77041692863904654</v>
      </c>
      <c r="AC49" s="2">
        <f>AC47/(AC48+AC47)</f>
        <v>0.65239840012095385</v>
      </c>
      <c r="AD49" s="2">
        <f>AD47/(AD48+AD47)</f>
        <v>0.65239840012095385</v>
      </c>
    </row>
    <row r="50" spans="25:30">
      <c r="Y50" s="2" t="s">
        <v>864</v>
      </c>
      <c r="Z50" s="2">
        <f>Z48/(Z47+Z48)</f>
        <v>0.25053846272326663</v>
      </c>
      <c r="AA50" s="2">
        <f>AA48/(AA47+AA48)</f>
        <v>0.27818009472005584</v>
      </c>
      <c r="AB50" s="2">
        <f>AB48/(AB47+AB48)</f>
        <v>0.22958307136095346</v>
      </c>
      <c r="AC50" s="2">
        <f>AC48/(AC47+AC48)</f>
        <v>0.34760159987904615</v>
      </c>
      <c r="AD50" s="2">
        <f>AD48/(AD47+AD48)</f>
        <v>0.34760159987904615</v>
      </c>
    </row>
  </sheetData>
  <sheetProtection sheet="1" objects="1" scenarios="1"/>
  <phoneticPr fontId="1" type="noConversion"/>
  <pageMargins left="0.75" right="0.75" top="1" bottom="1" header="0.5" footer="0.5"/>
  <pageSetup paperSize="9" scale="1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rgb="FFFFFFC4"/>
    <pageSetUpPr fitToPage="1"/>
  </sheetPr>
  <dimension ref="A1:I27"/>
  <sheetViews>
    <sheetView showGridLines="0" workbookViewId="0"/>
  </sheetViews>
  <sheetFormatPr defaultColWidth="8.85546875" defaultRowHeight="15"/>
  <cols>
    <col min="1" max="1" width="8.85546875" style="2" customWidth="1"/>
    <col min="2" max="2" width="19.42578125" style="2" customWidth="1"/>
    <col min="3" max="8" width="12.140625" style="2" customWidth="1"/>
    <col min="9" max="9" width="43" style="2" customWidth="1"/>
    <col min="10" max="10" width="9.28515625" style="2" bestFit="1" customWidth="1"/>
    <col min="11" max="16384" width="8.85546875" style="2"/>
  </cols>
  <sheetData>
    <row r="1" spans="1:9" ht="19.5">
      <c r="A1" s="4" t="str">
        <f>"Calc-Drivers for Method M ("&amp;'Calc-Net capex'!B5&amp;") for "&amp;Inputs!B6&amp;" in "&amp;Inputs!C6&amp;"  Status: "&amp;Inputs!D6&amp;""</f>
        <v>Calc-Drivers for Method M (LR1) for South West in April 17  Status: Final</v>
      </c>
    </row>
    <row r="4" spans="1:9" ht="14.25" customHeight="1"/>
    <row r="5" spans="1:9" ht="14.25" customHeight="1"/>
    <row r="6" spans="1:9" ht="14.25" customHeight="1"/>
    <row r="7" spans="1:9" ht="14.25" customHeight="1"/>
    <row r="8" spans="1:9" ht="14.25" customHeight="1"/>
    <row r="9" spans="1:9" ht="14.25" customHeight="1"/>
    <row r="10" spans="1:9" ht="14.25" customHeight="1"/>
    <row r="11" spans="1:9" ht="14.25" customHeight="1"/>
    <row r="12" spans="1:9" ht="14.25" customHeight="1"/>
    <row r="14" spans="1:9">
      <c r="A14" s="2" t="s">
        <v>865</v>
      </c>
    </row>
    <row r="16" spans="1:9">
      <c r="B16" s="2" t="s">
        <v>866</v>
      </c>
      <c r="C16" s="2" t="s">
        <v>849</v>
      </c>
      <c r="D16" s="2" t="s">
        <v>441</v>
      </c>
      <c r="E16" s="2" t="s">
        <v>525</v>
      </c>
      <c r="F16" s="2" t="s">
        <v>223</v>
      </c>
      <c r="G16" s="2" t="s">
        <v>402</v>
      </c>
      <c r="H16" s="2" t="s">
        <v>200</v>
      </c>
      <c r="I16" s="2" t="s">
        <v>867</v>
      </c>
    </row>
    <row r="17" spans="2:9" ht="15" customHeight="1">
      <c r="B17" s="2" t="s">
        <v>868</v>
      </c>
      <c r="C17" s="2">
        <f>'Calc-Net capex'!H6*SUM('FBPQ NL1'!D10:M13)/SUM('FBPQ NL1'!D10:M16)</f>
        <v>7.4318608613495402E-2</v>
      </c>
      <c r="D17" s="2">
        <f>'Calc-Net capex'!H6*SUM('FBPQ NL1'!D14:M16)/SUM('FBPQ NL1'!D10:M16)</f>
        <v>0.19361361300852106</v>
      </c>
      <c r="E17" s="2">
        <f>'Calc-Net capex'!H7</f>
        <v>7.9349702057677052E-2</v>
      </c>
      <c r="F17" s="2">
        <f>'Calc-Net capex'!H8</f>
        <v>0.29952695149537589</v>
      </c>
      <c r="G17" s="2">
        <f>'Calc-Net capex'!H9+'Calc-Net capex'!H10</f>
        <v>0.35319112482493065</v>
      </c>
      <c r="I17" s="2" t="s">
        <v>869</v>
      </c>
    </row>
    <row r="18" spans="2:9" ht="15" customHeight="1">
      <c r="B18" s="2" t="s">
        <v>870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f t="shared" ref="H18:H27" si="0">SUM(C18:G18)</f>
        <v>1</v>
      </c>
      <c r="I18" s="2" t="s">
        <v>871</v>
      </c>
    </row>
    <row r="19" spans="2:9" ht="15" customHeight="1">
      <c r="B19" s="2" t="s">
        <v>872</v>
      </c>
      <c r="D19" s="2">
        <f>'RRP 5.1'!$G$64/'RRP 5.1'!$G$65</f>
        <v>0.42747977589579977</v>
      </c>
      <c r="E19" s="2">
        <v>0</v>
      </c>
      <c r="F19" s="2">
        <f>'RRP 5.1'!$G$63/'RRP 5.1'!$G$65</f>
        <v>0.4651311665535936</v>
      </c>
      <c r="G19" s="2">
        <f>('RRP 5.1'!$G$61+'RRP 5.1'!$G$62)/'RRP 5.1'!$G$65</f>
        <v>0.10738905755060671</v>
      </c>
      <c r="H19" s="2">
        <f t="shared" si="0"/>
        <v>1</v>
      </c>
      <c r="I19" s="2" t="s">
        <v>873</v>
      </c>
    </row>
    <row r="20" spans="2:9" ht="15" customHeight="1">
      <c r="B20" s="2" t="s">
        <v>874</v>
      </c>
      <c r="D20" s="2">
        <f>0/'RRP 5.1'!$G$73</f>
        <v>0</v>
      </c>
      <c r="E20" s="2">
        <v>0</v>
      </c>
      <c r="F20" s="2">
        <f>('RRP 5.1'!$G$71+'RRP 5.1'!$G$72)/'RRP 5.1'!$G$73</f>
        <v>0.99260036008942876</v>
      </c>
      <c r="G20" s="2">
        <f>('RRP 5.1'!$G$68+'RRP 5.1'!$G$69+'RRP 5.1'!$G$70)/'RRP 5.1'!$G$73</f>
        <v>7.399639910571197E-3</v>
      </c>
      <c r="H20" s="2">
        <f t="shared" si="0"/>
        <v>1</v>
      </c>
      <c r="I20" s="2" t="s">
        <v>873</v>
      </c>
    </row>
    <row r="21" spans="2:9" ht="15" customHeight="1">
      <c r="B21" s="2" t="s">
        <v>538</v>
      </c>
      <c r="D21" s="2">
        <v>0</v>
      </c>
      <c r="E21" s="2">
        <v>0</v>
      </c>
      <c r="F21" s="2">
        <v>0</v>
      </c>
      <c r="G21" s="2">
        <v>1</v>
      </c>
      <c r="H21" s="2">
        <f t="shared" si="0"/>
        <v>1</v>
      </c>
      <c r="I21" s="2" t="s">
        <v>871</v>
      </c>
    </row>
    <row r="22" spans="2:9" ht="15" customHeight="1">
      <c r="B22" s="2" t="s">
        <v>851</v>
      </c>
      <c r="C22" s="2">
        <f>'Calc-MEAV'!H6*(('Data-MEAV'!I21+'Data-MEAV'!I30)/'Calc-MEAV'!G6)</f>
        <v>0.16012964788749887</v>
      </c>
      <c r="D22" s="2">
        <f>'Calc-MEAV'!H6*(('Calc-MEAV'!G6-'Data-MEAV'!I21-'Data-MEAV'!I30)/'Calc-MEAV'!G6)</f>
        <v>0.29153630721549384</v>
      </c>
      <c r="E22" s="2">
        <f>'Calc-MEAV'!H7</f>
        <v>7.187951420551468E-2</v>
      </c>
      <c r="F22" s="2">
        <f>'Calc-MEAV'!H8</f>
        <v>0.25684360461638045</v>
      </c>
      <c r="G22" s="2">
        <f>'Calc-MEAV'!H9+'Calc-MEAV'!H10</f>
        <v>0.2196109260751124</v>
      </c>
      <c r="H22" s="2">
        <f t="shared" si="0"/>
        <v>1.0000000000000002</v>
      </c>
      <c r="I22" s="2" t="s">
        <v>875</v>
      </c>
    </row>
    <row r="23" spans="2:9" ht="15" customHeight="1"/>
    <row r="24" spans="2:9" ht="15" customHeight="1"/>
    <row r="25" spans="2:9" ht="15" customHeight="1">
      <c r="B25" s="2" t="s">
        <v>876</v>
      </c>
      <c r="D25" s="2">
        <v>0</v>
      </c>
      <c r="E25" s="2">
        <v>0</v>
      </c>
      <c r="F25" s="2">
        <v>0</v>
      </c>
      <c r="G25" s="2">
        <v>1</v>
      </c>
      <c r="H25" s="2">
        <f t="shared" si="0"/>
        <v>1</v>
      </c>
      <c r="I25" s="2" t="s">
        <v>871</v>
      </c>
    </row>
    <row r="26" spans="2:9" ht="15" customHeight="1">
      <c r="B26" s="2" t="s">
        <v>877</v>
      </c>
      <c r="D26" s="2">
        <v>1</v>
      </c>
      <c r="E26" s="2">
        <v>0</v>
      </c>
      <c r="F26" s="2">
        <v>0</v>
      </c>
      <c r="G26" s="2">
        <v>0</v>
      </c>
      <c r="H26" s="2">
        <f t="shared" si="0"/>
        <v>1</v>
      </c>
      <c r="I26" s="2" t="s">
        <v>871</v>
      </c>
    </row>
    <row r="27" spans="2:9" ht="15" customHeight="1">
      <c r="B27" s="2" t="s">
        <v>878</v>
      </c>
      <c r="D27" s="2">
        <v>0</v>
      </c>
      <c r="E27" s="2">
        <v>0</v>
      </c>
      <c r="F27" s="2">
        <v>1</v>
      </c>
      <c r="G27" s="2">
        <v>0</v>
      </c>
      <c r="H27" s="2">
        <f t="shared" si="0"/>
        <v>1</v>
      </c>
      <c r="I27" s="2" t="s">
        <v>871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FFFFC4"/>
    <pageSetUpPr fitToPage="1"/>
  </sheetPr>
  <dimension ref="A1:S83"/>
  <sheetViews>
    <sheetView showGridLines="0" workbookViewId="0"/>
  </sheetViews>
  <sheetFormatPr defaultColWidth="8.85546875" defaultRowHeight="15"/>
  <cols>
    <col min="1" max="1" width="8.85546875" style="2" customWidth="1"/>
    <col min="2" max="2" width="32" style="2" customWidth="1"/>
    <col min="3" max="3" width="8.85546875" style="2" customWidth="1"/>
    <col min="4" max="4" width="18.7109375" style="2" customWidth="1"/>
    <col min="5" max="8" width="8.85546875" style="2" customWidth="1"/>
    <col min="9" max="9" width="12" style="2" customWidth="1"/>
    <col min="10" max="10" width="9.7109375" style="2" customWidth="1"/>
    <col min="11" max="11" width="8.85546875" style="2" customWidth="1"/>
    <col min="12" max="12" width="12.85546875" style="2" customWidth="1"/>
    <col min="13" max="13" width="14.85546875" style="2" customWidth="1"/>
    <col min="14" max="15" width="12.85546875" style="2" customWidth="1"/>
    <col min="16" max="16" width="9.28515625" style="2" bestFit="1" customWidth="1"/>
    <col min="17" max="17" width="8.85546875" style="2" customWidth="1"/>
    <col min="18" max="18" width="9.28515625" style="2" bestFit="1" customWidth="1"/>
    <col min="19" max="19" width="10.42578125" style="2" bestFit="1" customWidth="1"/>
    <col min="20" max="40" width="8.85546875" style="2" customWidth="1"/>
    <col min="41" max="44" width="10.28515625" style="2" bestFit="1" customWidth="1"/>
    <col min="45" max="45" width="9.42578125" style="2" bestFit="1" customWidth="1"/>
    <col min="46" max="16384" width="8.85546875" style="2"/>
  </cols>
  <sheetData>
    <row r="1" spans="1:19" ht="19.5">
      <c r="A1" s="4" t="str">
        <f>"Calc-Allocation for Method M ("&amp;'Calc-Net capex'!B5&amp;") for "&amp;Inputs!B6&amp;" in "&amp;Inputs!C6&amp;"  Status: "&amp;Inputs!D6&amp;""</f>
        <v>Calc-Allocation for Method M (LR1) for South West in April 17  Status: Final</v>
      </c>
    </row>
    <row r="3" spans="1:19">
      <c r="A3" s="2" t="s">
        <v>879</v>
      </c>
    </row>
    <row r="6" spans="1:19">
      <c r="B6" s="2" t="s">
        <v>880</v>
      </c>
      <c r="L6" s="2" t="s">
        <v>881</v>
      </c>
    </row>
    <row r="8" spans="1:19">
      <c r="D8" s="2" t="s">
        <v>79</v>
      </c>
      <c r="E8" s="2" t="s">
        <v>80</v>
      </c>
      <c r="G8" s="2" t="s">
        <v>81</v>
      </c>
      <c r="H8" s="2" t="s">
        <v>82</v>
      </c>
      <c r="I8" s="2" t="s">
        <v>44</v>
      </c>
      <c r="O8" s="2" t="s">
        <v>79</v>
      </c>
      <c r="P8" s="2" t="s">
        <v>80</v>
      </c>
      <c r="Q8" s="2" t="s">
        <v>81</v>
      </c>
      <c r="R8" s="2" t="s">
        <v>82</v>
      </c>
      <c r="S8" s="2" t="s">
        <v>44</v>
      </c>
    </row>
    <row r="9" spans="1:19">
      <c r="L9" s="2" t="s">
        <v>46</v>
      </c>
      <c r="O9" s="2">
        <f>'Allowed revenue -DPCR4'!D3</f>
        <v>695.6</v>
      </c>
      <c r="P9" s="2">
        <f>'Allowed revenue -DPCR4'!E3</f>
        <v>717.4</v>
      </c>
      <c r="Q9" s="2">
        <f>'Allowed revenue -DPCR4'!F3</f>
        <v>734</v>
      </c>
      <c r="R9" s="2">
        <f>'Allowed revenue -DPCR4'!G3</f>
        <v>747</v>
      </c>
      <c r="S9" s="2">
        <f>'Allowed revenue -DPCR4'!H3</f>
        <v>756.3</v>
      </c>
    </row>
    <row r="10" spans="1:19">
      <c r="B10" s="2" t="s">
        <v>882</v>
      </c>
      <c r="D10" s="2">
        <f>O35</f>
        <v>175.5943029626859</v>
      </c>
      <c r="E10" s="2">
        <f>P35</f>
        <v>177.87702890120079</v>
      </c>
      <c r="G10" s="2">
        <f>Q35</f>
        <v>180.33534914267841</v>
      </c>
      <c r="H10" s="2">
        <f>R35</f>
        <v>182.26688647526797</v>
      </c>
      <c r="I10" s="2">
        <f>S35</f>
        <v>184.54961241378288</v>
      </c>
      <c r="L10" s="2" t="s">
        <v>48</v>
      </c>
      <c r="O10" s="2">
        <f>'Allowed revenue -DPCR4'!D4</f>
        <v>72.099999999999994</v>
      </c>
      <c r="P10" s="2">
        <f>'Allowed revenue -DPCR4'!E4</f>
        <v>72.099999999999994</v>
      </c>
      <c r="Q10" s="2">
        <f>'Allowed revenue -DPCR4'!F4</f>
        <v>72.099999999999994</v>
      </c>
      <c r="R10" s="2">
        <f>'Allowed revenue -DPCR4'!G4</f>
        <v>72.099999999999994</v>
      </c>
      <c r="S10" s="2">
        <f>'Allowed revenue -DPCR4'!H4</f>
        <v>72.099999999999994</v>
      </c>
    </row>
    <row r="11" spans="1:19">
      <c r="L11" s="2" t="s">
        <v>49</v>
      </c>
      <c r="O11" s="2">
        <f>'Allowed revenue -DPCR4'!D5</f>
        <v>-50.3</v>
      </c>
      <c r="P11" s="2">
        <f>'Allowed revenue -DPCR4'!E5</f>
        <v>-55.5</v>
      </c>
      <c r="Q11" s="2">
        <f>'Allowed revenue -DPCR4'!F5</f>
        <v>-59.1</v>
      </c>
      <c r="R11" s="2">
        <f>'Allowed revenue -DPCR4'!G5</f>
        <v>-62.7</v>
      </c>
      <c r="S11" s="2">
        <f>'Allowed revenue -DPCR4'!H5</f>
        <v>-66.3</v>
      </c>
    </row>
    <row r="12" spans="1:19">
      <c r="B12" s="2" t="s">
        <v>883</v>
      </c>
      <c r="D12" s="2">
        <f>O16+(1-0.577)*O18</f>
        <v>59.291200000000003</v>
      </c>
      <c r="E12" s="2">
        <f>P16+(1-0.577)*P18</f>
        <v>61.375800000000005</v>
      </c>
      <c r="G12" s="2">
        <f>Q16+(1-0.577)*Q18</f>
        <v>62.260400000000004</v>
      </c>
      <c r="H12" s="2">
        <f>R16+(1-0.577)*R18</f>
        <v>61.844999999999999</v>
      </c>
      <c r="I12" s="2">
        <f>S16+(1-0.577)*S18</f>
        <v>61.529600000000002</v>
      </c>
      <c r="L12" s="2" t="s">
        <v>50</v>
      </c>
      <c r="O12" s="2">
        <f>'Allowed revenue -DPCR4'!D6</f>
        <v>717.4</v>
      </c>
      <c r="P12" s="2">
        <f>'Allowed revenue -DPCR4'!E6</f>
        <v>734</v>
      </c>
      <c r="Q12" s="2">
        <f>'Allowed revenue -DPCR4'!F6</f>
        <v>747</v>
      </c>
      <c r="R12" s="2">
        <f>'Allowed revenue -DPCR4'!G6</f>
        <v>756.3</v>
      </c>
      <c r="S12" s="2">
        <f>'Allowed revenue -DPCR4'!H6</f>
        <v>762.1</v>
      </c>
    </row>
    <row r="13" spans="1:19">
      <c r="B13" s="2" t="s">
        <v>884</v>
      </c>
      <c r="D13" s="2">
        <f>O22</f>
        <v>1.7</v>
      </c>
      <c r="E13" s="2">
        <f>P22</f>
        <v>1.7</v>
      </c>
      <c r="F13" s="2">
        <f>Q22</f>
        <v>1.7</v>
      </c>
      <c r="G13" s="2">
        <f>Q22</f>
        <v>1.7</v>
      </c>
      <c r="H13" s="2">
        <f>R22</f>
        <v>1.7</v>
      </c>
      <c r="I13" s="2">
        <f>S22</f>
        <v>1.7</v>
      </c>
      <c r="L13" s="2" t="s">
        <v>885</v>
      </c>
      <c r="O13" s="2">
        <f>'Allowed revenue -DPCR4'!D7</f>
        <v>695.6</v>
      </c>
      <c r="Q13" s="2" t="str">
        <f>'Allowed revenue -DPCR4'!F7</f>
        <v xml:space="preserve"> </v>
      </c>
      <c r="S13" s="2">
        <f>'Allowed revenue -DPCR4'!H7</f>
        <v>581.79999999999995</v>
      </c>
    </row>
    <row r="14" spans="1:19">
      <c r="B14" s="2" t="s">
        <v>62</v>
      </c>
      <c r="D14" s="2">
        <f>O23</f>
        <v>1.6</v>
      </c>
      <c r="L14" s="2" t="s">
        <v>65</v>
      </c>
      <c r="P14" s="2" t="str">
        <f>'Allowed revenue -DPCR4'!E8</f>
        <v xml:space="preserve"> </v>
      </c>
      <c r="S14" s="2">
        <f>'Allowed revenue -DPCR4'!H8</f>
        <v>113.7</v>
      </c>
    </row>
    <row r="15" spans="1:19">
      <c r="B15" s="2" t="s">
        <v>886</v>
      </c>
      <c r="D15" s="2">
        <f>SUM(D12:D14)</f>
        <v>62.591200000000008</v>
      </c>
      <c r="E15" s="2">
        <f>SUM(E12:E14)</f>
        <v>63.075800000000008</v>
      </c>
      <c r="G15" s="2">
        <f>SUM(G12:G14)</f>
        <v>63.960400000000007</v>
      </c>
      <c r="H15" s="2">
        <f>SUM(H12:H14)</f>
        <v>63.545000000000002</v>
      </c>
      <c r="I15" s="2">
        <f>SUM(I12:I14)</f>
        <v>63.229600000000005</v>
      </c>
    </row>
    <row r="16" spans="1:19">
      <c r="L16" s="2" t="s">
        <v>887</v>
      </c>
      <c r="O16" s="2">
        <f>'Allowed revenue -DPCR4'!D10</f>
        <v>53.2</v>
      </c>
      <c r="P16" s="2">
        <f>'Allowed revenue -DPCR4'!E10</f>
        <v>55.2</v>
      </c>
      <c r="Q16" s="2">
        <f>'Allowed revenue -DPCR4'!F10</f>
        <v>56</v>
      </c>
      <c r="R16" s="2">
        <f>'Allowed revenue -DPCR4'!G10</f>
        <v>55.5</v>
      </c>
      <c r="S16" s="2">
        <f>'Allowed revenue -DPCR4'!H10</f>
        <v>55.1</v>
      </c>
    </row>
    <row r="17" spans="2:19">
      <c r="B17" s="2" t="s">
        <v>888</v>
      </c>
      <c r="L17" s="2" t="s">
        <v>889</v>
      </c>
      <c r="O17" s="2">
        <f>'Allowed revenue -DPCR4'!D11</f>
        <v>63.8</v>
      </c>
      <c r="P17" s="2">
        <f>'Allowed revenue -DPCR4'!E11</f>
        <v>63.7</v>
      </c>
      <c r="Q17" s="2">
        <f>'Allowed revenue -DPCR4'!F11</f>
        <v>63.5</v>
      </c>
      <c r="R17" s="2">
        <f>'Allowed revenue -DPCR4'!G11</f>
        <v>63.4</v>
      </c>
      <c r="S17" s="2">
        <f>'Allowed revenue -DPCR4'!H11</f>
        <v>63.3</v>
      </c>
    </row>
    <row r="18" spans="2:19">
      <c r="B18" s="2" t="s">
        <v>49</v>
      </c>
      <c r="D18" s="2">
        <f>-O11</f>
        <v>50.3</v>
      </c>
      <c r="E18" s="2">
        <f>-P11</f>
        <v>55.5</v>
      </c>
      <c r="G18" s="2">
        <f>-Q11</f>
        <v>59.1</v>
      </c>
      <c r="H18" s="2">
        <f>-R11</f>
        <v>62.7</v>
      </c>
      <c r="I18" s="2">
        <f>-S11</f>
        <v>66.3</v>
      </c>
      <c r="L18" s="2" t="s">
        <v>890</v>
      </c>
      <c r="O18" s="2">
        <f>'Allowed revenue -DPCR4'!D12</f>
        <v>14.4</v>
      </c>
      <c r="P18" s="2">
        <f>'Allowed revenue -DPCR4'!E12</f>
        <v>14.6</v>
      </c>
      <c r="Q18" s="2">
        <f>'Allowed revenue -DPCR4'!F12</f>
        <v>14.8</v>
      </c>
      <c r="R18" s="2">
        <f>'Allowed revenue -DPCR4'!G12</f>
        <v>15</v>
      </c>
      <c r="S18" s="2">
        <f>'Allowed revenue -DPCR4'!H12</f>
        <v>15.2</v>
      </c>
    </row>
    <row r="19" spans="2:19">
      <c r="B19" s="2" t="s">
        <v>57</v>
      </c>
      <c r="D19" s="2">
        <f t="shared" ref="D19:E21" si="0">O19</f>
        <v>15.8</v>
      </c>
      <c r="E19" s="2">
        <f t="shared" si="0"/>
        <v>16.399999999999999</v>
      </c>
      <c r="G19" s="2">
        <f t="shared" ref="G19:I21" si="1">Q19</f>
        <v>17.100000000000001</v>
      </c>
      <c r="H19" s="2">
        <f t="shared" si="1"/>
        <v>17.8</v>
      </c>
      <c r="I19" s="2">
        <f t="shared" si="1"/>
        <v>18.600000000000001</v>
      </c>
      <c r="L19" s="2" t="s">
        <v>57</v>
      </c>
      <c r="O19" s="2">
        <f>'Allowed revenue -DPCR4'!D13</f>
        <v>15.8</v>
      </c>
      <c r="P19" s="2">
        <f>'Allowed revenue -DPCR4'!E13</f>
        <v>16.399999999999999</v>
      </c>
      <c r="Q19" s="2">
        <f>'Allowed revenue -DPCR4'!F13</f>
        <v>17.100000000000001</v>
      </c>
      <c r="R19" s="2">
        <f>'Allowed revenue -DPCR4'!G13</f>
        <v>17.8</v>
      </c>
      <c r="S19" s="2">
        <f>'Allowed revenue -DPCR4'!H13</f>
        <v>18.600000000000001</v>
      </c>
    </row>
    <row r="20" spans="2:19">
      <c r="B20" s="2" t="s">
        <v>891</v>
      </c>
      <c r="D20" s="2">
        <f t="shared" si="0"/>
        <v>4.5</v>
      </c>
      <c r="E20" s="2">
        <f t="shared" si="0"/>
        <v>4.0999999999999996</v>
      </c>
      <c r="G20" s="2">
        <f t="shared" si="1"/>
        <v>2.8</v>
      </c>
      <c r="H20" s="2">
        <f t="shared" si="1"/>
        <v>1.8</v>
      </c>
      <c r="I20" s="2">
        <f t="shared" si="1"/>
        <v>0.9</v>
      </c>
      <c r="L20" s="2" t="s">
        <v>892</v>
      </c>
      <c r="O20" s="2">
        <f>'Allowed revenue -DPCR4'!D14</f>
        <v>4.5</v>
      </c>
      <c r="P20" s="2">
        <f>'Allowed revenue -DPCR4'!E14</f>
        <v>4.0999999999999996</v>
      </c>
      <c r="Q20" s="2">
        <f>'Allowed revenue -DPCR4'!F14</f>
        <v>2.8</v>
      </c>
      <c r="R20" s="2">
        <f>'Allowed revenue -DPCR4'!G14</f>
        <v>1.8</v>
      </c>
      <c r="S20" s="2">
        <f>'Allowed revenue -DPCR4'!H14</f>
        <v>0.9</v>
      </c>
    </row>
    <row r="21" spans="2:19">
      <c r="B21" s="2" t="s">
        <v>893</v>
      </c>
      <c r="D21" s="2">
        <f t="shared" si="0"/>
        <v>1.4</v>
      </c>
      <c r="E21" s="2">
        <f t="shared" si="0"/>
        <v>1.5</v>
      </c>
      <c r="G21" s="2">
        <f t="shared" si="1"/>
        <v>1.5</v>
      </c>
      <c r="H21" s="2">
        <f t="shared" si="1"/>
        <v>1.5</v>
      </c>
      <c r="I21" s="2">
        <f t="shared" si="1"/>
        <v>1.5</v>
      </c>
      <c r="L21" s="2" t="s">
        <v>894</v>
      </c>
      <c r="O21" s="2">
        <f>'Allowed revenue -DPCR4'!D15</f>
        <v>1.4</v>
      </c>
      <c r="P21" s="2">
        <f>'Allowed revenue -DPCR4'!E15</f>
        <v>1.5</v>
      </c>
      <c r="Q21" s="2">
        <f>'Allowed revenue -DPCR4'!F15</f>
        <v>1.5</v>
      </c>
      <c r="R21" s="2">
        <f>'Allowed revenue -DPCR4'!G15</f>
        <v>1.5</v>
      </c>
      <c r="S21" s="2">
        <f>'Allowed revenue -DPCR4'!H15</f>
        <v>1.5</v>
      </c>
    </row>
    <row r="22" spans="2:19">
      <c r="B22" s="2" t="s">
        <v>895</v>
      </c>
      <c r="D22" s="2">
        <f>D10-D15-D18-D19-D20-D21</f>
        <v>41.003102962685894</v>
      </c>
      <c r="E22" s="2">
        <f>E10-E15-E18-E19-E20-E21</f>
        <v>37.301228901200773</v>
      </c>
      <c r="G22" s="2">
        <f>G10-G15-G18-G19-G20-G21</f>
        <v>35.874949142678403</v>
      </c>
      <c r="H22" s="2">
        <f>H10-H15-H18-H19-H20-H21</f>
        <v>34.921886475267968</v>
      </c>
      <c r="I22" s="2">
        <f>I10-I15-I18-I19-I20-I21</f>
        <v>34.020012413782879</v>
      </c>
      <c r="L22" s="2" t="s">
        <v>896</v>
      </c>
      <c r="O22" s="2">
        <f>IF(ISNUMBER('Allowed revenue -DPCR4'!D16+'Allowed revenue -DPCR4'!D17),'Allowed revenue -DPCR4'!D16+'Allowed revenue -DPCR4'!D17,"")</f>
        <v>1.7</v>
      </c>
      <c r="P22" s="2">
        <f>IF(ISNUMBER('Allowed revenue -DPCR4'!E16+'Allowed revenue -DPCR4'!E17),'Allowed revenue -DPCR4'!E16+'Allowed revenue -DPCR4'!E17,"")</f>
        <v>1.7</v>
      </c>
      <c r="Q22" s="2">
        <f>IF(ISNUMBER('Allowed revenue -DPCR4'!F16+'Allowed revenue -DPCR4'!F17),'Allowed revenue -DPCR4'!F16+'Allowed revenue -DPCR4'!F17,"")</f>
        <v>1.7</v>
      </c>
      <c r="R22" s="2">
        <f>IF(ISNUMBER('Allowed revenue -DPCR4'!G16+'Allowed revenue -DPCR4'!G17),'Allowed revenue -DPCR4'!G16+'Allowed revenue -DPCR4'!G17,"")</f>
        <v>1.7</v>
      </c>
      <c r="S22" s="2">
        <f>IF(ISNUMBER('Allowed revenue -DPCR4'!H16+'Allowed revenue -DPCR4'!H17),'Allowed revenue -DPCR4'!H16+'Allowed revenue -DPCR4'!H17,"")</f>
        <v>1.7</v>
      </c>
    </row>
    <row r="23" spans="2:19">
      <c r="B23" s="2" t="s">
        <v>897</v>
      </c>
      <c r="D23" s="2">
        <f>SUM(D18:D22)</f>
        <v>113.00310296268589</v>
      </c>
      <c r="E23" s="2">
        <f>SUM(E18:E22)</f>
        <v>114.80122890120077</v>
      </c>
      <c r="G23" s="2">
        <f>SUM(G18:G22)</f>
        <v>116.3749491426784</v>
      </c>
      <c r="H23" s="2">
        <f>SUM(H18:H22)</f>
        <v>118.72188647526797</v>
      </c>
      <c r="I23" s="2">
        <f>SUM(I18:I22)</f>
        <v>121.32001241378289</v>
      </c>
      <c r="L23" s="2" t="s">
        <v>62</v>
      </c>
      <c r="O23" s="2">
        <f>'Allowed revenue -DPCR4'!D18</f>
        <v>1.6</v>
      </c>
      <c r="P23" s="2">
        <f>'Allowed revenue -DPCR4'!E18</f>
        <v>0</v>
      </c>
      <c r="Q23" s="2">
        <f>'Allowed revenue -DPCR4'!F18</f>
        <v>0</v>
      </c>
      <c r="R23" s="2">
        <f>'Allowed revenue -DPCR4'!G18</f>
        <v>0</v>
      </c>
      <c r="S23" s="2">
        <f>'Allowed revenue -DPCR4'!H18</f>
        <v>0</v>
      </c>
    </row>
    <row r="24" spans="2:19">
      <c r="B24" s="2" t="s">
        <v>898</v>
      </c>
      <c r="D24" s="2">
        <f>D23-D18</f>
        <v>62.70310296268589</v>
      </c>
      <c r="E24" s="2">
        <f>E23-E18</f>
        <v>59.301228901200773</v>
      </c>
      <c r="G24" s="2">
        <f>G23-G18</f>
        <v>57.274949142678402</v>
      </c>
      <c r="H24" s="2">
        <f>H23-H18</f>
        <v>56.021886475267962</v>
      </c>
      <c r="I24" s="2">
        <f>I23-I18</f>
        <v>55.020012413782894</v>
      </c>
      <c r="L24" s="2" t="s">
        <v>63</v>
      </c>
      <c r="O24" s="2">
        <f>'Allowed revenue -DPCR4'!D19</f>
        <v>156.5</v>
      </c>
      <c r="P24" s="2">
        <f>'Allowed revenue -DPCR4'!E19</f>
        <v>157.19999999999999</v>
      </c>
      <c r="Q24" s="2">
        <f>'Allowed revenue -DPCR4'!F19</f>
        <v>157.4</v>
      </c>
      <c r="R24" s="2">
        <f>'Allowed revenue -DPCR4'!G19</f>
        <v>156.80000000000001</v>
      </c>
      <c r="S24" s="2">
        <f>'Allowed revenue -DPCR4'!H19</f>
        <v>156.30000000000001</v>
      </c>
    </row>
    <row r="25" spans="2:19">
      <c r="L25" s="2" t="s">
        <v>899</v>
      </c>
      <c r="O25" s="2">
        <f>'Allowed revenue -DPCR4'!D20</f>
        <v>152.30000000000001</v>
      </c>
      <c r="P25" s="2">
        <f>'Allowed revenue -DPCR4'!E20</f>
        <v>144.9</v>
      </c>
      <c r="Q25" s="2">
        <f>'Allowed revenue -DPCR4'!F20</f>
        <v>137.5</v>
      </c>
      <c r="R25" s="2">
        <f>'Allowed revenue -DPCR4'!G20</f>
        <v>129.80000000000001</v>
      </c>
      <c r="S25" s="2">
        <f>'Allowed revenue -DPCR4'!H20</f>
        <v>122.6</v>
      </c>
    </row>
    <row r="26" spans="2:19">
      <c r="B26" s="2" t="s">
        <v>900</v>
      </c>
      <c r="L26" s="2" t="s">
        <v>65</v>
      </c>
      <c r="S26" s="2">
        <f>'Allowed revenue -DPCR4'!H21</f>
        <v>113.7</v>
      </c>
    </row>
    <row r="27" spans="2:19">
      <c r="L27" s="2" t="s">
        <v>901</v>
      </c>
      <c r="S27" s="2">
        <f>'Allowed revenue -DPCR4'!H22</f>
        <v>800.9</v>
      </c>
    </row>
    <row r="28" spans="2:19">
      <c r="B28" s="2" t="s">
        <v>848</v>
      </c>
      <c r="D28" s="2">
        <f>D15</f>
        <v>62.591200000000008</v>
      </c>
      <c r="E28" s="2">
        <f>E15</f>
        <v>63.075800000000008</v>
      </c>
      <c r="G28" s="2">
        <f>G15</f>
        <v>63.960400000000007</v>
      </c>
      <c r="H28" s="2">
        <f>H15</f>
        <v>63.545000000000002</v>
      </c>
      <c r="I28" s="2">
        <f>I15</f>
        <v>63.229600000000005</v>
      </c>
    </row>
    <row r="29" spans="2:19">
      <c r="B29" s="2" t="s">
        <v>49</v>
      </c>
      <c r="D29" s="2">
        <f>D18</f>
        <v>50.3</v>
      </c>
      <c r="E29" s="2">
        <f>E18</f>
        <v>55.5</v>
      </c>
      <c r="G29" s="2">
        <f>G18</f>
        <v>59.1</v>
      </c>
      <c r="H29" s="2">
        <f>H18</f>
        <v>62.7</v>
      </c>
      <c r="I29" s="2">
        <f>I18</f>
        <v>66.3</v>
      </c>
      <c r="O29" s="2">
        <f>1/(1+Inputs!B17)</f>
        <v>0.94746316736936853</v>
      </c>
      <c r="P29" s="2">
        <f>O29/(1+Inputs!B17)</f>
        <v>0.89768645352159604</v>
      </c>
      <c r="Q29" s="2">
        <f>P29/(1+Inputs!B17)</f>
        <v>0.85052485055814675</v>
      </c>
      <c r="R29" s="2">
        <f>Q29/(1+Inputs!B17)</f>
        <v>0.8058409688361805</v>
      </c>
      <c r="S29" s="2">
        <f>R29/(1+Inputs!B17)</f>
        <v>0.76350463672952817</v>
      </c>
    </row>
    <row r="30" spans="2:19">
      <c r="B30" s="2" t="s">
        <v>895</v>
      </c>
      <c r="D30" s="2">
        <f>D22</f>
        <v>41.003102962685894</v>
      </c>
      <c r="E30" s="2">
        <f>E22</f>
        <v>37.301228901200773</v>
      </c>
      <c r="G30" s="2">
        <f>G22</f>
        <v>35.874949142678403</v>
      </c>
      <c r="H30" s="2">
        <f>H22</f>
        <v>34.921886475267968</v>
      </c>
      <c r="I30" s="2">
        <f>I22</f>
        <v>34.020012413782879</v>
      </c>
      <c r="O30" s="2">
        <v>1</v>
      </c>
      <c r="P30" s="2">
        <f>O29</f>
        <v>0.94746316736936853</v>
      </c>
      <c r="Q30" s="2">
        <f>P29</f>
        <v>0.89768645352159604</v>
      </c>
      <c r="R30" s="2">
        <f>Q29</f>
        <v>0.85052485055814675</v>
      </c>
      <c r="S30" s="2">
        <f>R29</f>
        <v>0.8058409688361805</v>
      </c>
    </row>
    <row r="31" spans="2:19">
      <c r="O31" s="2">
        <f>1/(1+Inputs!B17)^0.5</f>
        <v>0.97337719686120061</v>
      </c>
      <c r="P31" s="2">
        <f>1/(1+Inputs!B17)^1.5</f>
        <v>0.92223904198323059</v>
      </c>
      <c r="Q31" s="2">
        <f>1/(1+Inputs!B17)^2.5</f>
        <v>0.87378752378912361</v>
      </c>
      <c r="R31" s="2">
        <f>1/(1+Inputs!B17)^3.5</f>
        <v>0.82788149489708041</v>
      </c>
      <c r="S31" s="2">
        <f>1/(1+Inputs!B17)^4.5</f>
        <v>0.78438722336167555</v>
      </c>
    </row>
    <row r="33" spans="1:19">
      <c r="L33" s="2" t="s">
        <v>68</v>
      </c>
      <c r="O33" s="2">
        <f>'Allowed revenue -DPCR4'!D24</f>
        <v>1</v>
      </c>
      <c r="P33" s="2">
        <f>'Allowed revenue -DPCR4'!E24</f>
        <v>1.0129999999999999</v>
      </c>
      <c r="Q33" s="2">
        <f>'Allowed revenue -DPCR4'!F24</f>
        <v>1.0269999999999999</v>
      </c>
      <c r="R33" s="2">
        <f>'Allowed revenue -DPCR4'!G24</f>
        <v>1.038</v>
      </c>
      <c r="S33" s="2">
        <f>'Allowed revenue -DPCR4'!H24</f>
        <v>1.0509999999999999</v>
      </c>
    </row>
    <row r="34" spans="1:19">
      <c r="L34" s="2" t="s">
        <v>69</v>
      </c>
      <c r="O34" s="2">
        <f>O33*O31</f>
        <v>0.97337719686120061</v>
      </c>
      <c r="P34" s="2">
        <f>P33*P31</f>
        <v>0.93422814952901245</v>
      </c>
      <c r="Q34" s="2">
        <f>Q33*Q31</f>
        <v>0.89737978693142983</v>
      </c>
      <c r="R34" s="2">
        <f>R33*R31</f>
        <v>0.85934099170316947</v>
      </c>
      <c r="S34" s="2">
        <f>S33*S31</f>
        <v>0.82439097175312093</v>
      </c>
    </row>
    <row r="35" spans="1:19">
      <c r="L35" s="2" t="s">
        <v>70</v>
      </c>
      <c r="O35" s="2">
        <f>($S$27-$N$41)/SUM($O$34:$U$34)*O33</f>
        <v>175.5943029626859</v>
      </c>
      <c r="P35" s="2">
        <f>($S$27-$N$41)/SUM($O$34:$U$34)*P33</f>
        <v>177.87702890120079</v>
      </c>
      <c r="Q35" s="2">
        <f>($S$27-$N$41)/SUM($O$34:$U$34)*Q33</f>
        <v>180.33534914267841</v>
      </c>
      <c r="R35" s="2">
        <f>($S$27-$N$41)/SUM($O$34:$U$34)*R33</f>
        <v>182.26688647526797</v>
      </c>
      <c r="S35" s="2">
        <f>($S$27-$N$41)/SUM($O$34:$U$34)*S33</f>
        <v>184.54961241378288</v>
      </c>
    </row>
    <row r="36" spans="1:19">
      <c r="L36" s="2" t="s">
        <v>902</v>
      </c>
      <c r="O36" s="2">
        <f>'Allowed revenue -DPCR4'!D27</f>
        <v>2.9</v>
      </c>
      <c r="P36" s="2">
        <f>'Allowed revenue -DPCR4'!E27</f>
        <v>2.9</v>
      </c>
      <c r="Q36" s="2">
        <f>'Allowed revenue -DPCR4'!F27</f>
        <v>2.9</v>
      </c>
      <c r="R36" s="2">
        <f>'Allowed revenue -DPCR4'!G27</f>
        <v>2.9</v>
      </c>
      <c r="S36" s="2">
        <f>'Allowed revenue -DPCR4'!H27</f>
        <v>2.9</v>
      </c>
    </row>
    <row r="37" spans="1:19">
      <c r="L37" s="2" t="s">
        <v>72</v>
      </c>
      <c r="O37" s="2">
        <f>O36+O35</f>
        <v>178.49430296268591</v>
      </c>
      <c r="P37" s="2">
        <f>P36+P35</f>
        <v>180.77702890120079</v>
      </c>
      <c r="Q37" s="2">
        <f>Q36+Q35</f>
        <v>183.23534914267842</v>
      </c>
      <c r="R37" s="2">
        <f>R36+R35</f>
        <v>185.16688647526797</v>
      </c>
      <c r="S37" s="2">
        <f>S36+S35</f>
        <v>187.44961241378289</v>
      </c>
    </row>
    <row r="38" spans="1:19">
      <c r="L38" s="2" t="s">
        <v>903</v>
      </c>
      <c r="O38" s="2">
        <f>O37*O31</f>
        <v>173.74228427351309</v>
      </c>
      <c r="P38" s="2">
        <f>P37*P31</f>
        <v>166.71963394641821</v>
      </c>
      <c r="Q38" s="2">
        <f>Q37*Q31</f>
        <v>160.10876199801649</v>
      </c>
      <c r="R38" s="2">
        <f>R37*R31</f>
        <v>153.29623878058283</v>
      </c>
      <c r="S38" s="2">
        <f>S37*S31</f>
        <v>147.03308100146944</v>
      </c>
    </row>
    <row r="39" spans="1:19">
      <c r="L39" s="2" t="s">
        <v>901</v>
      </c>
      <c r="S39" s="2">
        <f>SUM(O38:S38)</f>
        <v>800.90000000000009</v>
      </c>
    </row>
    <row r="41" spans="1:19">
      <c r="L41" s="2" t="s">
        <v>904</v>
      </c>
      <c r="N41" s="2">
        <f>SUM(O41:S41)</f>
        <v>12.706850194587702</v>
      </c>
      <c r="O41" s="2">
        <f>O36*O31</f>
        <v>2.8227938708974816</v>
      </c>
      <c r="P41" s="2">
        <f>P36*P31</f>
        <v>2.6744932217513688</v>
      </c>
      <c r="Q41" s="2">
        <f>Q36*Q31</f>
        <v>2.5339838189884585</v>
      </c>
      <c r="R41" s="2">
        <f>R36*R31</f>
        <v>2.4008563352015333</v>
      </c>
      <c r="S41" s="2">
        <f>S36*S31</f>
        <v>2.2747229477488591</v>
      </c>
    </row>
    <row r="43" spans="1:19">
      <c r="A43" s="2" t="s">
        <v>905</v>
      </c>
    </row>
    <row r="45" spans="1:19">
      <c r="B45" s="2" t="s">
        <v>906</v>
      </c>
      <c r="C45" s="2" t="s">
        <v>907</v>
      </c>
      <c r="D45" s="2" t="s">
        <v>908</v>
      </c>
      <c r="E45" s="2" t="s">
        <v>909</v>
      </c>
      <c r="K45" s="2" t="s">
        <v>203</v>
      </c>
    </row>
    <row r="46" spans="1:19">
      <c r="E46" s="2" t="s">
        <v>402</v>
      </c>
      <c r="G46" s="2" t="s">
        <v>223</v>
      </c>
      <c r="H46" s="2" t="s">
        <v>38</v>
      </c>
      <c r="I46" s="2" t="s">
        <v>441</v>
      </c>
      <c r="J46" s="2" t="s">
        <v>849</v>
      </c>
      <c r="K46" s="2" t="s">
        <v>402</v>
      </c>
      <c r="L46" s="2" t="s">
        <v>223</v>
      </c>
      <c r="M46" s="2" t="s">
        <v>38</v>
      </c>
      <c r="N46" s="2" t="s">
        <v>441</v>
      </c>
      <c r="O46" s="2" t="s">
        <v>849</v>
      </c>
    </row>
    <row r="47" spans="1:19">
      <c r="B47" s="2" t="s">
        <v>895</v>
      </c>
      <c r="C47" s="2">
        <f>SUM(D24:I24)</f>
        <v>290.32117989561596</v>
      </c>
      <c r="D47" s="2" t="s">
        <v>868</v>
      </c>
      <c r="E47" s="2">
        <f>VLOOKUP($D47,'Calc-Drivers'!$B$17:$G$27,E$53,FALSE)</f>
        <v>0.35319112482493065</v>
      </c>
      <c r="G47" s="2">
        <f>VLOOKUP($D47,'Calc-Drivers'!$B$17:$G$27,G$53,FALSE)</f>
        <v>0.29952695149537589</v>
      </c>
      <c r="H47" s="2">
        <f>VLOOKUP($D47,'Calc-Drivers'!$B$17:$G$27,H$53,FALSE)</f>
        <v>7.9349702057677052E-2</v>
      </c>
      <c r="I47" s="2">
        <f>VLOOKUP($D47,'Calc-Drivers'!$B$17:$G$27,I$53,FALSE)</f>
        <v>0.19361361300852106</v>
      </c>
      <c r="J47" s="2">
        <f>VLOOKUP($D47,'Calc-Drivers'!$B$17:$G$27,J$53,FALSE)</f>
        <v>7.4318608613495402E-2</v>
      </c>
      <c r="K47" s="2">
        <f>$C47*E47</f>
        <v>102.53886408783364</v>
      </c>
      <c r="L47" s="2">
        <f t="shared" ref="L47:N49" si="2">$C47*G47</f>
        <v>86.959017968674459</v>
      </c>
      <c r="M47" s="2">
        <f t="shared" si="2"/>
        <v>23.036899125750388</v>
      </c>
      <c r="N47" s="2">
        <f t="shared" si="2"/>
        <v>56.210132572487012</v>
      </c>
      <c r="O47" s="2">
        <f>$C47 * J47</f>
        <v>21.576266140870473</v>
      </c>
    </row>
    <row r="48" spans="1:19">
      <c r="B48" s="2" t="s">
        <v>49</v>
      </c>
      <c r="C48" s="2">
        <f>SUM(D18:I18)</f>
        <v>293.90000000000003</v>
      </c>
      <c r="D48" s="2" t="s">
        <v>868</v>
      </c>
      <c r="E48" s="2">
        <f>VLOOKUP($D48,'Calc-Drivers'!$B$17:$G$27,E$53,FALSE)</f>
        <v>0.35319112482493065</v>
      </c>
      <c r="G48" s="2">
        <f>VLOOKUP($D48,'Calc-Drivers'!$B$17:$G$27,G$53,FALSE)</f>
        <v>0.29952695149537589</v>
      </c>
      <c r="H48" s="2">
        <f>VLOOKUP($D48,'Calc-Drivers'!$B$17:$G$27,H$53,FALSE)</f>
        <v>7.9349702057677052E-2</v>
      </c>
      <c r="I48" s="2">
        <f>VLOOKUP($D48,'Calc-Drivers'!$B$17:$G$27,I$53,FALSE)</f>
        <v>0.19361361300852106</v>
      </c>
      <c r="J48" s="2">
        <f>VLOOKUP($D48,'Calc-Drivers'!$B$17:$G$27,J$53,FALSE)</f>
        <v>7.4318608613495402E-2</v>
      </c>
      <c r="K48" s="2">
        <f>$C48*E48</f>
        <v>103.80287158604713</v>
      </c>
      <c r="L48" s="2">
        <f t="shared" si="2"/>
        <v>88.030971044490983</v>
      </c>
      <c r="M48" s="2">
        <f t="shared" si="2"/>
        <v>23.320877434751289</v>
      </c>
      <c r="N48" s="2">
        <f t="shared" si="2"/>
        <v>56.903040863204346</v>
      </c>
      <c r="O48" s="2">
        <f>$C48 * J48</f>
        <v>21.842239071506302</v>
      </c>
    </row>
    <row r="49" spans="1:16">
      <c r="B49" s="2" t="s">
        <v>910</v>
      </c>
      <c r="C49" s="2">
        <f>SUM(D15:I15)</f>
        <v>316.40200000000004</v>
      </c>
      <c r="D49" s="2" t="s">
        <v>911</v>
      </c>
      <c r="E49" s="2">
        <f>'Calc-Opex'!AQ42</f>
        <v>0.19026908055166625</v>
      </c>
      <c r="G49" s="2">
        <f>'Calc-Opex'!AR42</f>
        <v>0.24325140107870924</v>
      </c>
      <c r="H49" s="2">
        <f>'Calc-Opex'!AS42</f>
        <v>9.2665652569101004E-2</v>
      </c>
      <c r="I49" s="2">
        <f>'Calc-Opex'!AT42</f>
        <v>0.30583209379038478</v>
      </c>
      <c r="J49" s="2">
        <f>'Calc-Opex'!AU42</f>
        <v>0.1679817720101387</v>
      </c>
      <c r="K49" s="2">
        <f>$C49*E49</f>
        <v>60.201517624708309</v>
      </c>
      <c r="L49" s="2">
        <f t="shared" si="2"/>
        <v>76.965229804105775</v>
      </c>
      <c r="M49" s="2">
        <f t="shared" si="2"/>
        <v>29.319597804168701</v>
      </c>
      <c r="N49" s="2">
        <f>$C49*I49</f>
        <v>96.765886139465337</v>
      </c>
      <c r="O49" s="2">
        <f>$C49 * J49</f>
        <v>53.149768627551914</v>
      </c>
    </row>
    <row r="51" spans="1:16">
      <c r="B51" s="2" t="s">
        <v>200</v>
      </c>
      <c r="C51" s="2">
        <f>SUM(C47:C49)</f>
        <v>900.62317989561598</v>
      </c>
      <c r="K51" s="2">
        <f>SUM(K47:K50)</f>
        <v>266.54325329858909</v>
      </c>
      <c r="L51" s="2">
        <f>SUM(L47:L50)</f>
        <v>251.9552188172712</v>
      </c>
      <c r="M51" s="2">
        <f>SUM(M47:M50)</f>
        <v>75.677374364670385</v>
      </c>
      <c r="N51" s="2">
        <f>SUM(N47:N50)</f>
        <v>209.8790595751567</v>
      </c>
      <c r="O51" s="2">
        <f>SUM($O$47:$O$50)</f>
        <v>96.568273839928679</v>
      </c>
    </row>
    <row r="52" spans="1:16">
      <c r="K52" s="2">
        <f>K51/SUM($K$51:$O$51)</f>
        <v>0.29595424507004359</v>
      </c>
      <c r="L52" s="2">
        <f>L51/SUM($K$51:$O$51)</f>
        <v>0.27975653352212554</v>
      </c>
      <c r="M52" s="2">
        <f>M51/SUM($K$51:$O$51)</f>
        <v>8.4027788817784513E-2</v>
      </c>
      <c r="N52" s="2">
        <f>N51/SUM($K$51:$O$51)</f>
        <v>0.23303759470135121</v>
      </c>
      <c r="O52" s="2">
        <f>O51/SUM($K$50:$O$51)</f>
        <v>0.10722383788869516</v>
      </c>
    </row>
    <row r="53" spans="1:16">
      <c r="E53" s="2">
        <v>6</v>
      </c>
      <c r="G53" s="2">
        <v>5</v>
      </c>
      <c r="H53" s="2">
        <v>4</v>
      </c>
      <c r="I53" s="2">
        <v>3</v>
      </c>
      <c r="J53" s="2">
        <v>2</v>
      </c>
    </row>
    <row r="55" spans="1:16">
      <c r="D55" s="2" t="s">
        <v>912</v>
      </c>
    </row>
    <row r="56" spans="1:16">
      <c r="D56" s="2" t="s">
        <v>913</v>
      </c>
    </row>
    <row r="58" spans="1:16">
      <c r="A58" s="2" t="s">
        <v>914</v>
      </c>
    </row>
    <row r="60" spans="1:16">
      <c r="B60" s="2" t="s">
        <v>915</v>
      </c>
    </row>
    <row r="61" spans="1:16">
      <c r="B61" s="2" t="s">
        <v>916</v>
      </c>
      <c r="F61" s="2">
        <f>'Summary of revenue'!J11</f>
        <v>200.65765400000001</v>
      </c>
      <c r="G61" s="2">
        <f>F61/$F$66</f>
        <v>0.91551183349151721</v>
      </c>
      <c r="P61" s="2" t="s">
        <v>203</v>
      </c>
    </row>
    <row r="62" spans="1:16">
      <c r="B62" s="2" t="s">
        <v>917</v>
      </c>
      <c r="F62" s="2">
        <f>'Summary of revenue'!J12</f>
        <v>-3.144495</v>
      </c>
      <c r="G62" s="2">
        <f>F62/$F$66</f>
        <v>-1.4346935317278793E-2</v>
      </c>
    </row>
    <row r="63" spans="1:16">
      <c r="B63" s="2" t="s">
        <v>918</v>
      </c>
      <c r="F63" s="2">
        <f>'Summary of revenue'!J13</f>
        <v>7.4753319999999999</v>
      </c>
      <c r="G63" s="2">
        <f>F63/$F$66</f>
        <v>3.4106622742025132E-2</v>
      </c>
      <c r="M63" s="2" t="s">
        <v>919</v>
      </c>
      <c r="P63" s="2">
        <f>F66</f>
        <v>219.17537999999999</v>
      </c>
    </row>
    <row r="64" spans="1:16">
      <c r="B64" s="2" t="s">
        <v>920</v>
      </c>
      <c r="F64" s="2">
        <f>'Summary of revenue'!J21</f>
        <v>3.366889</v>
      </c>
      <c r="G64" s="2">
        <f>F64/$F$66</f>
        <v>1.5361620452078149E-2</v>
      </c>
    </row>
    <row r="65" spans="2:19">
      <c r="B65" s="2" t="s">
        <v>921</v>
      </c>
      <c r="F65" s="2">
        <f>'Summary of revenue'!J46+'Summary of revenue'!J47</f>
        <v>10.82</v>
      </c>
      <c r="G65" s="2">
        <f>F65/$F$66</f>
        <v>4.9366858631658357E-2</v>
      </c>
      <c r="M65" s="2" t="s">
        <v>922</v>
      </c>
      <c r="P65" s="2">
        <f>-F63</f>
        <v>-7.4753319999999999</v>
      </c>
    </row>
    <row r="66" spans="2:19">
      <c r="B66" s="2" t="s">
        <v>200</v>
      </c>
      <c r="F66" s="2">
        <f>SUM(F61:F65)</f>
        <v>219.17537999999999</v>
      </c>
      <c r="G66" s="2">
        <f>SUM(G61:G65)</f>
        <v>1</v>
      </c>
      <c r="M66" s="2" t="s">
        <v>974</v>
      </c>
      <c r="P66" s="2">
        <f>-'Calc-Opex'!I37</f>
        <v>-5.1675739700000003</v>
      </c>
    </row>
    <row r="68" spans="2:19">
      <c r="M68" s="2" t="s">
        <v>923</v>
      </c>
      <c r="P68" s="2">
        <f>-SUM(P65:P67)</f>
        <v>12.642905970000001</v>
      </c>
    </row>
    <row r="69" spans="2:19">
      <c r="M69" s="2" t="s">
        <v>924</v>
      </c>
      <c r="P69" s="2">
        <f>SUM(P63:P67)</f>
        <v>206.53247402999997</v>
      </c>
    </row>
    <row r="70" spans="2:19">
      <c r="B70" s="2" t="s">
        <v>981</v>
      </c>
      <c r="G70" s="2">
        <f>(SUM('FBPQ LR1'!D13:M13)-MIN(0,'Calc-Net capex'!C19)-MIN(0,'Calc-Net capex'!C20)-MIN(0,'Calc-Net capex'!C21+'Calc-Net capex'!C22))/10</f>
        <v>6.129999999999999</v>
      </c>
    </row>
    <row r="71" spans="2:19" ht="39" customHeight="1">
      <c r="L71" s="2" t="s">
        <v>925</v>
      </c>
    </row>
    <row r="72" spans="2:19">
      <c r="B72" s="2" t="s">
        <v>926</v>
      </c>
      <c r="D72" s="2" t="s">
        <v>203</v>
      </c>
      <c r="L72" s="2" t="s">
        <v>927</v>
      </c>
    </row>
    <row r="73" spans="2:19">
      <c r="D73" s="2" t="s">
        <v>200</v>
      </c>
      <c r="F73" s="2" t="s">
        <v>402</v>
      </c>
      <c r="G73" s="2" t="s">
        <v>223</v>
      </c>
      <c r="H73" s="2" t="s">
        <v>38</v>
      </c>
      <c r="I73" s="2" t="s">
        <v>222</v>
      </c>
      <c r="J73" s="2" t="s">
        <v>928</v>
      </c>
      <c r="L73" s="2" t="s">
        <v>402</v>
      </c>
      <c r="M73" s="2" t="s">
        <v>223</v>
      </c>
      <c r="N73" s="2" t="s">
        <v>38</v>
      </c>
      <c r="O73" s="2" t="s">
        <v>441</v>
      </c>
      <c r="P73" s="2" t="s">
        <v>928</v>
      </c>
      <c r="R73" s="2" t="s">
        <v>200</v>
      </c>
      <c r="S73" s="2" t="s">
        <v>849</v>
      </c>
    </row>
    <row r="75" spans="2:19">
      <c r="B75" s="2" t="s">
        <v>929</v>
      </c>
      <c r="D75" s="2">
        <f>SUM(F75:J75)</f>
        <v>225.30538000000001</v>
      </c>
      <c r="F75" s="2">
        <f>$P$69*K52+$G70*E49</f>
        <v>62.290511897778742</v>
      </c>
      <c r="G75" s="2">
        <f>$P$69*L52+$G70*G49</f>
        <v>59.269940082993699</v>
      </c>
      <c r="H75" s="2">
        <f>$P$69*M52+$G70*H49</f>
        <v>17.922507562055991</v>
      </c>
      <c r="I75" s="2">
        <f>$P$69*(N52+O52)+$G70*(I49+J49)</f>
        <v>73.179514487171545</v>
      </c>
      <c r="J75" s="2">
        <f>P68</f>
        <v>12.642905970000001</v>
      </c>
      <c r="L75" s="2">
        <f>F75*100000000/'Calc-Units'!E23</f>
        <v>0.41367924989677579</v>
      </c>
      <c r="M75" s="2">
        <f>G75*100000000/'Calc-Units'!D23</f>
        <v>0.40688854520523215</v>
      </c>
      <c r="N75" s="2">
        <f>H75*100000000/'Calc-Units'!C23</f>
        <v>0.16094641768604986</v>
      </c>
      <c r="O75" s="2">
        <f>I75*100000000/'Calc-Units'!C23</f>
        <v>0.65716143033745944</v>
      </c>
      <c r="P75" s="2">
        <f>J75*100000000/'Calc-Units'!E23</f>
        <v>8.396315424037433E-2</v>
      </c>
    </row>
    <row r="77" spans="2:19">
      <c r="B77" s="2" t="s">
        <v>930</v>
      </c>
      <c r="L77" s="2">
        <f>L75</f>
        <v>0.41367924989677579</v>
      </c>
      <c r="M77" s="2">
        <f>M75</f>
        <v>0.40688854520523215</v>
      </c>
      <c r="N77" s="2">
        <f>N75</f>
        <v>0.16094641768604986</v>
      </c>
      <c r="O77" s="2">
        <f>O75</f>
        <v>0.65716143033745944</v>
      </c>
      <c r="P77" s="2">
        <f>P75</f>
        <v>8.396315424037433E-2</v>
      </c>
      <c r="R77" s="2">
        <f>SUM(L77:P77)</f>
        <v>1.7226387973658916</v>
      </c>
    </row>
    <row r="78" spans="2:19">
      <c r="B78" s="2" t="s">
        <v>931</v>
      </c>
    </row>
    <row r="79" spans="2:19">
      <c r="B79" s="2" t="s">
        <v>932</v>
      </c>
    </row>
    <row r="81" spans="2:19">
      <c r="B81" s="2" t="s">
        <v>930</v>
      </c>
      <c r="L81" s="2">
        <f>L77/$R77</f>
        <v>0.24014276848364141</v>
      </c>
      <c r="M81" s="2">
        <f>M77/$R77</f>
        <v>0.23620073217171847</v>
      </c>
      <c r="N81" s="2">
        <f>N77/$R77</f>
        <v>9.3430159550658573E-2</v>
      </c>
      <c r="O81" s="2">
        <f>$O77/$R77*$N52/($N52+$O52)</f>
        <v>0.26127093827426939</v>
      </c>
      <c r="P81" s="2">
        <f>P77/$R77</f>
        <v>4.8741009646806652E-2</v>
      </c>
      <c r="R81" s="2">
        <f>SUM(L81:P81) + S81</f>
        <v>0.99999999999999989</v>
      </c>
      <c r="S81" s="2">
        <f>$O77/$R77*$O52/($N52+$O52)</f>
        <v>0.12021439187290543</v>
      </c>
    </row>
    <row r="82" spans="2:19">
      <c r="B82" s="2" t="s">
        <v>931</v>
      </c>
    </row>
    <row r="83" spans="2:19">
      <c r="B83" s="2" t="s">
        <v>932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tabColor rgb="FFFFFFC4"/>
    <pageSetUpPr fitToPage="1"/>
  </sheetPr>
  <dimension ref="A1:G10"/>
  <sheetViews>
    <sheetView showGridLines="0" workbookViewId="0"/>
  </sheetViews>
  <sheetFormatPr defaultColWidth="8.85546875" defaultRowHeight="14.1" customHeight="1"/>
  <cols>
    <col min="1" max="1" width="44" style="2" customWidth="1"/>
    <col min="2" max="7" width="13.42578125" style="2" customWidth="1"/>
    <col min="8" max="8" width="9.140625" style="2" customWidth="1"/>
    <col min="9" max="16384" width="8.85546875" style="2"/>
  </cols>
  <sheetData>
    <row r="1" spans="1:7" ht="20.100000000000001" customHeight="1">
      <c r="A1" s="4" t="str">
        <f>"Calc-Summary for Method M ("&amp;'Calc-Net capex'!B5&amp;") for "&amp;Inputs!B6&amp;" in "&amp;Inputs!C6&amp;"  Status: "&amp;Inputs!D6&amp;""</f>
        <v>Calc-Summary for Method M (LR1) for South West in April 17  Status: Final</v>
      </c>
    </row>
    <row r="3" spans="1:7" ht="14.1" customHeight="1">
      <c r="A3" s="2" t="s">
        <v>866</v>
      </c>
      <c r="B3" s="2" t="s">
        <v>933</v>
      </c>
    </row>
    <row r="4" spans="1:7" ht="14.1" customHeight="1">
      <c r="B4" s="2" t="s">
        <v>849</v>
      </c>
      <c r="C4" s="2" t="s">
        <v>441</v>
      </c>
      <c r="D4" s="2" t="s">
        <v>525</v>
      </c>
      <c r="E4" s="2" t="s">
        <v>223</v>
      </c>
      <c r="F4" s="2" t="s">
        <v>402</v>
      </c>
      <c r="G4" s="2" t="s">
        <v>934</v>
      </c>
    </row>
    <row r="5" spans="1:7" ht="14.1" customHeight="1">
      <c r="A5" s="2" t="s">
        <v>935</v>
      </c>
      <c r="B5" s="2">
        <f>'Calc-Allocation'!J49</f>
        <v>0.1679817720101387</v>
      </c>
      <c r="C5" s="2">
        <f>'Calc-Allocation'!I49</f>
        <v>0.30583209379038478</v>
      </c>
      <c r="D5" s="2">
        <f>'Calc-Allocation'!H49</f>
        <v>9.2665652569101004E-2</v>
      </c>
      <c r="E5" s="2">
        <f>'Calc-Allocation'!G49</f>
        <v>0.24325140107870924</v>
      </c>
      <c r="F5" s="2">
        <f>'Calc-Allocation'!E49</f>
        <v>0.19026908055166625</v>
      </c>
      <c r="G5" s="2" t="s">
        <v>936</v>
      </c>
    </row>
    <row r="6" spans="1:7" ht="14.1" customHeight="1">
      <c r="A6" s="2" t="s">
        <v>49</v>
      </c>
      <c r="B6" s="2">
        <f>'Calc-Allocation'!J47</f>
        <v>7.4318608613495402E-2</v>
      </c>
      <c r="C6" s="2">
        <f>'Calc-Allocation'!I48</f>
        <v>0.19361361300852106</v>
      </c>
      <c r="D6" s="2">
        <f>'Calc-Allocation'!H48</f>
        <v>7.9349702057677052E-2</v>
      </c>
      <c r="E6" s="2">
        <f>'Calc-Allocation'!G48</f>
        <v>0.29952695149537589</v>
      </c>
      <c r="F6" s="2">
        <f>'Calc-Allocation'!E48</f>
        <v>0.35319112482493065</v>
      </c>
      <c r="G6" s="2" t="s">
        <v>936</v>
      </c>
    </row>
    <row r="7" spans="1:7" ht="14.1" customHeight="1">
      <c r="A7" s="2" t="s">
        <v>895</v>
      </c>
      <c r="B7" s="2">
        <f>'Calc-Allocation'!J48</f>
        <v>7.4318608613495402E-2</v>
      </c>
      <c r="C7" s="2">
        <f>'Calc-Allocation'!I47</f>
        <v>0.19361361300852106</v>
      </c>
      <c r="D7" s="2">
        <f>'Calc-Allocation'!H47</f>
        <v>7.9349702057677052E-2</v>
      </c>
      <c r="E7" s="2">
        <f>'Calc-Allocation'!G47</f>
        <v>0.29952695149537589</v>
      </c>
      <c r="F7" s="2">
        <f>'Calc-Allocation'!E47</f>
        <v>0.35319112482493065</v>
      </c>
      <c r="G7" s="2" t="s">
        <v>936</v>
      </c>
    </row>
    <row r="8" spans="1:7" ht="14.1" customHeight="1">
      <c r="A8" s="2" t="s">
        <v>937</v>
      </c>
      <c r="B8" s="2">
        <f>'Calc-Allocation'!O52</f>
        <v>0.10722383788869516</v>
      </c>
      <c r="C8" s="2">
        <f>'Calc-Allocation'!N52</f>
        <v>0.23303759470135121</v>
      </c>
      <c r="D8" s="2">
        <f>'Calc-Allocation'!M52</f>
        <v>8.4027788817784513E-2</v>
      </c>
      <c r="E8" s="2">
        <f>'Calc-Allocation'!L52</f>
        <v>0.27975653352212554</v>
      </c>
      <c r="F8" s="2">
        <f>'Calc-Allocation'!K52</f>
        <v>0.29595424507004359</v>
      </c>
      <c r="G8" s="2" t="s">
        <v>936</v>
      </c>
    </row>
    <row r="9" spans="1:7" ht="14.1" customHeight="1">
      <c r="A9" s="2" t="s">
        <v>938</v>
      </c>
      <c r="B9" s="2">
        <f>'Calc-Allocation'!S81</f>
        <v>0.12021439187290543</v>
      </c>
      <c r="C9" s="2">
        <f>'Calc-Allocation'!O81</f>
        <v>0.26127093827426939</v>
      </c>
      <c r="D9" s="2">
        <f>'Calc-Allocation'!N81</f>
        <v>9.3430159550658573E-2</v>
      </c>
      <c r="E9" s="2">
        <f>'Calc-Allocation'!M81</f>
        <v>0.23620073217171847</v>
      </c>
      <c r="F9" s="2">
        <f>'Calc-Allocation'!L81</f>
        <v>0.24014276848364141</v>
      </c>
      <c r="G9" s="2">
        <f>'Calc-Allocation'!P81</f>
        <v>4.8741009646806652E-2</v>
      </c>
    </row>
    <row r="10" spans="1:7" ht="14.1" customHeight="1">
      <c r="A10" s="2" t="s">
        <v>939</v>
      </c>
      <c r="B10" s="2">
        <f>'Calc-Opex'!AD49</f>
        <v>0.65239840012095385</v>
      </c>
      <c r="C10" s="2">
        <f>'Calc-Opex'!AC49</f>
        <v>0.65239840012095385</v>
      </c>
      <c r="D10" s="2">
        <f>'Calc-Opex'!AB49</f>
        <v>0.77041692863904654</v>
      </c>
      <c r="E10" s="2">
        <f>'Calc-Opex'!AA49</f>
        <v>0.72181990527994433</v>
      </c>
      <c r="F10" s="2">
        <f>'Calc-Opex'!Z49</f>
        <v>0.74946153727673348</v>
      </c>
      <c r="G10" s="2" t="s">
        <v>936</v>
      </c>
    </row>
  </sheetData>
  <sheetProtection sheet="1" objects="1" scenarios="1"/>
  <phoneticPr fontId="1" type="noConversion"/>
  <pageMargins left="0.75" right="0.75" top="1" bottom="1" header="0.5" footer="0.5"/>
  <pageSetup paperSize="9" scale="6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79998168889431442"/>
    <pageSetUpPr fitToPage="1"/>
  </sheetPr>
  <dimension ref="A1:I63"/>
  <sheetViews>
    <sheetView showGridLines="0" tabSelected="1" topLeftCell="A49" workbookViewId="0">
      <selection activeCell="B59" sqref="B59:E63"/>
    </sheetView>
  </sheetViews>
  <sheetFormatPr defaultColWidth="17.7109375" defaultRowHeight="15"/>
  <cols>
    <col min="1" max="1" width="21.85546875" style="2" customWidth="1"/>
    <col min="2" max="9" width="14.85546875" style="2" customWidth="1"/>
    <col min="10" max="16384" width="17.7109375" style="2"/>
  </cols>
  <sheetData>
    <row r="1" spans="1:9" ht="19.5">
      <c r="A1" s="4" t="str">
        <f>"EDCM extension to Method M ("&amp;'Calc-Net capex'!B5&amp;") for "&amp;Inputs!B6&amp;" in "&amp;Inputs!C6&amp;"  Status: "&amp;Inputs!D6&amp;""</f>
        <v>EDCM extension to Method M (LR1) for South West in April 17  Status: Final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 ht="17.25">
      <c r="A3" s="39" t="s">
        <v>961</v>
      </c>
      <c r="B3" s="15"/>
      <c r="C3" s="15"/>
      <c r="D3" s="15"/>
      <c r="E3" s="15"/>
      <c r="F3" s="15"/>
      <c r="G3" s="15"/>
      <c r="H3" s="15"/>
    </row>
    <row r="4" spans="1:9" ht="17.25">
      <c r="A4" s="39"/>
      <c r="B4" s="15"/>
      <c r="C4" s="15"/>
      <c r="D4" s="15"/>
      <c r="E4" s="15"/>
      <c r="F4" s="15"/>
      <c r="G4" s="15"/>
      <c r="H4" s="15"/>
    </row>
    <row r="5" spans="1:9" ht="30">
      <c r="A5" s="15"/>
      <c r="B5" s="6" t="s">
        <v>959</v>
      </c>
      <c r="D5" s="15"/>
      <c r="E5" s="15"/>
      <c r="F5" s="15"/>
      <c r="G5" s="15"/>
      <c r="H5" s="15"/>
    </row>
    <row r="6" spans="1:9">
      <c r="A6" s="14" t="s">
        <v>222</v>
      </c>
      <c r="B6" s="40">
        <f>SUM('Data-MEAV'!I19:I39)</f>
        <v>2542417.2589199999</v>
      </c>
      <c r="E6" s="15"/>
      <c r="F6" s="15"/>
      <c r="G6" s="15"/>
      <c r="H6" s="15"/>
    </row>
    <row r="7" spans="1:9">
      <c r="A7" s="14" t="s">
        <v>38</v>
      </c>
      <c r="B7" s="40">
        <f>SUM('Data-MEAV'!I62:I63,'Data-MEAV'!I69:I70,'Data-MEAV'!I75:I78,'Data-MEAV'!I153:I154)</f>
        <v>404608.13</v>
      </c>
      <c r="E7" s="15"/>
      <c r="F7" s="15"/>
      <c r="G7" s="15"/>
      <c r="H7" s="15"/>
    </row>
    <row r="8" spans="1:9">
      <c r="A8" s="14" t="s">
        <v>223</v>
      </c>
      <c r="B8" s="40">
        <f>SUM('Data-MEAV'!I41:I58,'Data-MEAV'!I61,'Data-MEAV'!I64:I65,'Data-MEAV'!I68,'Data-MEAV'!I71:I72)</f>
        <v>1338937.2449999999</v>
      </c>
      <c r="E8" s="15"/>
      <c r="F8" s="15"/>
      <c r="G8" s="15"/>
      <c r="H8" s="15"/>
    </row>
    <row r="9" spans="1:9">
      <c r="A9" s="15"/>
      <c r="B9" s="16"/>
      <c r="D9" s="16"/>
      <c r="E9" s="15"/>
      <c r="F9" s="15"/>
      <c r="G9" s="15"/>
      <c r="H9" s="15"/>
    </row>
    <row r="10" spans="1:9">
      <c r="A10" s="14" t="s">
        <v>37</v>
      </c>
      <c r="B10" s="40">
        <f>SUM('Data-MEAV'!I59:I60,'Data-MEAV'!I66:I67,'Data-MEAV'!I110,'Data-MEAV'!I112,'Data-MEAV'!I115:I119,'Data-MEAV'!I149:I150)</f>
        <v>260183.24</v>
      </c>
      <c r="D10" s="16"/>
      <c r="E10" s="15"/>
      <c r="F10" s="15"/>
      <c r="G10" s="15"/>
      <c r="H10" s="15"/>
    </row>
    <row r="11" spans="1:9">
      <c r="A11" s="14" t="s">
        <v>402</v>
      </c>
      <c r="B11" s="40">
        <f>SUM('Data-MEAV'!I82:I85,'Data-MEAV'!I88:I91,'Data-MEAV'!I94:I99,'Data-MEAV'!I102)</f>
        <v>397467.87200000003</v>
      </c>
      <c r="D11" s="16"/>
      <c r="E11" s="15"/>
      <c r="F11" s="15"/>
      <c r="G11" s="15"/>
      <c r="H11" s="15"/>
    </row>
    <row r="12" spans="1:9">
      <c r="A12" s="14" t="s">
        <v>36</v>
      </c>
      <c r="B12" s="40">
        <f>SUM('Data-MEAV'!I105:I109,'Data-MEAV'!I111,'Data-MEAV'!I144:I145)</f>
        <v>161941.15</v>
      </c>
      <c r="D12" s="16"/>
      <c r="E12" s="15"/>
      <c r="F12" s="15"/>
      <c r="G12" s="15"/>
      <c r="H12" s="15"/>
    </row>
    <row r="13" spans="1:9">
      <c r="A13" s="14" t="s">
        <v>401</v>
      </c>
      <c r="B13" s="40">
        <f>SUM('Data-MEAV'!I123:I124,'Data-MEAV'!I127:I129,'Data-MEAV'!I132:I134,'Data-MEAV'!I137,'Data-MEAV'!I140:I141)</f>
        <v>523422.07300000003</v>
      </c>
      <c r="D13" s="16"/>
      <c r="E13" s="15"/>
      <c r="F13" s="15"/>
      <c r="G13" s="15"/>
      <c r="H13" s="15"/>
    </row>
    <row r="14" spans="1:9">
      <c r="A14" s="15"/>
      <c r="B14" s="16"/>
      <c r="D14" s="16"/>
      <c r="E14" s="15"/>
      <c r="F14" s="15"/>
      <c r="G14" s="15"/>
      <c r="H14" s="15"/>
    </row>
    <row r="15" spans="1:9">
      <c r="A15" s="14" t="s">
        <v>953</v>
      </c>
      <c r="B15" s="40">
        <f>SUM(B10:B13)</f>
        <v>1343014.335</v>
      </c>
      <c r="E15" s="15"/>
      <c r="F15" s="15"/>
      <c r="G15" s="15"/>
      <c r="H15" s="15"/>
    </row>
    <row r="16" spans="1:9">
      <c r="A16" s="15"/>
      <c r="B16" s="15"/>
      <c r="C16" s="15"/>
      <c r="D16" s="16"/>
      <c r="E16" s="15"/>
      <c r="F16" s="15"/>
      <c r="G16" s="15"/>
      <c r="H16" s="15"/>
    </row>
    <row r="17" spans="1:9" ht="17.25">
      <c r="A17" s="39" t="s">
        <v>962</v>
      </c>
      <c r="B17" s="15"/>
      <c r="C17" s="16"/>
      <c r="D17" s="15"/>
      <c r="E17" s="16"/>
      <c r="F17" s="15"/>
      <c r="G17" s="15"/>
      <c r="H17" s="15"/>
      <c r="I17" s="15"/>
    </row>
    <row r="18" spans="1:9">
      <c r="A18" s="15"/>
      <c r="B18" s="15"/>
      <c r="C18" s="16"/>
      <c r="D18" s="15"/>
      <c r="E18" s="16"/>
      <c r="F18" s="15"/>
      <c r="G18" s="15"/>
      <c r="H18" s="15"/>
      <c r="I18" s="15"/>
    </row>
    <row r="19" spans="1:9" ht="30">
      <c r="A19" s="15"/>
      <c r="B19" s="6" t="s">
        <v>960</v>
      </c>
      <c r="C19" s="16"/>
      <c r="D19" s="15"/>
      <c r="E19" s="16"/>
      <c r="F19" s="15"/>
      <c r="G19" s="15"/>
      <c r="H19" s="15"/>
      <c r="I19" s="15"/>
    </row>
    <row r="20" spans="1:9">
      <c r="A20" s="14" t="s">
        <v>37</v>
      </c>
      <c r="B20" s="41">
        <f>B10/B$15</f>
        <v>0.19373079886001365</v>
      </c>
      <c r="C20" s="16"/>
      <c r="D20" s="15"/>
      <c r="E20" s="16"/>
      <c r="F20" s="15"/>
      <c r="G20" s="15"/>
      <c r="H20" s="15"/>
      <c r="I20" s="15"/>
    </row>
    <row r="21" spans="1:9">
      <c r="A21" s="14" t="s">
        <v>402</v>
      </c>
      <c r="B21" s="41">
        <f>B11/B$15</f>
        <v>0.29595206964041826</v>
      </c>
      <c r="C21" s="16"/>
      <c r="D21" s="15"/>
      <c r="E21" s="16"/>
      <c r="F21" s="15"/>
      <c r="G21" s="15"/>
      <c r="H21" s="15"/>
      <c r="I21" s="15"/>
    </row>
    <row r="22" spans="1:9">
      <c r="A22" s="14" t="s">
        <v>36</v>
      </c>
      <c r="B22" s="41">
        <f>B12/B$15</f>
        <v>0.12058035851121425</v>
      </c>
      <c r="C22" s="16"/>
      <c r="D22" s="15"/>
      <c r="E22" s="16"/>
      <c r="F22" s="15"/>
      <c r="G22" s="15"/>
      <c r="H22" s="15"/>
      <c r="I22" s="15"/>
    </row>
    <row r="23" spans="1:9">
      <c r="A23" s="14" t="s">
        <v>401</v>
      </c>
      <c r="B23" s="41">
        <f>B13/B$15</f>
        <v>0.38973677298835385</v>
      </c>
      <c r="C23" s="16"/>
      <c r="D23" s="15"/>
      <c r="E23" s="16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 ht="17.25">
      <c r="A25" s="39" t="s">
        <v>963</v>
      </c>
      <c r="B25" s="15"/>
      <c r="C25" s="16"/>
      <c r="D25" s="15"/>
      <c r="E25" s="16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6" t="s">
        <v>849</v>
      </c>
      <c r="C27" s="6" t="s">
        <v>441</v>
      </c>
      <c r="D27" s="6" t="s">
        <v>525</v>
      </c>
      <c r="E27" s="6" t="s">
        <v>223</v>
      </c>
      <c r="F27" s="6" t="s">
        <v>37</v>
      </c>
      <c r="G27" s="6" t="s">
        <v>402</v>
      </c>
      <c r="H27" s="6" t="s">
        <v>36</v>
      </c>
      <c r="I27" s="6" t="s">
        <v>401</v>
      </c>
    </row>
    <row r="28" spans="1:9">
      <c r="A28" s="14" t="s">
        <v>952</v>
      </c>
      <c r="B28" s="41">
        <f>'Calc-Summary'!B9</f>
        <v>0.12021439187290543</v>
      </c>
      <c r="C28" s="41">
        <f>'Calc-Summary'!C9</f>
        <v>0.26127093827426939</v>
      </c>
      <c r="D28" s="41">
        <f>'Calc-Summary'!D9</f>
        <v>9.3430159550658573E-2</v>
      </c>
      <c r="E28" s="41">
        <f>'Calc-Summary'!E9</f>
        <v>0.23620073217171847</v>
      </c>
      <c r="F28" s="41">
        <f>'Calc-Summary'!$F9*'EDCM discounts'!$B20</f>
        <v>4.6523050378791161E-2</v>
      </c>
      <c r="G28" s="41">
        <f>'Calc-Summary'!$F9*'EDCM discounts'!$B21</f>
        <v>7.1070749341913486E-2</v>
      </c>
      <c r="H28" s="41">
        <f>'Calc-Summary'!$F9*'EDCM discounts'!$B22</f>
        <v>2.8956501117633003E-2</v>
      </c>
      <c r="I28" s="41">
        <f>'Calc-Summary'!$F9*'EDCM discounts'!$B23</f>
        <v>9.3592467645303767E-2</v>
      </c>
    </row>
    <row r="29" spans="1:9">
      <c r="A29" s="14" t="s">
        <v>939</v>
      </c>
      <c r="B29" s="41">
        <f>'Calc-Summary'!B10</f>
        <v>0.65239840012095385</v>
      </c>
      <c r="C29" s="41">
        <f>'Calc-Summary'!C10</f>
        <v>0.65239840012095385</v>
      </c>
      <c r="D29" s="41">
        <f>'Calc-Summary'!D10</f>
        <v>0.77041692863904654</v>
      </c>
      <c r="E29" s="41">
        <f>'Calc-Summary'!E10</f>
        <v>0.72181990527994433</v>
      </c>
      <c r="F29" s="41">
        <f>'Calc-Summary'!$F10</f>
        <v>0.74946153727673348</v>
      </c>
      <c r="G29" s="41">
        <f>'Calc-Summary'!$F10</f>
        <v>0.74946153727673348</v>
      </c>
      <c r="H29" s="41">
        <f>'Calc-Summary'!$F10</f>
        <v>0.74946153727673348</v>
      </c>
      <c r="I29" s="41">
        <f>'Calc-Summary'!$F10</f>
        <v>0.74946153727673348</v>
      </c>
    </row>
    <row r="30" spans="1:9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7.25">
      <c r="A31" s="39" t="s">
        <v>956</v>
      </c>
      <c r="B31" s="15"/>
      <c r="C31" s="15"/>
      <c r="D31" s="15"/>
      <c r="E31" s="15"/>
      <c r="F31" s="15"/>
      <c r="G31" s="15"/>
      <c r="H31" s="15"/>
      <c r="I31" s="15"/>
    </row>
    <row r="32" spans="1:9" ht="17.25">
      <c r="A32" s="39"/>
      <c r="B32" s="15"/>
      <c r="C32" s="15"/>
      <c r="D32" s="15"/>
      <c r="E32" s="15"/>
      <c r="F32" s="15"/>
      <c r="G32" s="15"/>
      <c r="H32" s="15"/>
      <c r="I32" s="15"/>
    </row>
    <row r="33" spans="1:9" ht="30">
      <c r="A33" s="15"/>
      <c r="B33" s="6" t="s">
        <v>958</v>
      </c>
      <c r="C33" s="15"/>
      <c r="D33" s="15"/>
      <c r="E33" s="15"/>
      <c r="F33" s="15"/>
      <c r="G33" s="15"/>
      <c r="H33" s="15"/>
      <c r="I33" s="15"/>
    </row>
    <row r="34" spans="1:9">
      <c r="A34" s="14" t="s">
        <v>954</v>
      </c>
      <c r="B34" s="46">
        <v>1</v>
      </c>
      <c r="C34" s="15"/>
      <c r="D34" s="15"/>
      <c r="E34" s="15"/>
      <c r="F34" s="15"/>
      <c r="G34" s="15"/>
      <c r="H34" s="15"/>
      <c r="I34" s="15"/>
    </row>
    <row r="35" spans="1:9">
      <c r="A35" s="14" t="s">
        <v>955</v>
      </c>
      <c r="B35" s="46">
        <v>1</v>
      </c>
      <c r="C35" s="15"/>
      <c r="D35" s="15"/>
      <c r="E35" s="15"/>
      <c r="F35" s="15"/>
      <c r="G35" s="15"/>
      <c r="H35" s="15"/>
      <c r="I35" s="15"/>
    </row>
    <row r="36" spans="1:9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7.25">
      <c r="A37" s="39" t="s">
        <v>957</v>
      </c>
      <c r="B37" s="15"/>
      <c r="C37" s="15"/>
      <c r="D37" s="15"/>
      <c r="E37" s="15"/>
      <c r="F37" s="15"/>
      <c r="G37" s="15"/>
      <c r="H37" s="15"/>
      <c r="I37" s="15"/>
    </row>
    <row r="38" spans="1:9">
      <c r="A38" s="15"/>
      <c r="B38" s="15"/>
      <c r="C38" s="15"/>
      <c r="D38" s="15"/>
      <c r="E38" s="15"/>
      <c r="F38" s="15"/>
      <c r="G38" s="15"/>
      <c r="H38" s="15"/>
      <c r="I38" s="15"/>
    </row>
    <row r="39" spans="1:9">
      <c r="A39" s="15"/>
      <c r="B39" s="1770" t="s">
        <v>951</v>
      </c>
      <c r="C39" s="1771"/>
      <c r="D39" s="1771"/>
      <c r="E39" s="1771"/>
      <c r="F39" s="1770" t="s">
        <v>970</v>
      </c>
      <c r="G39" s="1770"/>
      <c r="H39" s="1770"/>
      <c r="I39" s="1770"/>
    </row>
    <row r="40" spans="1:9">
      <c r="A40" s="15"/>
      <c r="B40" s="18" t="s">
        <v>37</v>
      </c>
      <c r="C40" s="18" t="s">
        <v>402</v>
      </c>
      <c r="D40" s="18" t="s">
        <v>36</v>
      </c>
      <c r="E40" s="18" t="s">
        <v>401</v>
      </c>
      <c r="F40" s="18" t="s">
        <v>37</v>
      </c>
      <c r="G40" s="18" t="s">
        <v>402</v>
      </c>
      <c r="H40" s="18" t="s">
        <v>36</v>
      </c>
      <c r="I40" s="18" t="s">
        <v>401</v>
      </c>
    </row>
    <row r="41" spans="1:9">
      <c r="A41" s="14" t="s">
        <v>946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</row>
    <row r="42" spans="1:9">
      <c r="A42" s="14" t="s">
        <v>945</v>
      </c>
      <c r="B42" s="44">
        <v>0</v>
      </c>
      <c r="C42" s="44">
        <v>0</v>
      </c>
      <c r="D42" s="44">
        <v>0</v>
      </c>
      <c r="E42" s="38">
        <f>B35*$I$29</f>
        <v>0.74946153727673348</v>
      </c>
      <c r="F42" s="44">
        <v>0</v>
      </c>
      <c r="G42" s="44">
        <v>0</v>
      </c>
      <c r="H42" s="44">
        <v>0</v>
      </c>
      <c r="I42" s="44">
        <v>0</v>
      </c>
    </row>
    <row r="43" spans="1:9">
      <c r="A43" s="14" t="s">
        <v>944</v>
      </c>
      <c r="B43" s="44">
        <v>0</v>
      </c>
      <c r="C43" s="44">
        <v>0</v>
      </c>
      <c r="D43" s="44">
        <v>1</v>
      </c>
      <c r="E43" s="44">
        <v>1</v>
      </c>
      <c r="F43" s="44">
        <v>0</v>
      </c>
      <c r="G43" s="44">
        <v>0</v>
      </c>
      <c r="H43" s="44">
        <v>0</v>
      </c>
      <c r="I43" s="44">
        <v>0</v>
      </c>
    </row>
    <row r="44" spans="1:9">
      <c r="A44" s="14" t="s">
        <v>943</v>
      </c>
      <c r="B44" s="44">
        <v>0</v>
      </c>
      <c r="C44" s="38">
        <f>B34*$G$29</f>
        <v>0.74946153727673348</v>
      </c>
      <c r="D44" s="44">
        <v>1</v>
      </c>
      <c r="E44" s="44">
        <v>1</v>
      </c>
      <c r="F44" s="44">
        <v>0</v>
      </c>
      <c r="G44" s="44">
        <v>0</v>
      </c>
      <c r="H44" s="44">
        <v>0</v>
      </c>
      <c r="I44" s="44">
        <v>0</v>
      </c>
    </row>
    <row r="45" spans="1:9">
      <c r="A45" s="14" t="s">
        <v>942</v>
      </c>
      <c r="B45" s="44">
        <v>1</v>
      </c>
      <c r="C45" s="44">
        <v>1</v>
      </c>
      <c r="D45" s="44">
        <v>1</v>
      </c>
      <c r="E45" s="44">
        <v>1</v>
      </c>
      <c r="F45" s="44">
        <v>0</v>
      </c>
      <c r="G45" s="44">
        <v>0</v>
      </c>
      <c r="H45" s="44">
        <v>0</v>
      </c>
      <c r="I45" s="44">
        <v>0</v>
      </c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7.25">
      <c r="A47" s="39" t="s">
        <v>969</v>
      </c>
      <c r="B47" s="15"/>
      <c r="C47" s="15"/>
      <c r="D47" s="15"/>
      <c r="E47" s="15"/>
      <c r="F47" s="15"/>
      <c r="G47" s="15"/>
      <c r="H47" s="15"/>
      <c r="I47" s="15"/>
    </row>
    <row r="48" spans="1:9">
      <c r="A48" s="15"/>
      <c r="B48" s="15"/>
      <c r="C48" s="15"/>
      <c r="D48" s="15"/>
      <c r="E48" s="15"/>
      <c r="F48" s="15"/>
      <c r="G48" s="15"/>
      <c r="H48" s="15"/>
      <c r="I48" s="15"/>
    </row>
    <row r="49" spans="1:9" ht="60">
      <c r="A49" s="15"/>
      <c r="B49" s="6" t="s">
        <v>950</v>
      </c>
      <c r="C49" s="6" t="s">
        <v>949</v>
      </c>
      <c r="D49" s="6" t="s">
        <v>948</v>
      </c>
      <c r="E49" s="6" t="s">
        <v>947</v>
      </c>
      <c r="F49" s="15"/>
      <c r="G49" s="15"/>
      <c r="H49" s="15"/>
      <c r="I49" s="15"/>
    </row>
    <row r="50" spans="1:9">
      <c r="A50" s="14" t="s">
        <v>946</v>
      </c>
      <c r="B50" s="38">
        <f>(SUM(B$28:$I$28)-SUMPRODUCT($B41:$E41,$F$28:$I$28))/(1-SUMPRODUCT($F41:$I41,$F$28:$I$28))</f>
        <v>0.95125899035319339</v>
      </c>
      <c r="C50" s="38">
        <f>(SUM(D$28:$I$28)-SUMPRODUCT($B41:$E41,$F$28:$I$28))/(1-SUM($B$28:C$28)-SUMPRODUCT($F41:$I41,$F$28:$I$28))</f>
        <v>0.92119667968682994</v>
      </c>
      <c r="D50" s="38">
        <f>(SUM(E$28:$I$28)-SUMPRODUCT($B41:$E41,$F$28:$I$28))/(1-SUM($B$28:D$28)-SUMPRODUCT($F41:$I41,$F$28:$I$28))</f>
        <v>0.90717492386366883</v>
      </c>
      <c r="E50" s="38">
        <f>(SUM(F$28:$I$28)-SUMPRODUCT($B41:$E41,$F$28:$I$28))/(1-SUM($B$28:E$28)-SUMPRODUCT($F41:$I41,$F$28:$I$28))</f>
        <v>0.83127813558019437</v>
      </c>
      <c r="F50" s="15"/>
      <c r="G50" s="15"/>
      <c r="H50" s="15"/>
      <c r="I50" s="15"/>
    </row>
    <row r="51" spans="1:9">
      <c r="A51" s="14" t="s">
        <v>945</v>
      </c>
      <c r="B51" s="38">
        <f>(SUM(B$28:$I$28)-SUMPRODUCT($B42:$E42,$F$28:$I$28))/(1-SUMPRODUCT($F42:$I42,$F$28:$I$28))</f>
        <v>0.88111503567422111</v>
      </c>
      <c r="C51" s="38">
        <f>(SUM(D$28:$I$28)-SUMPRODUCT($B42:$E42,$F$28:$I$28))/(1-SUM($B$28:C$28)-SUMPRODUCT($F42:$I42,$F$28:$I$28))</f>
        <v>0.80778958023086556</v>
      </c>
      <c r="D51" s="38">
        <f>(SUM(E$28:$I$28)-SUMPRODUCT($B42:$E42,$F$28:$I$28))/(1-SUM($B$28:D$28)-SUMPRODUCT($F42:$I42,$F$28:$I$28))</f>
        <v>0.77358889475264614</v>
      </c>
      <c r="E51" s="38">
        <f>(SUM(F$28:$I$28)-SUMPRODUCT($B42:$E42,$F$28:$I$28))/(1-SUM($B$28:E$28)-SUMPRODUCT($F42:$I42,$F$28:$I$28))</f>
        <v>0.58846784303653288</v>
      </c>
      <c r="F51" s="15"/>
      <c r="G51" s="15"/>
      <c r="H51" s="15"/>
      <c r="I51" s="15"/>
    </row>
    <row r="52" spans="1:9">
      <c r="A52" s="14" t="s">
        <v>944</v>
      </c>
      <c r="B52" s="38">
        <f>(SUM(B$28:$I$28)-SUMPRODUCT($B43:$E43,$F$28:$I$28))/(1-SUMPRODUCT($F43:$I43,$F$28:$I$28))</f>
        <v>0.82871002159025664</v>
      </c>
      <c r="C52" s="38">
        <f>(SUM(D$28:$I$28)-SUMPRODUCT($B43:$E43,$F$28:$I$28))/(1-SUM($B$28:C$28)-SUMPRODUCT($F43:$I43,$F$28:$I$28))</f>
        <v>0.72306238354782792</v>
      </c>
      <c r="D52" s="38">
        <f>(SUM(E$28:$I$28)-SUMPRODUCT($B43:$E43,$F$28:$I$28))/(1-SUM($B$28:D$28)-SUMPRODUCT($F43:$I43,$F$28:$I$28))</f>
        <v>0.67378588579736898</v>
      </c>
      <c r="E52" s="38">
        <f>(SUM(F$28:$I$28)-SUMPRODUCT($B43:$E43,$F$28:$I$28))/(1-SUM($B$28:E$28)-SUMPRODUCT($F43:$I43,$F$28:$I$28))</f>
        <v>0.40706266195260049</v>
      </c>
      <c r="F52" s="15"/>
      <c r="G52" s="15"/>
      <c r="H52" s="15"/>
      <c r="I52" s="15"/>
    </row>
    <row r="53" spans="1:9">
      <c r="A53" s="14" t="s">
        <v>943</v>
      </c>
      <c r="B53" s="38">
        <f>(SUM(B$28:$I$28)-SUMPRODUCT($B44:$E44,$F$28:$I$28))/(1-SUMPRODUCT($F44:$I44,$F$28:$I$28))</f>
        <v>0.77544522853305675</v>
      </c>
      <c r="C53" s="38">
        <f>(SUM(D$28:$I$28)-SUMPRODUCT($B44:$E44,$F$28:$I$28))/(1-SUM($B$28:C$28)-SUMPRODUCT($F44:$I44,$F$28:$I$28))</f>
        <v>0.63694511640220919</v>
      </c>
      <c r="D53" s="38">
        <f>(SUM(E$28:$I$28)-SUMPRODUCT($B44:$E44,$F$28:$I$28))/(1-SUM($B$28:D$28)-SUMPRODUCT($F44:$I44,$F$28:$I$28))</f>
        <v>0.57234546618463289</v>
      </c>
      <c r="E53" s="38">
        <f>(SUM(F$28:$I$28)-SUMPRODUCT($B44:$E44,$F$28:$I$28))/(1-SUM($B$28:E$28)-SUMPRODUCT($F44:$I44,$F$28:$I$28))</f>
        <v>0.22268127023199077</v>
      </c>
      <c r="F53" s="15"/>
      <c r="G53" s="15"/>
      <c r="H53" s="15"/>
      <c r="I53" s="15"/>
    </row>
    <row r="54" spans="1:9">
      <c r="A54" s="14" t="s">
        <v>942</v>
      </c>
      <c r="B54" s="38">
        <f>(SUM(B$28:$I$28)-SUMPRODUCT($B45:$E45,$F$28:$I$28))/(1-SUMPRODUCT($F45:$I45,$F$28:$I$28))</f>
        <v>0.71111622186955192</v>
      </c>
      <c r="C54" s="38">
        <f>(SUM(D$28:$I$28)-SUMPRODUCT($B45:$E45,$F$28:$I$28))/(1-SUM($B$28:C$28)-SUMPRODUCT($F45:$I45,$F$28:$I$28))</f>
        <v>0.53293948840504013</v>
      </c>
      <c r="D54" s="38">
        <f>(SUM(E$28:$I$28)-SUMPRODUCT($B45:$E45,$F$28:$I$28))/(1-SUM($B$28:D$28)-SUMPRODUCT($F45:$I45,$F$28:$I$28))</f>
        <v>0.44983374587796104</v>
      </c>
      <c r="E54" s="38">
        <f>(SUM(F$28:$I$28)-SUMPRODUCT($B45:$E45,$F$28:$I$28))/(1-SUM($B$28:E$28)-SUMPRODUCT($F45:$I45,$F$28:$I$28))</f>
        <v>0</v>
      </c>
      <c r="F54" s="15"/>
      <c r="G54" s="15"/>
      <c r="H54" s="15"/>
      <c r="I54" s="15"/>
    </row>
    <row r="56" spans="1:9" ht="17.25">
      <c r="A56" s="39" t="s">
        <v>968</v>
      </c>
      <c r="B56" s="15"/>
      <c r="C56" s="15"/>
      <c r="D56" s="15"/>
      <c r="E56" s="15"/>
    </row>
    <row r="57" spans="1:9">
      <c r="A57" s="15"/>
      <c r="B57" s="15"/>
      <c r="C57" s="15"/>
      <c r="D57" s="15"/>
      <c r="E57" s="15"/>
    </row>
    <row r="58" spans="1:9" ht="60">
      <c r="A58" s="15"/>
      <c r="B58" s="6" t="s">
        <v>950</v>
      </c>
      <c r="C58" s="6" t="s">
        <v>949</v>
      </c>
      <c r="D58" s="6" t="s">
        <v>948</v>
      </c>
      <c r="E58" s="6" t="s">
        <v>947</v>
      </c>
    </row>
    <row r="59" spans="1:9">
      <c r="A59" s="14" t="s">
        <v>946</v>
      </c>
      <c r="B59" s="38">
        <f>MIN(1,B50)</f>
        <v>0.95125899035319339</v>
      </c>
      <c r="C59" s="38">
        <f t="shared" ref="C59:E59" si="0">MIN(1,C50)</f>
        <v>0.92119667968682994</v>
      </c>
      <c r="D59" s="38">
        <f t="shared" si="0"/>
        <v>0.90717492386366883</v>
      </c>
      <c r="E59" s="38">
        <f t="shared" si="0"/>
        <v>0.83127813558019437</v>
      </c>
    </row>
    <row r="60" spans="1:9">
      <c r="A60" s="14" t="s">
        <v>945</v>
      </c>
      <c r="B60" s="38">
        <f t="shared" ref="B60:E60" si="1">MIN(1,B51)</f>
        <v>0.88111503567422111</v>
      </c>
      <c r="C60" s="38">
        <f t="shared" si="1"/>
        <v>0.80778958023086556</v>
      </c>
      <c r="D60" s="38">
        <f t="shared" si="1"/>
        <v>0.77358889475264614</v>
      </c>
      <c r="E60" s="38">
        <f t="shared" si="1"/>
        <v>0.58846784303653288</v>
      </c>
    </row>
    <row r="61" spans="1:9">
      <c r="A61" s="14" t="s">
        <v>944</v>
      </c>
      <c r="B61" s="38">
        <f t="shared" ref="B61:E61" si="2">MIN(1,B52)</f>
        <v>0.82871002159025664</v>
      </c>
      <c r="C61" s="38">
        <f t="shared" si="2"/>
        <v>0.72306238354782792</v>
      </c>
      <c r="D61" s="38">
        <f t="shared" si="2"/>
        <v>0.67378588579736898</v>
      </c>
      <c r="E61" s="38">
        <f t="shared" si="2"/>
        <v>0.40706266195260049</v>
      </c>
    </row>
    <row r="62" spans="1:9">
      <c r="A62" s="14" t="s">
        <v>943</v>
      </c>
      <c r="B62" s="38">
        <f t="shared" ref="B62:E62" si="3">MIN(1,B53)</f>
        <v>0.77544522853305675</v>
      </c>
      <c r="C62" s="38">
        <f t="shared" si="3"/>
        <v>0.63694511640220919</v>
      </c>
      <c r="D62" s="38">
        <f t="shared" si="3"/>
        <v>0.57234546618463289</v>
      </c>
      <c r="E62" s="38">
        <f t="shared" si="3"/>
        <v>0.22268127023199077</v>
      </c>
    </row>
    <row r="63" spans="1:9">
      <c r="A63" s="14" t="s">
        <v>942</v>
      </c>
      <c r="B63" s="38">
        <f t="shared" ref="B63:E63" si="4">MIN(1,B54)</f>
        <v>0.71111622186955192</v>
      </c>
      <c r="C63" s="38">
        <f t="shared" si="4"/>
        <v>0.53293948840504013</v>
      </c>
      <c r="D63" s="38">
        <f t="shared" si="4"/>
        <v>0.44983374587796104</v>
      </c>
      <c r="E63" s="38">
        <f t="shared" si="4"/>
        <v>0</v>
      </c>
    </row>
  </sheetData>
  <sheetProtection sheet="1" objects="1" scenarios="1"/>
  <mergeCells count="2">
    <mergeCell ref="B39:E39"/>
    <mergeCell ref="F39:I39"/>
  </mergeCells>
  <pageMargins left="0.74803149606299213" right="0.74803149606299213" top="0.98425196850393704" bottom="0.98425196850393704" header="0.51181102362204722" footer="0.51181102362204722"/>
  <pageSetup paperSize="9" scale="61" orientation="portrait" horizontalDpi="4294967292" verticalDpi="4294967292" r:id="rId1"/>
  <headerFooter>
    <oddHeader>&amp;A&amp;RPage &amp;P</oddHeader>
    <oddFooter>&amp;L&amp;Z&amp;F&amp;R&amp;D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5FFFF"/>
    <pageSetUpPr fitToPage="1"/>
  </sheetPr>
  <dimension ref="A1:I33"/>
  <sheetViews>
    <sheetView workbookViewId="0">
      <selection activeCell="C3" sqref="C3:H30"/>
    </sheetView>
  </sheetViews>
  <sheetFormatPr defaultColWidth="8.85546875" defaultRowHeight="15"/>
  <cols>
    <col min="1" max="1" width="5" style="2" customWidth="1"/>
    <col min="2" max="2" width="38.140625" style="2" bestFit="1" customWidth="1"/>
    <col min="3" max="8" width="9.42578125" style="2" customWidth="1"/>
    <col min="9" max="16384" width="8.85546875" style="2"/>
  </cols>
  <sheetData>
    <row r="1" spans="1:9"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</row>
    <row r="2" spans="1:9">
      <c r="C2" s="2" t="s">
        <v>45</v>
      </c>
      <c r="D2" s="2" t="s">
        <v>45</v>
      </c>
      <c r="E2" s="2" t="s">
        <v>45</v>
      </c>
      <c r="F2" s="2" t="s">
        <v>45</v>
      </c>
      <c r="G2" s="2" t="s">
        <v>45</v>
      </c>
      <c r="H2" s="2" t="s">
        <v>45</v>
      </c>
    </row>
    <row r="3" spans="1:9">
      <c r="A3" s="2">
        <v>1</v>
      </c>
      <c r="B3" s="2" t="s">
        <v>46</v>
      </c>
      <c r="C3"/>
      <c r="D3" s="56">
        <v>695.6</v>
      </c>
      <c r="E3" s="56">
        <v>717.4</v>
      </c>
      <c r="F3" s="56">
        <v>734</v>
      </c>
      <c r="G3" s="56">
        <v>747</v>
      </c>
      <c r="H3" s="56">
        <v>756.3</v>
      </c>
      <c r="I3" s="2" t="s">
        <v>47</v>
      </c>
    </row>
    <row r="4" spans="1:9">
      <c r="A4" s="2">
        <v>2</v>
      </c>
      <c r="B4" s="2" t="s">
        <v>48</v>
      </c>
      <c r="C4"/>
      <c r="D4" s="56">
        <v>72.099999999999994</v>
      </c>
      <c r="E4" s="56">
        <v>72.099999999999994</v>
      </c>
      <c r="F4" s="56">
        <v>72.099999999999994</v>
      </c>
      <c r="G4" s="56">
        <v>72.099999999999994</v>
      </c>
      <c r="H4" s="56">
        <v>72.099999999999994</v>
      </c>
      <c r="I4" s="2" t="s">
        <v>47</v>
      </c>
    </row>
    <row r="5" spans="1:9">
      <c r="A5" s="2">
        <v>3</v>
      </c>
      <c r="B5" s="2" t="s">
        <v>49</v>
      </c>
      <c r="C5"/>
      <c r="D5" s="56">
        <v>-50.3</v>
      </c>
      <c r="E5" s="56">
        <v>-55.5</v>
      </c>
      <c r="F5" s="56">
        <v>-59.1</v>
      </c>
      <c r="G5" s="56">
        <v>-62.7</v>
      </c>
      <c r="H5" s="56">
        <v>-66.3</v>
      </c>
      <c r="I5" s="2" t="s">
        <v>47</v>
      </c>
    </row>
    <row r="6" spans="1:9">
      <c r="A6" s="2">
        <v>4</v>
      </c>
      <c r="B6" s="2" t="s">
        <v>50</v>
      </c>
      <c r="C6"/>
      <c r="D6" s="56">
        <v>717.4</v>
      </c>
      <c r="E6" s="56">
        <v>734</v>
      </c>
      <c r="F6" s="56">
        <v>747</v>
      </c>
      <c r="G6" s="56">
        <v>756.3</v>
      </c>
      <c r="H6" s="56">
        <v>762.1</v>
      </c>
      <c r="I6" s="2" t="s">
        <v>47</v>
      </c>
    </row>
    <row r="7" spans="1:9">
      <c r="A7" s="2">
        <v>5</v>
      </c>
      <c r="B7" s="2" t="s">
        <v>51</v>
      </c>
      <c r="C7"/>
      <c r="D7" s="56">
        <v>695.6</v>
      </c>
      <c r="E7"/>
      <c r="F7" t="s">
        <v>47</v>
      </c>
      <c r="G7"/>
      <c r="H7">
        <v>581.79999999999995</v>
      </c>
    </row>
    <row r="8" spans="1:9">
      <c r="A8" s="2">
        <v>6</v>
      </c>
      <c r="B8" s="2" t="s">
        <v>52</v>
      </c>
      <c r="C8"/>
      <c r="D8"/>
      <c r="E8" t="s">
        <v>47</v>
      </c>
      <c r="F8"/>
      <c r="G8"/>
      <c r="H8">
        <v>113.7</v>
      </c>
    </row>
    <row r="9" spans="1:9">
      <c r="A9" s="2" t="s">
        <v>53</v>
      </c>
      <c r="C9"/>
      <c r="D9"/>
      <c r="E9"/>
      <c r="F9"/>
      <c r="G9"/>
      <c r="H9"/>
    </row>
    <row r="10" spans="1:9">
      <c r="A10" s="2">
        <v>7</v>
      </c>
      <c r="B10" s="2" t="s">
        <v>54</v>
      </c>
      <c r="C10"/>
      <c r="D10" s="56">
        <v>53.2</v>
      </c>
      <c r="E10" s="56">
        <v>55.2</v>
      </c>
      <c r="F10" s="56">
        <v>56</v>
      </c>
      <c r="G10" s="56">
        <v>55.5</v>
      </c>
      <c r="H10" s="56">
        <v>55.1</v>
      </c>
      <c r="I10" s="2" t="s">
        <v>47</v>
      </c>
    </row>
    <row r="11" spans="1:9">
      <c r="A11" s="2">
        <v>8</v>
      </c>
      <c r="B11" s="2" t="s">
        <v>55</v>
      </c>
      <c r="C11"/>
      <c r="D11" s="56">
        <v>63.8</v>
      </c>
      <c r="E11" s="56">
        <v>63.7</v>
      </c>
      <c r="F11" s="56">
        <v>63.5</v>
      </c>
      <c r="G11" s="56">
        <v>63.4</v>
      </c>
      <c r="H11" s="56">
        <v>63.3</v>
      </c>
      <c r="I11" s="2" t="s">
        <v>47</v>
      </c>
    </row>
    <row r="12" spans="1:9">
      <c r="A12" s="2">
        <v>9</v>
      </c>
      <c r="B12" s="2" t="s">
        <v>56</v>
      </c>
      <c r="C12"/>
      <c r="D12" s="56">
        <v>14.4</v>
      </c>
      <c r="E12" s="56">
        <v>14.6</v>
      </c>
      <c r="F12" s="56">
        <v>14.8</v>
      </c>
      <c r="G12" s="56">
        <v>15</v>
      </c>
      <c r="H12" s="56">
        <v>15.2</v>
      </c>
      <c r="I12" s="2" t="s">
        <v>47</v>
      </c>
    </row>
    <row r="13" spans="1:9">
      <c r="A13" s="2">
        <v>10</v>
      </c>
      <c r="B13" s="2" t="s">
        <v>57</v>
      </c>
      <c r="C13"/>
      <c r="D13" s="56">
        <v>15.8</v>
      </c>
      <c r="E13" s="56">
        <v>16.399999999999999</v>
      </c>
      <c r="F13" s="56">
        <v>17.100000000000001</v>
      </c>
      <c r="G13" s="56">
        <v>17.8</v>
      </c>
      <c r="H13" s="56">
        <v>18.600000000000001</v>
      </c>
      <c r="I13" s="2" t="s">
        <v>47</v>
      </c>
    </row>
    <row r="14" spans="1:9">
      <c r="A14" s="2">
        <v>11</v>
      </c>
      <c r="B14" s="2" t="s">
        <v>58</v>
      </c>
      <c r="C14"/>
      <c r="D14" s="56">
        <v>4.5</v>
      </c>
      <c r="E14" s="56">
        <v>4.0999999999999996</v>
      </c>
      <c r="F14" s="56">
        <v>2.8</v>
      </c>
      <c r="G14" s="56">
        <v>1.8</v>
      </c>
      <c r="H14" s="56">
        <v>0.9</v>
      </c>
      <c r="I14" s="2" t="s">
        <v>47</v>
      </c>
    </row>
    <row r="15" spans="1:9">
      <c r="A15" s="2">
        <v>12</v>
      </c>
      <c r="B15" s="2" t="s">
        <v>59</v>
      </c>
      <c r="C15"/>
      <c r="D15" s="56">
        <v>1.4</v>
      </c>
      <c r="E15" s="56">
        <v>1.5</v>
      </c>
      <c r="F15" s="56">
        <v>1.5</v>
      </c>
      <c r="G15" s="56">
        <v>1.5</v>
      </c>
      <c r="H15" s="56">
        <v>1.5</v>
      </c>
      <c r="I15" s="2" t="s">
        <v>47</v>
      </c>
    </row>
    <row r="16" spans="1:9">
      <c r="A16" s="2">
        <v>13</v>
      </c>
      <c r="B16" s="2" t="s">
        <v>60</v>
      </c>
      <c r="C16"/>
      <c r="D16" s="56"/>
      <c r="E16" s="56"/>
      <c r="F16" s="56"/>
      <c r="G16" s="56"/>
      <c r="H16" s="56"/>
      <c r="I16" s="2" t="s">
        <v>47</v>
      </c>
    </row>
    <row r="17" spans="1:9">
      <c r="A17" s="2">
        <v>14</v>
      </c>
      <c r="B17" s="2" t="s">
        <v>61</v>
      </c>
      <c r="C17"/>
      <c r="D17" s="56">
        <v>1.7</v>
      </c>
      <c r="E17" s="56">
        <v>1.7</v>
      </c>
      <c r="F17" s="56">
        <v>1.7</v>
      </c>
      <c r="G17" s="56">
        <v>1.7</v>
      </c>
      <c r="H17" s="56">
        <v>1.7</v>
      </c>
      <c r="I17" s="2" t="s">
        <v>47</v>
      </c>
    </row>
    <row r="18" spans="1:9">
      <c r="A18" s="2">
        <v>15</v>
      </c>
      <c r="B18" s="2" t="s">
        <v>62</v>
      </c>
      <c r="C18"/>
      <c r="D18">
        <v>1.6</v>
      </c>
      <c r="E18" s="56"/>
      <c r="F18" s="56"/>
      <c r="G18" s="56"/>
      <c r="H18" s="56"/>
      <c r="I18" s="2" t="s">
        <v>47</v>
      </c>
    </row>
    <row r="19" spans="1:9">
      <c r="A19" s="2">
        <v>16</v>
      </c>
      <c r="B19" s="2" t="s">
        <v>63</v>
      </c>
      <c r="C19"/>
      <c r="D19" s="57">
        <v>156.5</v>
      </c>
      <c r="E19" s="57">
        <v>157.19999999999999</v>
      </c>
      <c r="F19" s="57">
        <v>157.4</v>
      </c>
      <c r="G19" s="57">
        <v>156.80000000000001</v>
      </c>
      <c r="H19" s="57">
        <v>156.30000000000001</v>
      </c>
      <c r="I19" s="2" t="s">
        <v>47</v>
      </c>
    </row>
    <row r="20" spans="1:9">
      <c r="A20" s="2">
        <v>17</v>
      </c>
      <c r="B20" s="2" t="s">
        <v>64</v>
      </c>
      <c r="C20"/>
      <c r="D20" s="56">
        <v>152.30000000000001</v>
      </c>
      <c r="E20" s="56">
        <v>144.9</v>
      </c>
      <c r="F20" s="56">
        <v>137.5</v>
      </c>
      <c r="G20" s="56">
        <v>129.80000000000001</v>
      </c>
      <c r="H20" s="56">
        <v>122.6</v>
      </c>
      <c r="I20" s="2" t="s">
        <v>47</v>
      </c>
    </row>
    <row r="21" spans="1:9">
      <c r="A21" s="2">
        <v>18</v>
      </c>
      <c r="B21" s="2" t="s">
        <v>65</v>
      </c>
      <c r="C21"/>
      <c r="D21"/>
      <c r="E21" t="s">
        <v>47</v>
      </c>
      <c r="F21"/>
      <c r="G21"/>
      <c r="H21">
        <v>113.7</v>
      </c>
    </row>
    <row r="22" spans="1:9">
      <c r="A22" s="2">
        <v>19</v>
      </c>
      <c r="B22" s="2" t="s">
        <v>66</v>
      </c>
      <c r="C22"/>
      <c r="D22"/>
      <c r="E22"/>
      <c r="F22"/>
      <c r="G22"/>
      <c r="H22" s="56">
        <v>800.9</v>
      </c>
    </row>
    <row r="23" spans="1:9">
      <c r="A23" s="2" t="s">
        <v>67</v>
      </c>
      <c r="C23"/>
      <c r="D23"/>
      <c r="E23"/>
      <c r="F23"/>
      <c r="G23"/>
      <c r="H23"/>
    </row>
    <row r="24" spans="1:9">
      <c r="A24" s="2">
        <v>20</v>
      </c>
      <c r="B24" s="2" t="s">
        <v>68</v>
      </c>
      <c r="C24"/>
      <c r="D24" s="56">
        <v>1</v>
      </c>
      <c r="E24" s="56">
        <v>1.0129999999999999</v>
      </c>
      <c r="F24" s="56">
        <v>1.0269999999999999</v>
      </c>
      <c r="G24" s="56">
        <v>1.038</v>
      </c>
      <c r="H24" s="56">
        <v>1.0509999999999999</v>
      </c>
      <c r="I24" s="2" t="s">
        <v>47</v>
      </c>
    </row>
    <row r="25" spans="1:9">
      <c r="A25" s="2">
        <v>21</v>
      </c>
      <c r="B25" s="2" t="s">
        <v>69</v>
      </c>
      <c r="C25"/>
      <c r="D25" s="56">
        <v>0.97299999999999998</v>
      </c>
      <c r="E25" s="56">
        <v>0.93400000000000005</v>
      </c>
      <c r="F25" s="56">
        <v>0.89700000000000002</v>
      </c>
      <c r="G25" s="56">
        <v>0.86</v>
      </c>
      <c r="H25" s="56">
        <v>0.82499999999999996</v>
      </c>
      <c r="I25" s="2" t="s">
        <v>47</v>
      </c>
    </row>
    <row r="26" spans="1:9">
      <c r="A26" s="2">
        <v>22</v>
      </c>
      <c r="B26" s="2" t="s">
        <v>70</v>
      </c>
      <c r="C26" s="58">
        <v>173.1</v>
      </c>
      <c r="D26" s="58">
        <v>175.6</v>
      </c>
      <c r="E26" s="58">
        <v>177.8</v>
      </c>
      <c r="F26" s="58">
        <v>180.3</v>
      </c>
      <c r="G26" s="58">
        <v>182.3</v>
      </c>
      <c r="H26" s="59">
        <v>184.6</v>
      </c>
      <c r="I26" s="2" t="s">
        <v>47</v>
      </c>
    </row>
    <row r="27" spans="1:9">
      <c r="A27" s="2">
        <v>23</v>
      </c>
      <c r="B27" s="2" t="s">
        <v>71</v>
      </c>
      <c r="C27"/>
      <c r="D27" s="56">
        <v>2.9</v>
      </c>
      <c r="E27" s="56">
        <v>2.9</v>
      </c>
      <c r="F27" s="56">
        <v>2.9</v>
      </c>
      <c r="G27" s="56">
        <v>2.9</v>
      </c>
      <c r="H27" s="56">
        <v>2.9</v>
      </c>
      <c r="I27" s="2" t="s">
        <v>47</v>
      </c>
    </row>
    <row r="28" spans="1:9">
      <c r="A28" s="2">
        <v>24</v>
      </c>
      <c r="B28" s="2" t="s">
        <v>72</v>
      </c>
      <c r="C28"/>
      <c r="D28" s="56">
        <v>178.5</v>
      </c>
      <c r="E28" s="56">
        <v>180.7</v>
      </c>
      <c r="F28" s="56">
        <v>183.2</v>
      </c>
      <c r="G28" s="56">
        <v>185.2</v>
      </c>
      <c r="H28" s="56">
        <v>187.5</v>
      </c>
      <c r="I28" s="2" t="s">
        <v>47</v>
      </c>
    </row>
    <row r="29" spans="1:9">
      <c r="A29" s="2">
        <v>25</v>
      </c>
      <c r="B29" s="2" t="s">
        <v>73</v>
      </c>
      <c r="C29"/>
      <c r="D29" s="56">
        <v>173.7</v>
      </c>
      <c r="E29" s="56">
        <v>166.7</v>
      </c>
      <c r="F29" s="56">
        <v>160.1</v>
      </c>
      <c r="G29" s="56">
        <v>153.30000000000001</v>
      </c>
      <c r="H29" s="56">
        <v>147.1</v>
      </c>
      <c r="I29" s="2" t="s">
        <v>47</v>
      </c>
    </row>
    <row r="30" spans="1:9">
      <c r="A30" s="2">
        <v>26</v>
      </c>
      <c r="B30" s="2" t="s">
        <v>66</v>
      </c>
      <c r="C30"/>
      <c r="D30"/>
      <c r="E30"/>
      <c r="F30"/>
      <c r="G30"/>
      <c r="H30" s="57">
        <v>800.9</v>
      </c>
    </row>
    <row r="32" spans="1:9">
      <c r="A32" s="2" t="s">
        <v>940</v>
      </c>
    </row>
    <row r="33" spans="1:1">
      <c r="A33" s="2" t="s">
        <v>941</v>
      </c>
    </row>
  </sheetData>
  <phoneticPr fontId="1" type="noConversion"/>
  <pageMargins left="0.75" right="0.75" top="1" bottom="1" header="0.5" footer="0.5"/>
  <pageSetup paperSize="9" scale="7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5FFFF"/>
    <pageSetUpPr fitToPage="1"/>
  </sheetPr>
  <dimension ref="A1:AE147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2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60" t="s">
        <v>74</v>
      </c>
      <c r="B1" s="60"/>
      <c r="F1" t="s">
        <v>47</v>
      </c>
      <c r="G1" s="61" t="s">
        <v>984</v>
      </c>
      <c r="I1" t="s">
        <v>47</v>
      </c>
      <c r="K1" t="s">
        <v>47</v>
      </c>
      <c r="L1" t="s">
        <v>47</v>
      </c>
      <c r="N1" t="s">
        <v>47</v>
      </c>
      <c r="P1" t="s">
        <v>47</v>
      </c>
      <c r="Q1" t="s">
        <v>47</v>
      </c>
      <c r="S1" t="s">
        <v>47</v>
      </c>
      <c r="U1" t="s">
        <v>47</v>
      </c>
      <c r="V1" t="s">
        <v>47</v>
      </c>
      <c r="X1" t="s">
        <v>47</v>
      </c>
      <c r="Z1" t="s">
        <v>47</v>
      </c>
      <c r="AA1" t="s">
        <v>47</v>
      </c>
      <c r="AC1" t="s">
        <v>47</v>
      </c>
      <c r="AE1" t="s">
        <v>47</v>
      </c>
    </row>
    <row r="2" spans="1:31">
      <c r="A2" s="60"/>
      <c r="B2" s="60"/>
    </row>
    <row r="3" spans="1:31">
      <c r="A3" s="60" t="s">
        <v>75</v>
      </c>
      <c r="B3" s="60"/>
    </row>
    <row r="4" spans="1:31">
      <c r="A4" s="60"/>
      <c r="B4" s="60"/>
    </row>
    <row r="5" spans="1:31">
      <c r="A5" s="60"/>
      <c r="B5" s="60" t="s">
        <v>76</v>
      </c>
    </row>
    <row r="6" spans="1:31" ht="13.5" thickBot="1"/>
    <row r="7" spans="1:31" s="62" customFormat="1" ht="15" customHeight="1" thickBot="1">
      <c r="B7" s="1450" t="s">
        <v>77</v>
      </c>
      <c r="C7" s="1451"/>
      <c r="D7" s="1451"/>
      <c r="E7" s="1452"/>
      <c r="F7" s="1456" t="s">
        <v>78</v>
      </c>
      <c r="G7" s="1447" t="s">
        <v>79</v>
      </c>
      <c r="H7" s="1447"/>
      <c r="I7" s="1447"/>
      <c r="J7" s="1447"/>
      <c r="K7" s="1448"/>
      <c r="L7" s="1447" t="s">
        <v>80</v>
      </c>
      <c r="M7" s="1447"/>
      <c r="N7" s="1447"/>
      <c r="O7" s="1447"/>
      <c r="P7" s="1448"/>
      <c r="Q7" s="1446" t="s">
        <v>81</v>
      </c>
      <c r="R7" s="1447"/>
      <c r="S7" s="1447"/>
      <c r="T7" s="1447"/>
      <c r="U7" s="1448"/>
      <c r="V7" s="1446" t="s">
        <v>82</v>
      </c>
      <c r="W7" s="1447"/>
      <c r="X7" s="1447"/>
      <c r="Y7" s="1447"/>
      <c r="Z7" s="1448"/>
      <c r="AA7" s="1446" t="s">
        <v>44</v>
      </c>
      <c r="AB7" s="1447"/>
      <c r="AC7" s="1447"/>
      <c r="AD7" s="1447"/>
      <c r="AE7" s="1448"/>
    </row>
    <row r="8" spans="1:31" ht="38.25">
      <c r="B8" s="1444"/>
      <c r="C8" s="1449"/>
      <c r="D8" s="1449"/>
      <c r="E8" s="1445"/>
      <c r="F8" s="1457"/>
      <c r="G8" s="1449" t="s">
        <v>83</v>
      </c>
      <c r="H8" s="1449"/>
      <c r="I8" s="1444" t="s">
        <v>84</v>
      </c>
      <c r="J8" s="1449"/>
      <c r="K8" s="63" t="s">
        <v>85</v>
      </c>
      <c r="L8" s="1449" t="s">
        <v>83</v>
      </c>
      <c r="M8" s="1449"/>
      <c r="N8" s="1444" t="s">
        <v>84</v>
      </c>
      <c r="O8" s="1445"/>
      <c r="P8" s="64" t="s">
        <v>85</v>
      </c>
      <c r="Q8" s="1449" t="s">
        <v>83</v>
      </c>
      <c r="R8" s="1449"/>
      <c r="S8" s="1444" t="s">
        <v>84</v>
      </c>
      <c r="T8" s="1449"/>
      <c r="U8" s="63" t="s">
        <v>85</v>
      </c>
      <c r="V8" s="1449" t="s">
        <v>83</v>
      </c>
      <c r="W8" s="1449"/>
      <c r="X8" s="1444" t="s">
        <v>84</v>
      </c>
      <c r="Y8" s="1445"/>
      <c r="Z8" s="64" t="s">
        <v>85</v>
      </c>
      <c r="AA8" s="1449" t="s">
        <v>83</v>
      </c>
      <c r="AB8" s="1449"/>
      <c r="AC8" s="1444" t="s">
        <v>84</v>
      </c>
      <c r="AD8" s="1445"/>
      <c r="AE8" s="64" t="s">
        <v>86</v>
      </c>
    </row>
    <row r="9" spans="1:31" s="62" customFormat="1" ht="15.75" customHeight="1" thickBot="1">
      <c r="B9" s="1453"/>
      <c r="C9" s="1454"/>
      <c r="D9" s="1454"/>
      <c r="E9" s="1455"/>
      <c r="F9" s="1458"/>
      <c r="G9" s="65" t="s">
        <v>87</v>
      </c>
      <c r="H9" s="66" t="s">
        <v>88</v>
      </c>
      <c r="I9" s="67" t="s">
        <v>87</v>
      </c>
      <c r="J9" s="68" t="s">
        <v>88</v>
      </c>
      <c r="K9" s="69" t="s">
        <v>79</v>
      </c>
      <c r="L9" s="65" t="s">
        <v>87</v>
      </c>
      <c r="M9" s="66" t="s">
        <v>88</v>
      </c>
      <c r="N9" s="67" t="s">
        <v>87</v>
      </c>
      <c r="O9" s="70" t="s">
        <v>88</v>
      </c>
      <c r="P9" s="71" t="s">
        <v>80</v>
      </c>
      <c r="Q9" s="65" t="s">
        <v>87</v>
      </c>
      <c r="R9" s="66" t="s">
        <v>88</v>
      </c>
      <c r="S9" s="67" t="s">
        <v>87</v>
      </c>
      <c r="T9" s="68" t="s">
        <v>88</v>
      </c>
      <c r="U9" s="69" t="s">
        <v>81</v>
      </c>
      <c r="V9" s="65" t="s">
        <v>87</v>
      </c>
      <c r="W9" s="66" t="s">
        <v>88</v>
      </c>
      <c r="X9" s="67" t="s">
        <v>87</v>
      </c>
      <c r="Y9" s="70" t="s">
        <v>88</v>
      </c>
      <c r="Z9" s="71" t="s">
        <v>82</v>
      </c>
      <c r="AA9" s="65" t="s">
        <v>87</v>
      </c>
      <c r="AB9" s="66" t="s">
        <v>88</v>
      </c>
      <c r="AC9" s="67" t="s">
        <v>87</v>
      </c>
      <c r="AD9" s="70" t="s">
        <v>88</v>
      </c>
      <c r="AE9" s="71" t="s">
        <v>44</v>
      </c>
    </row>
    <row r="10" spans="1:31" s="62" customFormat="1" ht="15.75" customHeight="1">
      <c r="B10" s="72"/>
      <c r="C10" s="73" t="s">
        <v>89</v>
      </c>
      <c r="D10" s="73"/>
      <c r="E10" s="74"/>
      <c r="F10" s="75"/>
      <c r="G10" s="76"/>
      <c r="H10" s="77"/>
      <c r="I10" s="76"/>
      <c r="J10" s="78"/>
      <c r="K10" s="79"/>
      <c r="L10" s="76"/>
      <c r="M10" s="77"/>
      <c r="N10" s="76"/>
      <c r="O10" s="78"/>
      <c r="P10" s="79"/>
      <c r="Q10" s="76"/>
      <c r="R10" s="77"/>
      <c r="S10" s="76"/>
      <c r="T10" s="78"/>
      <c r="U10" s="79"/>
      <c r="V10" s="76"/>
      <c r="W10" s="77"/>
      <c r="X10" s="76"/>
      <c r="Y10" s="77"/>
      <c r="Z10" s="79"/>
      <c r="AA10" s="76"/>
      <c r="AB10" s="77"/>
      <c r="AC10" s="76"/>
      <c r="AD10" s="77"/>
      <c r="AE10" s="79"/>
    </row>
    <row r="11" spans="1:31" s="62" customFormat="1" ht="15.75" customHeight="1">
      <c r="B11" s="72"/>
      <c r="C11" s="74"/>
      <c r="D11" s="73" t="s">
        <v>90</v>
      </c>
      <c r="E11" s="74"/>
      <c r="F11" s="80"/>
      <c r="G11" s="81"/>
      <c r="H11" s="82"/>
      <c r="I11" s="81"/>
      <c r="J11" s="83"/>
      <c r="K11" s="84"/>
      <c r="L11" s="81"/>
      <c r="M11" s="82"/>
      <c r="N11" s="81"/>
      <c r="O11" s="83"/>
      <c r="P11" s="84"/>
      <c r="Q11" s="81"/>
      <c r="R11" s="82"/>
      <c r="S11" s="81"/>
      <c r="T11" s="83"/>
      <c r="U11" s="85"/>
      <c r="V11" s="81"/>
      <c r="W11" s="82"/>
      <c r="X11" s="81"/>
      <c r="Y11" s="82"/>
      <c r="Z11" s="84"/>
      <c r="AA11" s="81"/>
      <c r="AB11" s="82"/>
      <c r="AC11" s="81"/>
      <c r="AD11" s="82"/>
      <c r="AE11" s="84"/>
    </row>
    <row r="12" spans="1:31" s="62" customFormat="1" ht="15.75" customHeight="1">
      <c r="B12" s="86"/>
      <c r="C12" s="74"/>
      <c r="D12" s="74"/>
      <c r="E12" s="74" t="s">
        <v>91</v>
      </c>
      <c r="F12" s="87"/>
      <c r="G12" s="88">
        <v>0</v>
      </c>
      <c r="H12" s="89">
        <v>0</v>
      </c>
      <c r="I12" s="88">
        <v>0</v>
      </c>
      <c r="J12" s="89">
        <v>0</v>
      </c>
      <c r="K12" s="90">
        <v>7568</v>
      </c>
      <c r="L12" s="88">
        <v>0</v>
      </c>
      <c r="M12" s="89">
        <v>155</v>
      </c>
      <c r="N12" s="88">
        <v>0</v>
      </c>
      <c r="O12" s="89">
        <v>113</v>
      </c>
      <c r="P12" s="90">
        <v>7526</v>
      </c>
      <c r="Q12" s="88">
        <v>0</v>
      </c>
      <c r="R12" s="89">
        <v>192</v>
      </c>
      <c r="S12" s="88">
        <v>0</v>
      </c>
      <c r="T12" s="89">
        <v>126</v>
      </c>
      <c r="U12" s="91">
        <v>7460</v>
      </c>
      <c r="V12" s="88">
        <v>0</v>
      </c>
      <c r="W12" s="89">
        <v>146</v>
      </c>
      <c r="X12" s="88">
        <v>0</v>
      </c>
      <c r="Y12" s="89">
        <v>141</v>
      </c>
      <c r="Z12" s="90">
        <v>7455</v>
      </c>
      <c r="AA12" s="88">
        <v>0</v>
      </c>
      <c r="AB12" s="89">
        <v>149</v>
      </c>
      <c r="AC12" s="88">
        <v>0</v>
      </c>
      <c r="AD12" s="89">
        <v>142</v>
      </c>
      <c r="AE12" s="90">
        <v>7448</v>
      </c>
    </row>
    <row r="13" spans="1:31" s="62" customFormat="1" ht="15.75" customHeight="1">
      <c r="B13" s="86"/>
      <c r="C13" s="74"/>
      <c r="D13" s="74"/>
      <c r="E13" s="74" t="s">
        <v>92</v>
      </c>
      <c r="F13" s="87"/>
      <c r="G13" s="88">
        <v>0</v>
      </c>
      <c r="H13" s="89">
        <v>10092</v>
      </c>
      <c r="I13" s="88">
        <v>0</v>
      </c>
      <c r="J13" s="92">
        <v>10092</v>
      </c>
      <c r="K13" s="90">
        <v>442000</v>
      </c>
      <c r="L13" s="88">
        <v>0</v>
      </c>
      <c r="M13" s="89">
        <v>9251</v>
      </c>
      <c r="N13" s="88">
        <v>0</v>
      </c>
      <c r="O13" s="92">
        <v>9251</v>
      </c>
      <c r="P13" s="90">
        <v>442000</v>
      </c>
      <c r="Q13" s="88">
        <v>0</v>
      </c>
      <c r="R13" s="89">
        <v>12616</v>
      </c>
      <c r="S13" s="88">
        <v>0</v>
      </c>
      <c r="T13" s="92">
        <v>12616</v>
      </c>
      <c r="U13" s="91">
        <v>442000</v>
      </c>
      <c r="V13" s="88">
        <v>0</v>
      </c>
      <c r="W13" s="89">
        <v>7000</v>
      </c>
      <c r="X13" s="88">
        <v>0</v>
      </c>
      <c r="Y13" s="89">
        <v>7000</v>
      </c>
      <c r="Z13" s="90">
        <v>442000</v>
      </c>
      <c r="AA13" s="88">
        <v>0</v>
      </c>
      <c r="AB13" s="89">
        <v>5000</v>
      </c>
      <c r="AC13" s="88">
        <v>0</v>
      </c>
      <c r="AD13" s="89">
        <v>5000</v>
      </c>
      <c r="AE13" s="90">
        <v>442000</v>
      </c>
    </row>
    <row r="14" spans="1:31" s="62" customFormat="1" ht="15.75" customHeight="1">
      <c r="B14" s="86"/>
      <c r="C14" s="74"/>
      <c r="D14" s="74"/>
      <c r="E14" s="74"/>
      <c r="F14" s="93"/>
      <c r="G14" s="94"/>
      <c r="H14" s="95"/>
      <c r="I14" s="94"/>
      <c r="J14" s="96"/>
      <c r="K14" s="97"/>
      <c r="L14" s="94"/>
      <c r="M14" s="95"/>
      <c r="N14" s="94"/>
      <c r="O14" s="96"/>
      <c r="P14" s="97"/>
      <c r="Q14" s="94"/>
      <c r="R14" s="95"/>
      <c r="S14" s="94"/>
      <c r="T14" s="96"/>
      <c r="U14" s="98"/>
      <c r="V14" s="94"/>
      <c r="W14" s="95"/>
      <c r="X14" s="94"/>
      <c r="Y14" s="95"/>
      <c r="Z14" s="97"/>
      <c r="AA14" s="94"/>
      <c r="AB14" s="95"/>
      <c r="AC14" s="94"/>
      <c r="AD14" s="95"/>
      <c r="AE14" s="97"/>
    </row>
    <row r="15" spans="1:31" s="62" customFormat="1" ht="15.75" customHeight="1">
      <c r="B15" s="86"/>
      <c r="C15" s="74"/>
      <c r="D15" s="73" t="s">
        <v>93</v>
      </c>
      <c r="E15" s="74"/>
      <c r="F15" s="93"/>
      <c r="G15" s="94"/>
      <c r="H15" s="95"/>
      <c r="I15" s="94"/>
      <c r="J15" s="96"/>
      <c r="K15" s="97"/>
      <c r="L15" s="94"/>
      <c r="M15" s="95"/>
      <c r="N15" s="94"/>
      <c r="O15" s="96"/>
      <c r="P15" s="97"/>
      <c r="Q15" s="94"/>
      <c r="R15" s="95"/>
      <c r="S15" s="94"/>
      <c r="T15" s="96"/>
      <c r="U15" s="98"/>
      <c r="V15" s="94"/>
      <c r="W15" s="95"/>
      <c r="X15" s="94"/>
      <c r="Y15" s="95"/>
      <c r="Z15" s="97"/>
      <c r="AA15" s="94"/>
      <c r="AB15" s="95"/>
      <c r="AC15" s="94"/>
      <c r="AD15" s="95"/>
      <c r="AE15" s="97"/>
    </row>
    <row r="16" spans="1:31" s="62" customFormat="1" ht="15.75" customHeight="1">
      <c r="B16" s="86"/>
      <c r="C16" s="74"/>
      <c r="D16" s="74"/>
      <c r="E16" s="74" t="s">
        <v>94</v>
      </c>
      <c r="F16" s="87"/>
      <c r="G16" s="88">
        <v>0</v>
      </c>
      <c r="H16" s="89">
        <v>1983</v>
      </c>
      <c r="I16" s="88">
        <v>0</v>
      </c>
      <c r="J16" s="92">
        <v>1966</v>
      </c>
      <c r="K16" s="90">
        <v>200213</v>
      </c>
      <c r="L16" s="88">
        <v>0</v>
      </c>
      <c r="M16" s="89">
        <v>2985</v>
      </c>
      <c r="N16" s="88">
        <v>0</v>
      </c>
      <c r="O16" s="92">
        <v>2470</v>
      </c>
      <c r="P16" s="90">
        <v>199698</v>
      </c>
      <c r="Q16" s="88">
        <v>0</v>
      </c>
      <c r="R16" s="89">
        <v>4498</v>
      </c>
      <c r="S16" s="88">
        <v>0</v>
      </c>
      <c r="T16" s="92">
        <v>3205</v>
      </c>
      <c r="U16" s="91">
        <v>198405</v>
      </c>
      <c r="V16" s="88">
        <v>0</v>
      </c>
      <c r="W16" s="89">
        <v>3040</v>
      </c>
      <c r="X16" s="88">
        <v>0</v>
      </c>
      <c r="Y16" s="89">
        <v>2940</v>
      </c>
      <c r="Z16" s="90">
        <v>198305</v>
      </c>
      <c r="AA16" s="88">
        <v>0</v>
      </c>
      <c r="AB16" s="89">
        <v>2900</v>
      </c>
      <c r="AC16" s="88">
        <v>0</v>
      </c>
      <c r="AD16" s="89">
        <v>2760</v>
      </c>
      <c r="AE16" s="90">
        <v>198165</v>
      </c>
    </row>
    <row r="17" spans="2:31" s="62" customFormat="1" ht="15.75" customHeight="1">
      <c r="B17" s="86"/>
      <c r="C17" s="74"/>
      <c r="D17" s="74"/>
      <c r="E17" s="74"/>
      <c r="F17" s="93"/>
      <c r="G17" s="94"/>
      <c r="H17" s="95"/>
      <c r="I17" s="94"/>
      <c r="J17" s="96"/>
      <c r="K17" s="97"/>
      <c r="L17" s="94"/>
      <c r="M17" s="95"/>
      <c r="N17" s="94"/>
      <c r="O17" s="96"/>
      <c r="P17" s="97"/>
      <c r="Q17" s="94"/>
      <c r="R17" s="95"/>
      <c r="S17" s="94"/>
      <c r="T17" s="96"/>
      <c r="U17" s="98"/>
      <c r="V17" s="94"/>
      <c r="W17" s="95"/>
      <c r="X17" s="94"/>
      <c r="Y17" s="95"/>
      <c r="Z17" s="97"/>
      <c r="AA17" s="94"/>
      <c r="AB17" s="95"/>
      <c r="AC17" s="94"/>
      <c r="AD17" s="95"/>
      <c r="AE17" s="97"/>
    </row>
    <row r="18" spans="2:31" s="62" customFormat="1" ht="15.75" customHeight="1">
      <c r="B18" s="86"/>
      <c r="C18" s="74"/>
      <c r="D18" s="73" t="s">
        <v>95</v>
      </c>
      <c r="E18" s="74"/>
      <c r="F18" s="93"/>
      <c r="G18" s="94"/>
      <c r="H18" s="95"/>
      <c r="I18" s="94"/>
      <c r="J18" s="96"/>
      <c r="K18" s="97"/>
      <c r="L18" s="94"/>
      <c r="M18" s="95"/>
      <c r="N18" s="94"/>
      <c r="O18" s="96"/>
      <c r="P18" s="97"/>
      <c r="Q18" s="94"/>
      <c r="R18" s="95"/>
      <c r="S18" s="94"/>
      <c r="T18" s="96"/>
      <c r="U18" s="98"/>
      <c r="V18" s="94"/>
      <c r="W18" s="95"/>
      <c r="X18" s="94"/>
      <c r="Y18" s="95"/>
      <c r="Z18" s="97"/>
      <c r="AA18" s="94"/>
      <c r="AB18" s="95"/>
      <c r="AC18" s="94"/>
      <c r="AD18" s="95"/>
      <c r="AE18" s="97"/>
    </row>
    <row r="19" spans="2:31" s="62" customFormat="1" ht="15.75" customHeight="1">
      <c r="B19" s="86"/>
      <c r="C19" s="74"/>
      <c r="D19" s="73"/>
      <c r="E19" s="74" t="s">
        <v>96</v>
      </c>
      <c r="F19" s="87"/>
      <c r="G19" s="88">
        <v>0</v>
      </c>
      <c r="H19" s="89">
        <v>6</v>
      </c>
      <c r="I19" s="88">
        <v>0</v>
      </c>
      <c r="J19" s="92">
        <v>0</v>
      </c>
      <c r="K19" s="90">
        <v>2815.0220000000004</v>
      </c>
      <c r="L19" s="88">
        <v>0</v>
      </c>
      <c r="M19" s="89">
        <v>14.8</v>
      </c>
      <c r="N19" s="88">
        <v>0</v>
      </c>
      <c r="O19" s="92">
        <v>0</v>
      </c>
      <c r="P19" s="90">
        <v>2800.2220000000002</v>
      </c>
      <c r="Q19" s="88">
        <v>0</v>
      </c>
      <c r="R19" s="89">
        <v>12.4</v>
      </c>
      <c r="S19" s="88">
        <v>0</v>
      </c>
      <c r="T19" s="92">
        <v>0</v>
      </c>
      <c r="U19" s="91">
        <v>2787.8220000000001</v>
      </c>
      <c r="V19" s="88">
        <v>0</v>
      </c>
      <c r="W19" s="89">
        <v>30</v>
      </c>
      <c r="X19" s="88">
        <v>0</v>
      </c>
      <c r="Y19" s="89">
        <v>0</v>
      </c>
      <c r="Z19" s="90">
        <v>2757.8220000000001</v>
      </c>
      <c r="AA19" s="88">
        <v>0</v>
      </c>
      <c r="AB19" s="89">
        <v>30</v>
      </c>
      <c r="AC19" s="88">
        <v>0</v>
      </c>
      <c r="AD19" s="89">
        <v>0</v>
      </c>
      <c r="AE19" s="90">
        <v>2727.8220000000001</v>
      </c>
    </row>
    <row r="20" spans="2:31" s="62" customFormat="1" ht="15.75" customHeight="1">
      <c r="B20" s="86"/>
      <c r="C20" s="74"/>
      <c r="D20" s="73"/>
      <c r="E20" s="74" t="s">
        <v>97</v>
      </c>
      <c r="F20" s="87"/>
      <c r="G20" s="88">
        <v>0</v>
      </c>
      <c r="H20" s="89">
        <v>0</v>
      </c>
      <c r="I20" s="88">
        <v>471</v>
      </c>
      <c r="J20" s="92">
        <v>6</v>
      </c>
      <c r="K20" s="90">
        <v>4136</v>
      </c>
      <c r="L20" s="88">
        <v>0</v>
      </c>
      <c r="M20" s="89">
        <v>0.9</v>
      </c>
      <c r="N20" s="88">
        <v>217.7</v>
      </c>
      <c r="O20" s="92">
        <v>24.9</v>
      </c>
      <c r="P20" s="90">
        <v>4377.7</v>
      </c>
      <c r="Q20" s="88">
        <v>0</v>
      </c>
      <c r="R20" s="89">
        <v>1.5</v>
      </c>
      <c r="S20" s="88">
        <v>161.6</v>
      </c>
      <c r="T20" s="92">
        <v>25.4</v>
      </c>
      <c r="U20" s="91">
        <v>4563.2</v>
      </c>
      <c r="V20" s="88">
        <v>0</v>
      </c>
      <c r="W20" s="89">
        <v>0</v>
      </c>
      <c r="X20" s="88">
        <v>162</v>
      </c>
      <c r="Y20" s="89">
        <v>38</v>
      </c>
      <c r="Z20" s="90">
        <v>4763.2</v>
      </c>
      <c r="AA20" s="88">
        <v>0</v>
      </c>
      <c r="AB20" s="89">
        <v>0</v>
      </c>
      <c r="AC20" s="88">
        <v>154</v>
      </c>
      <c r="AD20" s="89">
        <v>40</v>
      </c>
      <c r="AE20" s="90">
        <v>4957.2</v>
      </c>
    </row>
    <row r="21" spans="2:31" s="62" customFormat="1" ht="15.75" customHeight="1">
      <c r="B21" s="86"/>
      <c r="C21" s="74"/>
      <c r="D21" s="73"/>
      <c r="E21" s="74" t="s">
        <v>98</v>
      </c>
      <c r="F21" s="87"/>
      <c r="G21" s="88">
        <v>0</v>
      </c>
      <c r="H21" s="89">
        <v>0</v>
      </c>
      <c r="I21" s="88">
        <v>0</v>
      </c>
      <c r="J21" s="92">
        <v>0</v>
      </c>
      <c r="K21" s="90">
        <v>6418</v>
      </c>
      <c r="L21" s="88">
        <v>0</v>
      </c>
      <c r="M21" s="89">
        <v>9.1999999999999993</v>
      </c>
      <c r="N21" s="88">
        <v>0</v>
      </c>
      <c r="O21" s="92">
        <v>0</v>
      </c>
      <c r="P21" s="90">
        <v>6408.8</v>
      </c>
      <c r="Q21" s="88">
        <v>0</v>
      </c>
      <c r="R21" s="89">
        <v>11.5</v>
      </c>
      <c r="S21" s="88">
        <v>0</v>
      </c>
      <c r="T21" s="92">
        <v>0</v>
      </c>
      <c r="U21" s="91">
        <v>6397.3</v>
      </c>
      <c r="V21" s="88">
        <v>0</v>
      </c>
      <c r="W21" s="89">
        <v>3</v>
      </c>
      <c r="X21" s="88">
        <v>0</v>
      </c>
      <c r="Y21" s="89">
        <v>0</v>
      </c>
      <c r="Z21" s="90">
        <v>6394.3</v>
      </c>
      <c r="AA21" s="88">
        <v>0</v>
      </c>
      <c r="AB21" s="89">
        <v>3</v>
      </c>
      <c r="AC21" s="88">
        <v>0</v>
      </c>
      <c r="AD21" s="89">
        <v>0</v>
      </c>
      <c r="AE21" s="90">
        <v>6391.3</v>
      </c>
    </row>
    <row r="22" spans="2:31" s="62" customFormat="1" ht="15.75" customHeight="1">
      <c r="B22" s="86"/>
      <c r="C22" s="74"/>
      <c r="D22" s="73"/>
      <c r="E22" s="74" t="s">
        <v>99</v>
      </c>
      <c r="F22" s="87"/>
      <c r="G22" s="88">
        <v>0</v>
      </c>
      <c r="H22" s="89">
        <v>0</v>
      </c>
      <c r="I22" s="88">
        <v>17154</v>
      </c>
      <c r="J22" s="92">
        <v>0</v>
      </c>
      <c r="K22" s="90">
        <v>1027200</v>
      </c>
      <c r="L22" s="88">
        <v>0</v>
      </c>
      <c r="M22" s="89">
        <v>0</v>
      </c>
      <c r="N22" s="88">
        <v>19392</v>
      </c>
      <c r="O22" s="92">
        <v>0</v>
      </c>
      <c r="P22" s="90">
        <v>1046592</v>
      </c>
      <c r="Q22" s="88">
        <v>0</v>
      </c>
      <c r="R22" s="89">
        <v>0</v>
      </c>
      <c r="S22" s="88">
        <v>16006</v>
      </c>
      <c r="T22" s="92">
        <v>0</v>
      </c>
      <c r="U22" s="91">
        <v>1062598</v>
      </c>
      <c r="V22" s="88">
        <v>0</v>
      </c>
      <c r="W22" s="89">
        <v>3000</v>
      </c>
      <c r="X22" s="88">
        <v>15042</v>
      </c>
      <c r="Y22" s="89">
        <v>3000</v>
      </c>
      <c r="Z22" s="90">
        <v>1077640</v>
      </c>
      <c r="AA22" s="88">
        <v>0</v>
      </c>
      <c r="AB22" s="89">
        <v>3000</v>
      </c>
      <c r="AC22" s="88">
        <v>14283</v>
      </c>
      <c r="AD22" s="89">
        <v>3000</v>
      </c>
      <c r="AE22" s="90">
        <v>1091923</v>
      </c>
    </row>
    <row r="23" spans="2:31" s="62" customFormat="1" ht="15.75" customHeight="1">
      <c r="B23" s="86"/>
      <c r="C23" s="74"/>
      <c r="D23" s="74"/>
      <c r="E23" s="74"/>
      <c r="F23" s="93"/>
      <c r="G23" s="94"/>
      <c r="H23" s="95"/>
      <c r="I23" s="94"/>
      <c r="J23" s="96"/>
      <c r="K23" s="97"/>
      <c r="L23" s="94"/>
      <c r="M23" s="95"/>
      <c r="N23" s="94"/>
      <c r="O23" s="96"/>
      <c r="P23" s="97"/>
      <c r="Q23" s="94"/>
      <c r="R23" s="95"/>
      <c r="S23" s="94"/>
      <c r="T23" s="96"/>
      <c r="U23" s="98"/>
      <c r="V23" s="94"/>
      <c r="W23" s="95"/>
      <c r="X23" s="94"/>
      <c r="Y23" s="95"/>
      <c r="Z23" s="97"/>
      <c r="AA23" s="94"/>
      <c r="AB23" s="95"/>
      <c r="AC23" s="94"/>
      <c r="AD23" s="95"/>
      <c r="AE23" s="97"/>
    </row>
    <row r="24" spans="2:31" s="62" customFormat="1" ht="15.75" customHeight="1">
      <c r="B24" s="86"/>
      <c r="C24" s="74"/>
      <c r="D24" s="73" t="s">
        <v>100</v>
      </c>
      <c r="E24" s="74"/>
      <c r="F24" s="93"/>
      <c r="G24" s="94"/>
      <c r="H24" s="95"/>
      <c r="I24" s="94"/>
      <c r="J24" s="96"/>
      <c r="K24" s="97"/>
      <c r="L24" s="94"/>
      <c r="M24" s="95"/>
      <c r="N24" s="94"/>
      <c r="O24" s="96"/>
      <c r="P24" s="97"/>
      <c r="Q24" s="94"/>
      <c r="R24" s="95"/>
      <c r="S24" s="94"/>
      <c r="T24" s="96"/>
      <c r="U24" s="98"/>
      <c r="V24" s="94"/>
      <c r="W24" s="95"/>
      <c r="X24" s="94"/>
      <c r="Y24" s="95"/>
      <c r="Z24" s="97"/>
      <c r="AA24" s="94"/>
      <c r="AB24" s="95"/>
      <c r="AC24" s="94"/>
      <c r="AD24" s="95"/>
      <c r="AE24" s="97"/>
    </row>
    <row r="25" spans="2:31" s="62" customFormat="1" ht="15.75" customHeight="1">
      <c r="B25" s="86"/>
      <c r="C25" s="74"/>
      <c r="D25" s="73"/>
      <c r="E25" s="74" t="s">
        <v>101</v>
      </c>
      <c r="F25" s="87"/>
      <c r="G25" s="88">
        <v>0</v>
      </c>
      <c r="H25" s="89">
        <v>1</v>
      </c>
      <c r="I25" s="88">
        <v>85</v>
      </c>
      <c r="J25" s="92">
        <v>146</v>
      </c>
      <c r="K25" s="90">
        <v>6363</v>
      </c>
      <c r="L25" s="88">
        <v>0</v>
      </c>
      <c r="M25" s="89">
        <v>13</v>
      </c>
      <c r="N25" s="88">
        <v>61</v>
      </c>
      <c r="O25" s="92">
        <v>124</v>
      </c>
      <c r="P25" s="90">
        <v>6535</v>
      </c>
      <c r="Q25" s="88">
        <v>0</v>
      </c>
      <c r="R25" s="89">
        <v>29</v>
      </c>
      <c r="S25" s="88">
        <v>93</v>
      </c>
      <c r="T25" s="92">
        <v>140</v>
      </c>
      <c r="U25" s="91">
        <v>6739</v>
      </c>
      <c r="V25" s="88">
        <v>0</v>
      </c>
      <c r="W25" s="89">
        <v>0</v>
      </c>
      <c r="X25" s="88">
        <v>64</v>
      </c>
      <c r="Y25" s="89">
        <v>0</v>
      </c>
      <c r="Z25" s="90">
        <v>6803</v>
      </c>
      <c r="AA25" s="88">
        <v>0</v>
      </c>
      <c r="AB25" s="89">
        <v>0</v>
      </c>
      <c r="AC25" s="88">
        <v>61</v>
      </c>
      <c r="AD25" s="89">
        <v>0</v>
      </c>
      <c r="AE25" s="90">
        <v>6864</v>
      </c>
    </row>
    <row r="26" spans="2:31" s="62" customFormat="1" ht="15.75" customHeight="1">
      <c r="B26" s="86"/>
      <c r="C26" s="74"/>
      <c r="D26" s="73"/>
      <c r="E26" s="74" t="s">
        <v>102</v>
      </c>
      <c r="F26" s="87"/>
      <c r="G26" s="88">
        <v>43</v>
      </c>
      <c r="H26" s="89">
        <v>19</v>
      </c>
      <c r="I26" s="88">
        <v>1</v>
      </c>
      <c r="J26" s="92">
        <v>19</v>
      </c>
      <c r="K26" s="90">
        <v>3530</v>
      </c>
      <c r="L26" s="88">
        <v>54</v>
      </c>
      <c r="M26" s="89">
        <v>24</v>
      </c>
      <c r="N26" s="88">
        <v>1</v>
      </c>
      <c r="O26" s="92">
        <v>24</v>
      </c>
      <c r="P26" s="90">
        <v>3477</v>
      </c>
      <c r="Q26" s="88">
        <v>59</v>
      </c>
      <c r="R26" s="89">
        <v>26</v>
      </c>
      <c r="S26" s="88">
        <v>1</v>
      </c>
      <c r="T26" s="92">
        <v>26</v>
      </c>
      <c r="U26" s="91">
        <v>3419</v>
      </c>
      <c r="V26" s="88">
        <v>48</v>
      </c>
      <c r="W26" s="89">
        <v>25</v>
      </c>
      <c r="X26" s="88">
        <v>1</v>
      </c>
      <c r="Y26" s="89">
        <v>25</v>
      </c>
      <c r="Z26" s="90">
        <v>3372</v>
      </c>
      <c r="AA26" s="88">
        <v>45</v>
      </c>
      <c r="AB26" s="89">
        <v>25</v>
      </c>
      <c r="AC26" s="88">
        <v>1</v>
      </c>
      <c r="AD26" s="89">
        <v>25</v>
      </c>
      <c r="AE26" s="90">
        <v>3328</v>
      </c>
    </row>
    <row r="27" spans="2:31" s="62" customFormat="1" ht="15.75" customHeight="1">
      <c r="B27" s="86"/>
      <c r="C27" s="74"/>
      <c r="D27" s="73"/>
      <c r="E27" s="74" t="s">
        <v>103</v>
      </c>
      <c r="F27" s="87"/>
      <c r="G27" s="88">
        <v>5</v>
      </c>
      <c r="H27" s="89">
        <v>8</v>
      </c>
      <c r="I27" s="88">
        <v>4</v>
      </c>
      <c r="J27" s="92">
        <v>8</v>
      </c>
      <c r="K27" s="90">
        <v>1566</v>
      </c>
      <c r="L27" s="88">
        <v>4</v>
      </c>
      <c r="M27" s="89">
        <v>11</v>
      </c>
      <c r="N27" s="88">
        <v>7</v>
      </c>
      <c r="O27" s="92">
        <v>11</v>
      </c>
      <c r="P27" s="90">
        <v>1569</v>
      </c>
      <c r="Q27" s="88">
        <v>0</v>
      </c>
      <c r="R27" s="89">
        <v>6</v>
      </c>
      <c r="S27" s="88">
        <v>3</v>
      </c>
      <c r="T27" s="92">
        <v>9</v>
      </c>
      <c r="U27" s="91">
        <v>1575</v>
      </c>
      <c r="V27" s="88">
        <v>2</v>
      </c>
      <c r="W27" s="89">
        <v>0</v>
      </c>
      <c r="X27" s="88">
        <v>4</v>
      </c>
      <c r="Y27" s="89">
        <v>0</v>
      </c>
      <c r="Z27" s="90">
        <v>1577</v>
      </c>
      <c r="AA27" s="88">
        <v>2</v>
      </c>
      <c r="AB27" s="89">
        <v>0</v>
      </c>
      <c r="AC27" s="88">
        <v>4</v>
      </c>
      <c r="AD27" s="89">
        <v>0</v>
      </c>
      <c r="AE27" s="90">
        <v>1579</v>
      </c>
    </row>
    <row r="28" spans="2:31" s="62" customFormat="1" ht="15.75" customHeight="1">
      <c r="B28" s="86"/>
      <c r="C28" s="74"/>
      <c r="D28" s="73"/>
      <c r="E28" s="74" t="s">
        <v>104</v>
      </c>
      <c r="F28" s="87"/>
      <c r="G28" s="88">
        <v>40</v>
      </c>
      <c r="H28" s="89">
        <v>0</v>
      </c>
      <c r="I28" s="88">
        <v>59</v>
      </c>
      <c r="J28" s="92">
        <v>67</v>
      </c>
      <c r="K28" s="90">
        <v>11512</v>
      </c>
      <c r="L28" s="88">
        <v>0</v>
      </c>
      <c r="M28" s="89">
        <v>32</v>
      </c>
      <c r="N28" s="88">
        <v>47</v>
      </c>
      <c r="O28" s="92">
        <v>57</v>
      </c>
      <c r="P28" s="90">
        <v>11584</v>
      </c>
      <c r="Q28" s="88">
        <v>0</v>
      </c>
      <c r="R28" s="89">
        <v>23</v>
      </c>
      <c r="S28" s="88">
        <v>52</v>
      </c>
      <c r="T28" s="92">
        <v>56</v>
      </c>
      <c r="U28" s="91">
        <v>11669</v>
      </c>
      <c r="V28" s="88">
        <v>0</v>
      </c>
      <c r="W28" s="89">
        <v>0</v>
      </c>
      <c r="X28" s="88">
        <v>42</v>
      </c>
      <c r="Y28" s="89">
        <v>0</v>
      </c>
      <c r="Z28" s="90">
        <v>11711</v>
      </c>
      <c r="AA28" s="88">
        <v>0</v>
      </c>
      <c r="AB28" s="89">
        <v>0</v>
      </c>
      <c r="AC28" s="88">
        <v>40</v>
      </c>
      <c r="AD28" s="89">
        <v>0</v>
      </c>
      <c r="AE28" s="90">
        <v>11751</v>
      </c>
    </row>
    <row r="29" spans="2:31" s="62" customFormat="1" ht="15.75" customHeight="1">
      <c r="B29" s="86"/>
      <c r="C29" s="74"/>
      <c r="D29" s="73"/>
      <c r="E29" s="74" t="s">
        <v>105</v>
      </c>
      <c r="F29" s="87"/>
      <c r="G29" s="88">
        <v>347</v>
      </c>
      <c r="H29" s="89">
        <v>0</v>
      </c>
      <c r="I29" s="88">
        <v>776</v>
      </c>
      <c r="J29" s="92">
        <v>0</v>
      </c>
      <c r="K29" s="90">
        <v>37881</v>
      </c>
      <c r="L29" s="88">
        <v>0</v>
      </c>
      <c r="M29" s="89">
        <v>0</v>
      </c>
      <c r="N29" s="88">
        <v>0</v>
      </c>
      <c r="O29" s="92">
        <v>0</v>
      </c>
      <c r="P29" s="90">
        <v>37881</v>
      </c>
      <c r="Q29" s="88">
        <v>0</v>
      </c>
      <c r="R29" s="89">
        <v>0</v>
      </c>
      <c r="S29" s="88">
        <v>0</v>
      </c>
      <c r="T29" s="92">
        <v>0</v>
      </c>
      <c r="U29" s="91">
        <v>37881</v>
      </c>
      <c r="V29" s="88">
        <v>0</v>
      </c>
      <c r="W29" s="89">
        <v>0</v>
      </c>
      <c r="X29" s="88">
        <v>0</v>
      </c>
      <c r="Y29" s="89">
        <v>0</v>
      </c>
      <c r="Z29" s="90">
        <v>37881</v>
      </c>
      <c r="AA29" s="88">
        <v>0</v>
      </c>
      <c r="AB29" s="89">
        <v>0</v>
      </c>
      <c r="AC29" s="88">
        <v>0</v>
      </c>
      <c r="AD29" s="89">
        <v>0</v>
      </c>
      <c r="AE29" s="90">
        <v>37881</v>
      </c>
    </row>
    <row r="30" spans="2:31" s="62" customFormat="1" ht="15.75" customHeight="1">
      <c r="B30" s="86"/>
      <c r="C30" s="74"/>
      <c r="D30" s="73"/>
      <c r="E30" s="74" t="s">
        <v>106</v>
      </c>
      <c r="F30" s="87"/>
      <c r="G30" s="88">
        <v>8</v>
      </c>
      <c r="H30" s="89">
        <v>0</v>
      </c>
      <c r="I30" s="88">
        <v>0</v>
      </c>
      <c r="J30" s="92">
        <v>0</v>
      </c>
      <c r="K30" s="90">
        <v>891</v>
      </c>
      <c r="L30" s="88">
        <v>18</v>
      </c>
      <c r="M30" s="89">
        <v>0</v>
      </c>
      <c r="N30" s="88">
        <v>0</v>
      </c>
      <c r="O30" s="92">
        <v>0</v>
      </c>
      <c r="P30" s="90">
        <v>873</v>
      </c>
      <c r="Q30" s="88">
        <v>0</v>
      </c>
      <c r="R30" s="89">
        <v>0</v>
      </c>
      <c r="S30" s="88">
        <v>0</v>
      </c>
      <c r="T30" s="92">
        <v>1</v>
      </c>
      <c r="U30" s="91">
        <v>874</v>
      </c>
      <c r="V30" s="88">
        <v>8</v>
      </c>
      <c r="W30" s="89">
        <v>0</v>
      </c>
      <c r="X30" s="88">
        <v>0</v>
      </c>
      <c r="Y30" s="89">
        <v>0</v>
      </c>
      <c r="Z30" s="90">
        <v>866</v>
      </c>
      <c r="AA30" s="88">
        <v>8</v>
      </c>
      <c r="AB30" s="89">
        <v>0</v>
      </c>
      <c r="AC30" s="88">
        <v>0</v>
      </c>
      <c r="AD30" s="89">
        <v>0</v>
      </c>
      <c r="AE30" s="90">
        <v>858</v>
      </c>
    </row>
    <row r="31" spans="2:31" s="62" customFormat="1" ht="15.75" customHeight="1" thickBot="1">
      <c r="B31" s="99"/>
      <c r="C31" s="100"/>
      <c r="D31" s="100"/>
      <c r="E31" s="100"/>
      <c r="F31" s="101"/>
      <c r="G31" s="102"/>
      <c r="H31" s="103"/>
      <c r="I31" s="102"/>
      <c r="J31" s="104"/>
      <c r="K31" s="105"/>
      <c r="L31" s="102"/>
      <c r="M31" s="103"/>
      <c r="N31" s="102"/>
      <c r="O31" s="104"/>
      <c r="P31" s="105"/>
      <c r="Q31" s="102"/>
      <c r="R31" s="103"/>
      <c r="S31" s="102"/>
      <c r="T31" s="104"/>
      <c r="U31" s="106"/>
      <c r="V31" s="102"/>
      <c r="W31" s="103"/>
      <c r="X31" s="102"/>
      <c r="Y31" s="103"/>
      <c r="Z31" s="105"/>
      <c r="AA31" s="102"/>
      <c r="AB31" s="103"/>
      <c r="AC31" s="102"/>
      <c r="AD31" s="103"/>
      <c r="AE31" s="105"/>
    </row>
    <row r="32" spans="2:31" s="62" customFormat="1" ht="15.75" customHeight="1">
      <c r="B32" s="107"/>
      <c r="C32" s="108" t="s">
        <v>107</v>
      </c>
      <c r="D32" s="108"/>
      <c r="E32" s="109"/>
      <c r="F32" s="93"/>
      <c r="G32" s="94"/>
      <c r="H32" s="95"/>
      <c r="I32" s="94"/>
      <c r="J32" s="96"/>
      <c r="K32" s="97"/>
      <c r="L32" s="94"/>
      <c r="M32" s="95"/>
      <c r="N32" s="94"/>
      <c r="O32" s="96"/>
      <c r="P32" s="97"/>
      <c r="Q32" s="94"/>
      <c r="R32" s="95"/>
      <c r="S32" s="94"/>
      <c r="T32" s="96"/>
      <c r="U32" s="98"/>
      <c r="V32" s="94"/>
      <c r="W32" s="95"/>
      <c r="X32" s="94"/>
      <c r="Y32" s="95"/>
      <c r="Z32" s="97"/>
      <c r="AA32" s="94"/>
      <c r="AB32" s="95"/>
      <c r="AC32" s="94"/>
      <c r="AD32" s="95"/>
      <c r="AE32" s="97"/>
    </row>
    <row r="33" spans="2:31" s="62" customFormat="1" ht="15.75" customHeight="1">
      <c r="B33" s="86"/>
      <c r="C33" s="74"/>
      <c r="D33" s="73" t="s">
        <v>90</v>
      </c>
      <c r="E33" s="74"/>
      <c r="F33" s="93"/>
      <c r="G33" s="94"/>
      <c r="H33" s="95"/>
      <c r="I33" s="94"/>
      <c r="J33" s="96"/>
      <c r="K33" s="97"/>
      <c r="L33" s="94"/>
      <c r="M33" s="95"/>
      <c r="N33" s="94"/>
      <c r="O33" s="96"/>
      <c r="P33" s="97"/>
      <c r="Q33" s="94"/>
      <c r="R33" s="95"/>
      <c r="S33" s="94"/>
      <c r="T33" s="96"/>
      <c r="U33" s="98"/>
      <c r="V33" s="94"/>
      <c r="W33" s="95"/>
      <c r="X33" s="94"/>
      <c r="Y33" s="95"/>
      <c r="Z33" s="97"/>
      <c r="AA33" s="94"/>
      <c r="AB33" s="95"/>
      <c r="AC33" s="94"/>
      <c r="AD33" s="95"/>
      <c r="AE33" s="97"/>
    </row>
    <row r="34" spans="2:31" s="62" customFormat="1" ht="15.75" customHeight="1">
      <c r="B34" s="86"/>
      <c r="C34" s="74"/>
      <c r="D34" s="73"/>
      <c r="E34" s="74" t="s">
        <v>108</v>
      </c>
      <c r="F34" s="87"/>
      <c r="G34" s="88">
        <v>0</v>
      </c>
      <c r="H34" s="89">
        <v>34</v>
      </c>
      <c r="I34" s="88">
        <v>0</v>
      </c>
      <c r="J34" s="92">
        <v>25</v>
      </c>
      <c r="K34" s="90">
        <v>16619</v>
      </c>
      <c r="L34" s="88">
        <v>0</v>
      </c>
      <c r="M34" s="89">
        <v>181</v>
      </c>
      <c r="N34" s="88">
        <v>0</v>
      </c>
      <c r="O34" s="92">
        <v>178</v>
      </c>
      <c r="P34" s="90">
        <v>16616</v>
      </c>
      <c r="Q34" s="88">
        <v>0</v>
      </c>
      <c r="R34" s="89">
        <v>111</v>
      </c>
      <c r="S34" s="88">
        <v>0</v>
      </c>
      <c r="T34" s="92">
        <v>86</v>
      </c>
      <c r="U34" s="91">
        <v>16591</v>
      </c>
      <c r="V34" s="88">
        <v>0</v>
      </c>
      <c r="W34" s="89">
        <v>180</v>
      </c>
      <c r="X34" s="88">
        <v>0</v>
      </c>
      <c r="Y34" s="89">
        <v>180</v>
      </c>
      <c r="Z34" s="90">
        <v>16591</v>
      </c>
      <c r="AA34" s="88">
        <v>0</v>
      </c>
      <c r="AB34" s="89">
        <v>180</v>
      </c>
      <c r="AC34" s="88">
        <v>0</v>
      </c>
      <c r="AD34" s="89">
        <v>180</v>
      </c>
      <c r="AE34" s="90">
        <v>16591</v>
      </c>
    </row>
    <row r="35" spans="2:31" s="62" customFormat="1" ht="15.75" customHeight="1">
      <c r="B35" s="86"/>
      <c r="C35" s="74"/>
      <c r="D35" s="73"/>
      <c r="E35" s="74" t="s">
        <v>109</v>
      </c>
      <c r="F35" s="87"/>
      <c r="G35" s="88">
        <v>0</v>
      </c>
      <c r="H35" s="89">
        <v>0</v>
      </c>
      <c r="I35" s="88">
        <v>0</v>
      </c>
      <c r="J35" s="92">
        <v>0</v>
      </c>
      <c r="K35" s="90">
        <v>0</v>
      </c>
      <c r="L35" s="88">
        <v>0</v>
      </c>
      <c r="M35" s="89">
        <v>0</v>
      </c>
      <c r="N35" s="88">
        <v>0</v>
      </c>
      <c r="O35" s="92">
        <v>0</v>
      </c>
      <c r="P35" s="90">
        <v>0</v>
      </c>
      <c r="Q35" s="88">
        <v>0</v>
      </c>
      <c r="R35" s="89">
        <v>0</v>
      </c>
      <c r="S35" s="88">
        <v>0</v>
      </c>
      <c r="T35" s="92">
        <v>0</v>
      </c>
      <c r="U35" s="91">
        <v>0</v>
      </c>
      <c r="V35" s="88">
        <v>0</v>
      </c>
      <c r="W35" s="89">
        <v>0</v>
      </c>
      <c r="X35" s="88">
        <v>0</v>
      </c>
      <c r="Y35" s="89">
        <v>0</v>
      </c>
      <c r="Z35" s="90">
        <v>0</v>
      </c>
      <c r="AA35" s="88">
        <v>0</v>
      </c>
      <c r="AB35" s="89">
        <v>0</v>
      </c>
      <c r="AC35" s="88">
        <v>0</v>
      </c>
      <c r="AD35" s="89">
        <v>0</v>
      </c>
      <c r="AE35" s="90">
        <v>0</v>
      </c>
    </row>
    <row r="36" spans="2:31" s="62" customFormat="1" ht="15.75" customHeight="1">
      <c r="B36" s="86"/>
      <c r="C36" s="74"/>
      <c r="D36" s="74"/>
      <c r="E36" s="74" t="s">
        <v>110</v>
      </c>
      <c r="F36" s="87"/>
      <c r="G36" s="88">
        <v>0</v>
      </c>
      <c r="H36" s="89">
        <v>0</v>
      </c>
      <c r="I36" s="88">
        <v>0</v>
      </c>
      <c r="J36" s="92">
        <v>0</v>
      </c>
      <c r="K36" s="90">
        <v>0</v>
      </c>
      <c r="L36" s="88">
        <v>0</v>
      </c>
      <c r="M36" s="89">
        <v>0</v>
      </c>
      <c r="N36" s="88">
        <v>0</v>
      </c>
      <c r="O36" s="92">
        <v>0</v>
      </c>
      <c r="P36" s="90">
        <v>0</v>
      </c>
      <c r="Q36" s="88">
        <v>0</v>
      </c>
      <c r="R36" s="89">
        <v>0</v>
      </c>
      <c r="S36" s="88">
        <v>0</v>
      </c>
      <c r="T36" s="92">
        <v>0</v>
      </c>
      <c r="U36" s="91">
        <v>0</v>
      </c>
      <c r="V36" s="88">
        <v>0</v>
      </c>
      <c r="W36" s="89">
        <v>0</v>
      </c>
      <c r="X36" s="88">
        <v>0</v>
      </c>
      <c r="Y36" s="89">
        <v>0</v>
      </c>
      <c r="Z36" s="90">
        <v>0</v>
      </c>
      <c r="AA36" s="88">
        <v>0</v>
      </c>
      <c r="AB36" s="89">
        <v>0</v>
      </c>
      <c r="AC36" s="88">
        <v>0</v>
      </c>
      <c r="AD36" s="89">
        <v>0</v>
      </c>
      <c r="AE36" s="90">
        <v>0</v>
      </c>
    </row>
    <row r="37" spans="2:31" s="62" customFormat="1" ht="15.75" customHeight="1">
      <c r="B37" s="86"/>
      <c r="C37" s="74"/>
      <c r="D37" s="74"/>
      <c r="E37" s="74" t="s">
        <v>111</v>
      </c>
      <c r="F37" s="87"/>
      <c r="G37" s="88">
        <v>0</v>
      </c>
      <c r="H37" s="89">
        <v>0</v>
      </c>
      <c r="I37" s="88">
        <v>0</v>
      </c>
      <c r="J37" s="92">
        <v>0</v>
      </c>
      <c r="K37" s="90">
        <v>0</v>
      </c>
      <c r="L37" s="88">
        <v>0</v>
      </c>
      <c r="M37" s="89">
        <v>0</v>
      </c>
      <c r="N37" s="88">
        <v>0</v>
      </c>
      <c r="O37" s="92">
        <v>0</v>
      </c>
      <c r="P37" s="90">
        <v>0</v>
      </c>
      <c r="Q37" s="88">
        <v>0</v>
      </c>
      <c r="R37" s="89">
        <v>0</v>
      </c>
      <c r="S37" s="88">
        <v>0</v>
      </c>
      <c r="T37" s="92">
        <v>0</v>
      </c>
      <c r="U37" s="91">
        <v>0</v>
      </c>
      <c r="V37" s="88">
        <v>0</v>
      </c>
      <c r="W37" s="89">
        <v>0</v>
      </c>
      <c r="X37" s="88">
        <v>0</v>
      </c>
      <c r="Y37" s="89">
        <v>0</v>
      </c>
      <c r="Z37" s="90">
        <v>0</v>
      </c>
      <c r="AA37" s="88">
        <v>0</v>
      </c>
      <c r="AB37" s="89">
        <v>0</v>
      </c>
      <c r="AC37" s="88">
        <v>0</v>
      </c>
      <c r="AD37" s="89">
        <v>0</v>
      </c>
      <c r="AE37" s="90">
        <v>0</v>
      </c>
    </row>
    <row r="38" spans="2:31" s="62" customFormat="1" ht="15.75" customHeight="1">
      <c r="B38" s="86"/>
      <c r="C38" s="74"/>
      <c r="D38" s="74"/>
      <c r="E38" s="74"/>
      <c r="F38" s="93"/>
      <c r="G38" s="94"/>
      <c r="H38" s="95"/>
      <c r="I38" s="94"/>
      <c r="J38" s="96"/>
      <c r="K38" s="97"/>
      <c r="L38" s="94"/>
      <c r="M38" s="95"/>
      <c r="N38" s="94"/>
      <c r="O38" s="96"/>
      <c r="P38" s="97"/>
      <c r="Q38" s="94"/>
      <c r="R38" s="95"/>
      <c r="S38" s="94"/>
      <c r="T38" s="96"/>
      <c r="U38" s="98"/>
      <c r="V38" s="94"/>
      <c r="W38" s="95"/>
      <c r="X38" s="94"/>
      <c r="Y38" s="95"/>
      <c r="Z38" s="97"/>
      <c r="AA38" s="94"/>
      <c r="AB38" s="95"/>
      <c r="AC38" s="94"/>
      <c r="AD38" s="95"/>
      <c r="AE38" s="97"/>
    </row>
    <row r="39" spans="2:31" s="62" customFormat="1" ht="15.75" customHeight="1">
      <c r="B39" s="86"/>
      <c r="C39" s="74"/>
      <c r="D39" s="73" t="s">
        <v>93</v>
      </c>
      <c r="E39" s="74"/>
      <c r="F39" s="93"/>
      <c r="G39" s="94"/>
      <c r="H39" s="95"/>
      <c r="I39" s="94"/>
      <c r="J39" s="96"/>
      <c r="K39" s="97"/>
      <c r="L39" s="94"/>
      <c r="M39" s="95"/>
      <c r="N39" s="94"/>
      <c r="O39" s="96"/>
      <c r="P39" s="97"/>
      <c r="Q39" s="94"/>
      <c r="R39" s="95"/>
      <c r="S39" s="94"/>
      <c r="T39" s="96"/>
      <c r="U39" s="98"/>
      <c r="V39" s="94"/>
      <c r="W39" s="95"/>
      <c r="X39" s="94"/>
      <c r="Y39" s="95"/>
      <c r="Z39" s="97"/>
      <c r="AA39" s="94"/>
      <c r="AB39" s="95"/>
      <c r="AC39" s="94"/>
      <c r="AD39" s="95"/>
      <c r="AE39" s="97"/>
    </row>
    <row r="40" spans="2:31" s="62" customFormat="1" ht="15.75" customHeight="1">
      <c r="B40" s="86"/>
      <c r="C40" s="74"/>
      <c r="D40" s="109"/>
      <c r="E40" s="74" t="s">
        <v>112</v>
      </c>
      <c r="F40" s="87"/>
      <c r="G40" s="88">
        <v>0</v>
      </c>
      <c r="H40" s="89">
        <v>1860</v>
      </c>
      <c r="I40" s="88">
        <v>0</v>
      </c>
      <c r="J40" s="92">
        <v>1774</v>
      </c>
      <c r="K40" s="90">
        <v>213438</v>
      </c>
      <c r="L40" s="88">
        <v>0</v>
      </c>
      <c r="M40" s="89">
        <v>2602</v>
      </c>
      <c r="N40" s="88">
        <v>0</v>
      </c>
      <c r="O40" s="92">
        <v>2580</v>
      </c>
      <c r="P40" s="90">
        <v>213416</v>
      </c>
      <c r="Q40" s="88">
        <v>0</v>
      </c>
      <c r="R40" s="89">
        <v>2415</v>
      </c>
      <c r="S40" s="88">
        <v>0</v>
      </c>
      <c r="T40" s="92">
        <v>2167</v>
      </c>
      <c r="U40" s="91">
        <v>213168</v>
      </c>
      <c r="V40" s="88">
        <v>0</v>
      </c>
      <c r="W40" s="89">
        <v>2970</v>
      </c>
      <c r="X40" s="88">
        <v>0</v>
      </c>
      <c r="Y40" s="89">
        <v>2970</v>
      </c>
      <c r="Z40" s="90">
        <v>213168</v>
      </c>
      <c r="AA40" s="88">
        <v>0</v>
      </c>
      <c r="AB40" s="89">
        <v>2970</v>
      </c>
      <c r="AC40" s="88">
        <v>0</v>
      </c>
      <c r="AD40" s="89">
        <v>2970</v>
      </c>
      <c r="AE40" s="90">
        <v>213168</v>
      </c>
    </row>
    <row r="41" spans="2:31" s="62" customFormat="1" ht="15.75" customHeight="1">
      <c r="B41" s="86"/>
      <c r="C41" s="74"/>
      <c r="D41" s="73"/>
      <c r="E41" s="74" t="s">
        <v>113</v>
      </c>
      <c r="F41" s="87"/>
      <c r="G41" s="88">
        <v>0</v>
      </c>
      <c r="H41" s="89">
        <v>0</v>
      </c>
      <c r="I41" s="88">
        <v>0</v>
      </c>
      <c r="J41" s="92">
        <v>0</v>
      </c>
      <c r="K41" s="90">
        <v>0</v>
      </c>
      <c r="L41" s="88">
        <v>0</v>
      </c>
      <c r="M41" s="89">
        <v>0</v>
      </c>
      <c r="N41" s="88">
        <v>0</v>
      </c>
      <c r="O41" s="92">
        <v>0</v>
      </c>
      <c r="P41" s="90">
        <v>0</v>
      </c>
      <c r="Q41" s="88">
        <v>0</v>
      </c>
      <c r="R41" s="89">
        <v>0</v>
      </c>
      <c r="S41" s="88">
        <v>0</v>
      </c>
      <c r="T41" s="92">
        <v>0</v>
      </c>
      <c r="U41" s="91">
        <v>0</v>
      </c>
      <c r="V41" s="88">
        <v>0</v>
      </c>
      <c r="W41" s="89">
        <v>0</v>
      </c>
      <c r="X41" s="88">
        <v>0</v>
      </c>
      <c r="Y41" s="89">
        <v>0</v>
      </c>
      <c r="Z41" s="90">
        <v>0</v>
      </c>
      <c r="AA41" s="88">
        <v>0</v>
      </c>
      <c r="AB41" s="89">
        <v>0</v>
      </c>
      <c r="AC41" s="88">
        <v>0</v>
      </c>
      <c r="AD41" s="89">
        <v>0</v>
      </c>
      <c r="AE41" s="90">
        <v>0</v>
      </c>
    </row>
    <row r="42" spans="2:31" s="62" customFormat="1" ht="15.75" customHeight="1">
      <c r="B42" s="86"/>
      <c r="C42" s="74"/>
      <c r="D42" s="74"/>
      <c r="E42" s="74"/>
      <c r="F42" s="93"/>
      <c r="G42" s="94"/>
      <c r="H42" s="95"/>
      <c r="I42" s="94"/>
      <c r="J42" s="96"/>
      <c r="K42" s="97"/>
      <c r="L42" s="94"/>
      <c r="M42" s="95"/>
      <c r="N42" s="94"/>
      <c r="O42" s="96"/>
      <c r="P42" s="97"/>
      <c r="Q42" s="94"/>
      <c r="R42" s="95"/>
      <c r="S42" s="94"/>
      <c r="T42" s="96"/>
      <c r="U42" s="98"/>
      <c r="V42" s="94"/>
      <c r="W42" s="95"/>
      <c r="X42" s="94"/>
      <c r="Y42" s="95"/>
      <c r="Z42" s="97"/>
      <c r="AA42" s="94"/>
      <c r="AB42" s="95"/>
      <c r="AC42" s="94"/>
      <c r="AD42" s="95"/>
      <c r="AE42" s="97"/>
    </row>
    <row r="43" spans="2:31" s="62" customFormat="1" ht="15.75" customHeight="1">
      <c r="B43" s="86"/>
      <c r="C43" s="74"/>
      <c r="D43" s="73" t="s">
        <v>114</v>
      </c>
      <c r="E43" s="74"/>
      <c r="F43" s="93"/>
      <c r="G43" s="94"/>
      <c r="H43" s="95"/>
      <c r="I43" s="94"/>
      <c r="J43" s="96"/>
      <c r="K43" s="97"/>
      <c r="L43" s="94"/>
      <c r="M43" s="95"/>
      <c r="N43" s="94"/>
      <c r="O43" s="96"/>
      <c r="P43" s="97"/>
      <c r="Q43" s="94"/>
      <c r="R43" s="95"/>
      <c r="S43" s="94"/>
      <c r="T43" s="96"/>
      <c r="U43" s="98"/>
      <c r="V43" s="94"/>
      <c r="W43" s="95"/>
      <c r="X43" s="94"/>
      <c r="Y43" s="95"/>
      <c r="Z43" s="97"/>
      <c r="AA43" s="94"/>
      <c r="AB43" s="95"/>
      <c r="AC43" s="94"/>
      <c r="AD43" s="95"/>
      <c r="AE43" s="97"/>
    </row>
    <row r="44" spans="2:31" s="62" customFormat="1" ht="15.75" customHeight="1">
      <c r="B44" s="86"/>
      <c r="C44" s="74"/>
      <c r="D44" s="73"/>
      <c r="E44" s="74" t="s">
        <v>115</v>
      </c>
      <c r="F44" s="87"/>
      <c r="G44" s="88">
        <v>0</v>
      </c>
      <c r="H44" s="89">
        <v>4</v>
      </c>
      <c r="I44" s="88">
        <v>142</v>
      </c>
      <c r="J44" s="92">
        <v>4</v>
      </c>
      <c r="K44" s="90">
        <v>6279.3</v>
      </c>
      <c r="L44" s="88">
        <v>0</v>
      </c>
      <c r="M44" s="89">
        <v>15</v>
      </c>
      <c r="N44" s="88">
        <v>82.6</v>
      </c>
      <c r="O44" s="92">
        <v>15</v>
      </c>
      <c r="P44" s="90">
        <v>6361.9</v>
      </c>
      <c r="Q44" s="88">
        <v>0</v>
      </c>
      <c r="R44" s="89">
        <v>4.2</v>
      </c>
      <c r="S44" s="88">
        <v>103.4</v>
      </c>
      <c r="T44" s="92">
        <v>4.2</v>
      </c>
      <c r="U44" s="91">
        <v>6465.3</v>
      </c>
      <c r="V44" s="88">
        <v>0</v>
      </c>
      <c r="W44" s="89">
        <v>13</v>
      </c>
      <c r="X44" s="88">
        <v>78</v>
      </c>
      <c r="Y44" s="89">
        <v>13</v>
      </c>
      <c r="Z44" s="90">
        <v>6543.3</v>
      </c>
      <c r="AA44" s="88">
        <v>0</v>
      </c>
      <c r="AB44" s="89">
        <v>13</v>
      </c>
      <c r="AC44" s="88">
        <v>74</v>
      </c>
      <c r="AD44" s="89">
        <v>13</v>
      </c>
      <c r="AE44" s="90">
        <v>6617.3</v>
      </c>
    </row>
    <row r="45" spans="2:31" s="62" customFormat="1" ht="15.75" customHeight="1">
      <c r="B45" s="86"/>
      <c r="C45" s="74"/>
      <c r="D45" s="73"/>
      <c r="E45" s="74" t="s">
        <v>116</v>
      </c>
      <c r="F45" s="87"/>
      <c r="G45" s="88">
        <v>0</v>
      </c>
      <c r="H45" s="89">
        <v>0</v>
      </c>
      <c r="I45" s="88">
        <v>0</v>
      </c>
      <c r="J45" s="92">
        <v>0</v>
      </c>
      <c r="K45" s="90">
        <v>0</v>
      </c>
      <c r="L45" s="88">
        <v>0</v>
      </c>
      <c r="M45" s="89">
        <v>0</v>
      </c>
      <c r="N45" s="88">
        <v>0</v>
      </c>
      <c r="O45" s="92">
        <v>0</v>
      </c>
      <c r="P45" s="90">
        <v>0</v>
      </c>
      <c r="Q45" s="88">
        <v>0</v>
      </c>
      <c r="R45" s="89">
        <v>0</v>
      </c>
      <c r="S45" s="88">
        <v>0</v>
      </c>
      <c r="T45" s="92">
        <v>0</v>
      </c>
      <c r="U45" s="91">
        <v>0</v>
      </c>
      <c r="V45" s="88">
        <v>0</v>
      </c>
      <c r="W45" s="89">
        <v>0</v>
      </c>
      <c r="X45" s="88">
        <v>0</v>
      </c>
      <c r="Y45" s="89">
        <v>0</v>
      </c>
      <c r="Z45" s="90">
        <v>0</v>
      </c>
      <c r="AA45" s="88">
        <v>0</v>
      </c>
      <c r="AB45" s="89">
        <v>0</v>
      </c>
      <c r="AC45" s="88">
        <v>0</v>
      </c>
      <c r="AD45" s="89">
        <v>0</v>
      </c>
      <c r="AE45" s="90">
        <v>0</v>
      </c>
    </row>
    <row r="46" spans="2:31" s="62" customFormat="1" ht="15.75" customHeight="1">
      <c r="B46" s="86"/>
      <c r="C46" s="74"/>
      <c r="D46" s="73"/>
      <c r="E46" s="74"/>
      <c r="F46" s="93"/>
      <c r="G46" s="94"/>
      <c r="H46" s="95"/>
      <c r="I46" s="94"/>
      <c r="J46" s="96"/>
      <c r="K46" s="97"/>
      <c r="L46" s="94"/>
      <c r="M46" s="95"/>
      <c r="N46" s="94"/>
      <c r="O46" s="96"/>
      <c r="P46" s="97"/>
      <c r="Q46" s="94"/>
      <c r="R46" s="95"/>
      <c r="S46" s="94"/>
      <c r="T46" s="96"/>
      <c r="U46" s="98"/>
      <c r="V46" s="94"/>
      <c r="W46" s="95"/>
      <c r="X46" s="94"/>
      <c r="Y46" s="95"/>
      <c r="Z46" s="97"/>
      <c r="AA46" s="94"/>
      <c r="AB46" s="95"/>
      <c r="AC46" s="94"/>
      <c r="AD46" s="95"/>
      <c r="AE46" s="97"/>
    </row>
    <row r="47" spans="2:31" s="62" customFormat="1" ht="15.75" customHeight="1">
      <c r="B47" s="86"/>
      <c r="C47" s="74"/>
      <c r="D47" s="73" t="s">
        <v>117</v>
      </c>
      <c r="E47" s="74"/>
      <c r="F47" s="93"/>
      <c r="G47" s="94"/>
      <c r="H47" s="95"/>
      <c r="I47" s="94"/>
      <c r="J47" s="96"/>
      <c r="K47" s="97"/>
      <c r="L47" s="94"/>
      <c r="M47" s="95"/>
      <c r="N47" s="94"/>
      <c r="O47" s="96"/>
      <c r="P47" s="97"/>
      <c r="Q47" s="94"/>
      <c r="R47" s="95"/>
      <c r="S47" s="94"/>
      <c r="T47" s="96"/>
      <c r="U47" s="98"/>
      <c r="V47" s="94"/>
      <c r="W47" s="95"/>
      <c r="X47" s="94"/>
      <c r="Y47" s="95"/>
      <c r="Z47" s="97"/>
      <c r="AA47" s="94"/>
      <c r="AB47" s="95"/>
      <c r="AC47" s="94"/>
      <c r="AD47" s="95"/>
      <c r="AE47" s="97"/>
    </row>
    <row r="48" spans="2:31" s="62" customFormat="1" ht="15.75" customHeight="1">
      <c r="B48" s="86"/>
      <c r="C48" s="74"/>
      <c r="D48" s="73"/>
      <c r="E48" s="74" t="s">
        <v>118</v>
      </c>
      <c r="F48" s="87"/>
      <c r="G48" s="88">
        <v>0</v>
      </c>
      <c r="H48" s="89">
        <v>0</v>
      </c>
      <c r="I48" s="88">
        <v>0</v>
      </c>
      <c r="J48" s="92">
        <v>0</v>
      </c>
      <c r="K48" s="90">
        <v>20</v>
      </c>
      <c r="L48" s="88">
        <v>0</v>
      </c>
      <c r="M48" s="89">
        <v>0</v>
      </c>
      <c r="N48" s="88">
        <v>0</v>
      </c>
      <c r="O48" s="92">
        <v>0</v>
      </c>
      <c r="P48" s="90">
        <v>20</v>
      </c>
      <c r="Q48" s="88">
        <v>0</v>
      </c>
      <c r="R48" s="89">
        <v>0</v>
      </c>
      <c r="S48" s="88">
        <v>0</v>
      </c>
      <c r="T48" s="92">
        <v>0</v>
      </c>
      <c r="U48" s="91">
        <v>20</v>
      </c>
      <c r="V48" s="88">
        <v>0</v>
      </c>
      <c r="W48" s="89">
        <v>0</v>
      </c>
      <c r="X48" s="88">
        <v>0</v>
      </c>
      <c r="Y48" s="89">
        <v>0</v>
      </c>
      <c r="Z48" s="90">
        <v>20</v>
      </c>
      <c r="AA48" s="88">
        <v>0</v>
      </c>
      <c r="AB48" s="89">
        <v>0</v>
      </c>
      <c r="AC48" s="88">
        <v>0</v>
      </c>
      <c r="AD48" s="89">
        <v>0</v>
      </c>
      <c r="AE48" s="90">
        <v>20</v>
      </c>
    </row>
    <row r="49" spans="2:31" s="62" customFormat="1" ht="15.75" customHeight="1">
      <c r="B49" s="86"/>
      <c r="C49" s="74"/>
      <c r="D49" s="73"/>
      <c r="E49" s="74"/>
      <c r="F49" s="93"/>
      <c r="G49" s="94"/>
      <c r="H49" s="95"/>
      <c r="I49" s="94"/>
      <c r="J49" s="96"/>
      <c r="K49" s="97"/>
      <c r="L49" s="94"/>
      <c r="M49" s="95"/>
      <c r="N49" s="94"/>
      <c r="O49" s="96"/>
      <c r="P49" s="97"/>
      <c r="Q49" s="94"/>
      <c r="R49" s="95"/>
      <c r="S49" s="94"/>
      <c r="T49" s="96"/>
      <c r="U49" s="98"/>
      <c r="V49" s="94"/>
      <c r="W49" s="95"/>
      <c r="X49" s="94"/>
      <c r="Y49" s="95"/>
      <c r="Z49" s="97"/>
      <c r="AA49" s="94"/>
      <c r="AB49" s="95"/>
      <c r="AC49" s="94"/>
      <c r="AD49" s="95"/>
      <c r="AE49" s="97"/>
    </row>
    <row r="50" spans="2:31" s="62" customFormat="1" ht="15.75" customHeight="1">
      <c r="B50" s="86"/>
      <c r="C50" s="74"/>
      <c r="D50" s="73" t="s">
        <v>100</v>
      </c>
      <c r="E50" s="74"/>
      <c r="F50" s="93"/>
      <c r="G50" s="94"/>
      <c r="H50" s="95"/>
      <c r="I50" s="94"/>
      <c r="J50" s="96"/>
      <c r="K50" s="97"/>
      <c r="L50" s="94"/>
      <c r="M50" s="95"/>
      <c r="N50" s="94"/>
      <c r="O50" s="96"/>
      <c r="P50" s="97"/>
      <c r="Q50" s="94"/>
      <c r="R50" s="95"/>
      <c r="S50" s="94"/>
      <c r="T50" s="96"/>
      <c r="U50" s="98"/>
      <c r="V50" s="94"/>
      <c r="W50" s="95"/>
      <c r="X50" s="94"/>
      <c r="Y50" s="95"/>
      <c r="Z50" s="97"/>
      <c r="AA50" s="94"/>
      <c r="AB50" s="95"/>
      <c r="AC50" s="94"/>
      <c r="AD50" s="95"/>
      <c r="AE50" s="97"/>
    </row>
    <row r="51" spans="2:31" s="62" customFormat="1" ht="15.75" customHeight="1">
      <c r="B51" s="86"/>
      <c r="C51" s="74"/>
      <c r="D51" s="73"/>
      <c r="E51" s="74" t="s">
        <v>119</v>
      </c>
      <c r="F51" s="87"/>
      <c r="G51" s="88">
        <v>0</v>
      </c>
      <c r="H51" s="89">
        <v>12</v>
      </c>
      <c r="I51" s="88">
        <v>0</v>
      </c>
      <c r="J51" s="92">
        <v>141</v>
      </c>
      <c r="K51" s="90">
        <v>428</v>
      </c>
      <c r="L51" s="88">
        <v>0</v>
      </c>
      <c r="M51" s="89">
        <v>0</v>
      </c>
      <c r="N51" s="88">
        <v>0</v>
      </c>
      <c r="O51" s="92">
        <v>95</v>
      </c>
      <c r="P51" s="90">
        <v>523</v>
      </c>
      <c r="Q51" s="88">
        <v>0</v>
      </c>
      <c r="R51" s="89">
        <v>6</v>
      </c>
      <c r="S51" s="88">
        <v>0</v>
      </c>
      <c r="T51" s="92">
        <v>180</v>
      </c>
      <c r="U51" s="91">
        <v>697</v>
      </c>
      <c r="V51" s="88">
        <v>0</v>
      </c>
      <c r="W51" s="89">
        <v>64</v>
      </c>
      <c r="X51" s="88">
        <v>0</v>
      </c>
      <c r="Y51" s="89">
        <v>64</v>
      </c>
      <c r="Z51" s="90">
        <v>697</v>
      </c>
      <c r="AA51" s="88">
        <v>0</v>
      </c>
      <c r="AB51" s="89">
        <v>45</v>
      </c>
      <c r="AC51" s="88">
        <v>0</v>
      </c>
      <c r="AD51" s="89">
        <v>45</v>
      </c>
      <c r="AE51" s="90">
        <v>697</v>
      </c>
    </row>
    <row r="52" spans="2:31" s="62" customFormat="1" ht="15.75" customHeight="1">
      <c r="B52" s="86"/>
      <c r="C52" s="74"/>
      <c r="D52" s="73"/>
      <c r="E52" s="74" t="s">
        <v>120</v>
      </c>
      <c r="F52" s="87"/>
      <c r="G52" s="88">
        <v>0</v>
      </c>
      <c r="H52" s="89">
        <v>89</v>
      </c>
      <c r="I52" s="88">
        <v>34</v>
      </c>
      <c r="J52" s="92">
        <v>89</v>
      </c>
      <c r="K52" s="90">
        <v>4069</v>
      </c>
      <c r="L52" s="88">
        <v>44</v>
      </c>
      <c r="M52" s="89">
        <v>108</v>
      </c>
      <c r="N52" s="88">
        <v>32</v>
      </c>
      <c r="O52" s="92">
        <v>108</v>
      </c>
      <c r="P52" s="90">
        <v>4057</v>
      </c>
      <c r="Q52" s="88">
        <v>0</v>
      </c>
      <c r="R52" s="89">
        <v>69</v>
      </c>
      <c r="S52" s="88">
        <v>41</v>
      </c>
      <c r="T52" s="92">
        <v>83</v>
      </c>
      <c r="U52" s="91">
        <v>4112</v>
      </c>
      <c r="V52" s="88">
        <v>20</v>
      </c>
      <c r="W52" s="89">
        <v>55</v>
      </c>
      <c r="X52" s="88">
        <v>31</v>
      </c>
      <c r="Y52" s="89">
        <v>55</v>
      </c>
      <c r="Z52" s="90">
        <v>4123</v>
      </c>
      <c r="AA52" s="88">
        <v>19</v>
      </c>
      <c r="AB52" s="89">
        <v>70</v>
      </c>
      <c r="AC52" s="88">
        <v>29</v>
      </c>
      <c r="AD52" s="89">
        <v>70</v>
      </c>
      <c r="AE52" s="90">
        <v>4133</v>
      </c>
    </row>
    <row r="53" spans="2:31" s="62" customFormat="1" ht="15.75" customHeight="1">
      <c r="B53" s="86"/>
      <c r="C53" s="74"/>
      <c r="D53" s="73"/>
      <c r="E53" s="74" t="s">
        <v>121</v>
      </c>
      <c r="F53" s="87"/>
      <c r="G53" s="88">
        <v>0</v>
      </c>
      <c r="H53" s="89">
        <v>4</v>
      </c>
      <c r="I53" s="88">
        <v>0</v>
      </c>
      <c r="J53" s="92">
        <v>32</v>
      </c>
      <c r="K53" s="90">
        <v>225</v>
      </c>
      <c r="L53" s="88">
        <v>0</v>
      </c>
      <c r="M53" s="89">
        <v>8</v>
      </c>
      <c r="N53" s="88">
        <v>0</v>
      </c>
      <c r="O53" s="92">
        <v>17</v>
      </c>
      <c r="P53" s="90">
        <v>234</v>
      </c>
      <c r="Q53" s="88">
        <v>53</v>
      </c>
      <c r="R53" s="89">
        <v>9</v>
      </c>
      <c r="S53" s="88">
        <v>0</v>
      </c>
      <c r="T53" s="92">
        <v>9</v>
      </c>
      <c r="U53" s="91">
        <v>181</v>
      </c>
      <c r="V53" s="88">
        <v>21</v>
      </c>
      <c r="W53" s="89">
        <v>43</v>
      </c>
      <c r="X53" s="88">
        <v>0</v>
      </c>
      <c r="Y53" s="89">
        <v>43</v>
      </c>
      <c r="Z53" s="90">
        <v>160</v>
      </c>
      <c r="AA53" s="88">
        <v>20</v>
      </c>
      <c r="AB53" s="89">
        <v>31</v>
      </c>
      <c r="AC53" s="88">
        <v>0</v>
      </c>
      <c r="AD53" s="89">
        <v>31</v>
      </c>
      <c r="AE53" s="90">
        <v>140</v>
      </c>
    </row>
    <row r="54" spans="2:31" s="62" customFormat="1" ht="15.75" customHeight="1">
      <c r="B54" s="86"/>
      <c r="C54" s="74"/>
      <c r="D54" s="73"/>
      <c r="E54" s="74" t="s">
        <v>122</v>
      </c>
      <c r="F54" s="87"/>
      <c r="G54" s="88">
        <v>69</v>
      </c>
      <c r="H54" s="89">
        <v>19</v>
      </c>
      <c r="I54" s="88">
        <v>5</v>
      </c>
      <c r="J54" s="92">
        <v>19</v>
      </c>
      <c r="K54" s="90">
        <v>9163</v>
      </c>
      <c r="L54" s="88">
        <v>140</v>
      </c>
      <c r="M54" s="89">
        <v>21</v>
      </c>
      <c r="N54" s="88">
        <v>5</v>
      </c>
      <c r="O54" s="92">
        <v>21</v>
      </c>
      <c r="P54" s="90">
        <v>9028</v>
      </c>
      <c r="Q54" s="88">
        <v>124</v>
      </c>
      <c r="R54" s="89">
        <v>17</v>
      </c>
      <c r="S54" s="88">
        <v>4</v>
      </c>
      <c r="T54" s="92">
        <v>17</v>
      </c>
      <c r="U54" s="91">
        <v>8908</v>
      </c>
      <c r="V54" s="88">
        <v>112</v>
      </c>
      <c r="W54" s="89">
        <v>30</v>
      </c>
      <c r="X54" s="88">
        <v>4</v>
      </c>
      <c r="Y54" s="89">
        <v>30</v>
      </c>
      <c r="Z54" s="90">
        <v>8800</v>
      </c>
      <c r="AA54" s="88">
        <v>106</v>
      </c>
      <c r="AB54" s="89">
        <v>100</v>
      </c>
      <c r="AC54" s="88">
        <v>4</v>
      </c>
      <c r="AD54" s="89">
        <v>100</v>
      </c>
      <c r="AE54" s="90">
        <v>8698</v>
      </c>
    </row>
    <row r="55" spans="2:31" s="62" customFormat="1" ht="15.75" customHeight="1">
      <c r="B55" s="86"/>
      <c r="C55" s="74"/>
      <c r="D55" s="73"/>
      <c r="E55" s="74" t="s">
        <v>123</v>
      </c>
      <c r="F55" s="87"/>
      <c r="G55" s="88">
        <v>0</v>
      </c>
      <c r="H55" s="89">
        <v>24</v>
      </c>
      <c r="I55" s="88">
        <v>139</v>
      </c>
      <c r="J55" s="92">
        <v>92</v>
      </c>
      <c r="K55" s="90">
        <v>6613</v>
      </c>
      <c r="L55" s="88">
        <v>0</v>
      </c>
      <c r="M55" s="89">
        <v>23</v>
      </c>
      <c r="N55" s="88">
        <v>104</v>
      </c>
      <c r="O55" s="92">
        <v>72</v>
      </c>
      <c r="P55" s="90">
        <v>6766</v>
      </c>
      <c r="Q55" s="88">
        <v>0</v>
      </c>
      <c r="R55" s="89">
        <v>22</v>
      </c>
      <c r="S55" s="88">
        <v>127</v>
      </c>
      <c r="T55" s="92">
        <v>81</v>
      </c>
      <c r="U55" s="91">
        <v>6952</v>
      </c>
      <c r="V55" s="88">
        <v>0</v>
      </c>
      <c r="W55" s="89">
        <v>132</v>
      </c>
      <c r="X55" s="88">
        <v>97</v>
      </c>
      <c r="Y55" s="89">
        <v>132</v>
      </c>
      <c r="Z55" s="90">
        <v>7049</v>
      </c>
      <c r="AA55" s="88">
        <v>0</v>
      </c>
      <c r="AB55" s="89">
        <v>196</v>
      </c>
      <c r="AC55" s="88">
        <v>92</v>
      </c>
      <c r="AD55" s="89">
        <v>196</v>
      </c>
      <c r="AE55" s="90">
        <v>7141</v>
      </c>
    </row>
    <row r="56" spans="2:31" s="62" customFormat="1" ht="15.75" customHeight="1">
      <c r="B56" s="86"/>
      <c r="C56" s="74"/>
      <c r="D56" s="73"/>
      <c r="E56" s="74" t="s">
        <v>124</v>
      </c>
      <c r="F56" s="87"/>
      <c r="G56" s="88">
        <v>0</v>
      </c>
      <c r="H56" s="89">
        <v>85</v>
      </c>
      <c r="I56" s="88">
        <v>18</v>
      </c>
      <c r="J56" s="92">
        <v>233</v>
      </c>
      <c r="K56" s="90">
        <v>22871</v>
      </c>
      <c r="L56" s="88">
        <v>0</v>
      </c>
      <c r="M56" s="89">
        <v>170</v>
      </c>
      <c r="N56" s="88">
        <v>37</v>
      </c>
      <c r="O56" s="92">
        <v>522</v>
      </c>
      <c r="P56" s="90">
        <v>23260</v>
      </c>
      <c r="Q56" s="88">
        <v>0</v>
      </c>
      <c r="R56" s="89">
        <v>168</v>
      </c>
      <c r="S56" s="88">
        <v>40</v>
      </c>
      <c r="T56" s="92">
        <v>469</v>
      </c>
      <c r="U56" s="91">
        <v>23601</v>
      </c>
      <c r="V56" s="88">
        <v>0</v>
      </c>
      <c r="W56" s="89">
        <v>0</v>
      </c>
      <c r="X56" s="88">
        <v>32</v>
      </c>
      <c r="Y56" s="89">
        <v>0</v>
      </c>
      <c r="Z56" s="90">
        <v>23633</v>
      </c>
      <c r="AA56" s="88">
        <v>0</v>
      </c>
      <c r="AB56" s="89">
        <v>0</v>
      </c>
      <c r="AC56" s="88">
        <v>31</v>
      </c>
      <c r="AD56" s="89">
        <v>0</v>
      </c>
      <c r="AE56" s="90">
        <v>23664</v>
      </c>
    </row>
    <row r="57" spans="2:31" s="62" customFormat="1" ht="15.75" customHeight="1">
      <c r="B57" s="86"/>
      <c r="C57" s="74"/>
      <c r="D57" s="73"/>
      <c r="E57" s="74" t="s">
        <v>125</v>
      </c>
      <c r="F57" s="87"/>
      <c r="G57" s="88">
        <v>0</v>
      </c>
      <c r="H57" s="89">
        <v>0</v>
      </c>
      <c r="I57" s="88">
        <v>0</v>
      </c>
      <c r="J57" s="92">
        <v>0</v>
      </c>
      <c r="K57" s="90">
        <v>20</v>
      </c>
      <c r="L57" s="88">
        <v>0</v>
      </c>
      <c r="M57" s="89">
        <v>1</v>
      </c>
      <c r="N57" s="88">
        <v>0</v>
      </c>
      <c r="O57" s="92">
        <v>2</v>
      </c>
      <c r="P57" s="90">
        <v>21</v>
      </c>
      <c r="Q57" s="88">
        <v>0</v>
      </c>
      <c r="R57" s="89">
        <v>0</v>
      </c>
      <c r="S57" s="88">
        <v>0</v>
      </c>
      <c r="T57" s="92">
        <v>0</v>
      </c>
      <c r="U57" s="91">
        <v>21</v>
      </c>
      <c r="V57" s="88">
        <v>0</v>
      </c>
      <c r="W57" s="89">
        <v>0</v>
      </c>
      <c r="X57" s="88">
        <v>0</v>
      </c>
      <c r="Y57" s="89">
        <v>0</v>
      </c>
      <c r="Z57" s="90">
        <v>21</v>
      </c>
      <c r="AA57" s="88">
        <v>0</v>
      </c>
      <c r="AB57" s="89">
        <v>0</v>
      </c>
      <c r="AC57" s="88">
        <v>0</v>
      </c>
      <c r="AD57" s="89">
        <v>0</v>
      </c>
      <c r="AE57" s="90">
        <v>21</v>
      </c>
    </row>
    <row r="58" spans="2:31" s="62" customFormat="1" ht="15.75" customHeight="1">
      <c r="B58" s="86"/>
      <c r="C58" s="74"/>
      <c r="D58" s="74"/>
      <c r="E58" s="74" t="s">
        <v>126</v>
      </c>
      <c r="F58" s="87"/>
      <c r="G58" s="88">
        <v>0</v>
      </c>
      <c r="H58" s="89">
        <v>0</v>
      </c>
      <c r="I58" s="88">
        <v>0</v>
      </c>
      <c r="J58" s="92">
        <v>0</v>
      </c>
      <c r="K58" s="90">
        <v>0</v>
      </c>
      <c r="L58" s="88">
        <v>0</v>
      </c>
      <c r="M58" s="89">
        <v>0</v>
      </c>
      <c r="N58" s="88">
        <v>0</v>
      </c>
      <c r="O58" s="92">
        <v>0</v>
      </c>
      <c r="P58" s="90">
        <v>0</v>
      </c>
      <c r="Q58" s="88">
        <v>0</v>
      </c>
      <c r="R58" s="89">
        <v>0</v>
      </c>
      <c r="S58" s="88">
        <v>0</v>
      </c>
      <c r="T58" s="92">
        <v>0</v>
      </c>
      <c r="U58" s="91">
        <v>0</v>
      </c>
      <c r="V58" s="88">
        <v>0</v>
      </c>
      <c r="W58" s="89">
        <v>0</v>
      </c>
      <c r="X58" s="88">
        <v>0</v>
      </c>
      <c r="Y58" s="89">
        <v>0</v>
      </c>
      <c r="Z58" s="90">
        <v>0</v>
      </c>
      <c r="AA58" s="88">
        <v>0</v>
      </c>
      <c r="AB58" s="89">
        <v>0</v>
      </c>
      <c r="AC58" s="88">
        <v>0</v>
      </c>
      <c r="AD58" s="89">
        <v>0</v>
      </c>
      <c r="AE58" s="90">
        <v>0</v>
      </c>
    </row>
    <row r="59" spans="2:31" s="62" customFormat="1" ht="15.75" customHeight="1">
      <c r="B59" s="86"/>
      <c r="C59" s="74"/>
      <c r="D59" s="74"/>
      <c r="E59" s="74" t="s">
        <v>127</v>
      </c>
      <c r="F59" s="87"/>
      <c r="G59" s="88">
        <v>0</v>
      </c>
      <c r="H59" s="89">
        <v>0</v>
      </c>
      <c r="I59" s="88">
        <v>0</v>
      </c>
      <c r="J59" s="92">
        <v>0</v>
      </c>
      <c r="K59" s="90">
        <v>0</v>
      </c>
      <c r="L59" s="88">
        <v>0</v>
      </c>
      <c r="M59" s="89">
        <v>0</v>
      </c>
      <c r="N59" s="88">
        <v>0</v>
      </c>
      <c r="O59" s="92">
        <v>0</v>
      </c>
      <c r="P59" s="90">
        <v>0</v>
      </c>
      <c r="Q59" s="88">
        <v>0</v>
      </c>
      <c r="R59" s="89">
        <v>0</v>
      </c>
      <c r="S59" s="88">
        <v>0</v>
      </c>
      <c r="T59" s="92">
        <v>0</v>
      </c>
      <c r="U59" s="91">
        <v>0</v>
      </c>
      <c r="V59" s="88">
        <v>0</v>
      </c>
      <c r="W59" s="89">
        <v>0</v>
      </c>
      <c r="X59" s="88">
        <v>0</v>
      </c>
      <c r="Y59" s="89">
        <v>0</v>
      </c>
      <c r="Z59" s="90">
        <v>0</v>
      </c>
      <c r="AA59" s="88">
        <v>0</v>
      </c>
      <c r="AB59" s="89">
        <v>0</v>
      </c>
      <c r="AC59" s="88">
        <v>0</v>
      </c>
      <c r="AD59" s="89">
        <v>0</v>
      </c>
      <c r="AE59" s="90">
        <v>0</v>
      </c>
    </row>
    <row r="60" spans="2:31" s="62" customFormat="1" ht="15.75" customHeight="1">
      <c r="B60" s="86"/>
      <c r="C60" s="74"/>
      <c r="D60" s="73"/>
      <c r="E60" s="74" t="s">
        <v>128</v>
      </c>
      <c r="F60" s="87"/>
      <c r="G60" s="88">
        <v>0</v>
      </c>
      <c r="H60" s="89">
        <v>0</v>
      </c>
      <c r="I60" s="88">
        <v>0</v>
      </c>
      <c r="J60" s="92">
        <v>0</v>
      </c>
      <c r="K60" s="90">
        <v>0</v>
      </c>
      <c r="L60" s="88">
        <v>0</v>
      </c>
      <c r="M60" s="89">
        <v>0</v>
      </c>
      <c r="N60" s="88">
        <v>0</v>
      </c>
      <c r="O60" s="92">
        <v>0</v>
      </c>
      <c r="P60" s="90">
        <v>0</v>
      </c>
      <c r="Q60" s="88">
        <v>0</v>
      </c>
      <c r="R60" s="89">
        <v>0</v>
      </c>
      <c r="S60" s="88">
        <v>0</v>
      </c>
      <c r="T60" s="92">
        <v>0</v>
      </c>
      <c r="U60" s="91">
        <v>0</v>
      </c>
      <c r="V60" s="88">
        <v>0</v>
      </c>
      <c r="W60" s="89">
        <v>0</v>
      </c>
      <c r="X60" s="88">
        <v>0</v>
      </c>
      <c r="Y60" s="89">
        <v>0</v>
      </c>
      <c r="Z60" s="90">
        <v>0</v>
      </c>
      <c r="AA60" s="88">
        <v>0</v>
      </c>
      <c r="AB60" s="89">
        <v>0</v>
      </c>
      <c r="AC60" s="88">
        <v>0</v>
      </c>
      <c r="AD60" s="89">
        <v>0</v>
      </c>
      <c r="AE60" s="90">
        <v>0</v>
      </c>
    </row>
    <row r="61" spans="2:31" s="62" customFormat="1" ht="15.75" customHeight="1">
      <c r="B61" s="86"/>
      <c r="C61" s="74"/>
      <c r="D61" s="73"/>
      <c r="E61" s="74" t="s">
        <v>129</v>
      </c>
      <c r="F61" s="87"/>
      <c r="G61" s="88">
        <v>0</v>
      </c>
      <c r="H61" s="89">
        <v>0</v>
      </c>
      <c r="I61" s="88">
        <v>0</v>
      </c>
      <c r="J61" s="92">
        <v>0</v>
      </c>
      <c r="K61" s="90">
        <v>0</v>
      </c>
      <c r="L61" s="88">
        <v>0</v>
      </c>
      <c r="M61" s="89">
        <v>0</v>
      </c>
      <c r="N61" s="88">
        <v>0</v>
      </c>
      <c r="O61" s="92">
        <v>0</v>
      </c>
      <c r="P61" s="90">
        <v>0</v>
      </c>
      <c r="Q61" s="88">
        <v>0</v>
      </c>
      <c r="R61" s="89">
        <v>0</v>
      </c>
      <c r="S61" s="88">
        <v>0</v>
      </c>
      <c r="T61" s="92">
        <v>0</v>
      </c>
      <c r="U61" s="91">
        <v>0</v>
      </c>
      <c r="V61" s="88">
        <v>0</v>
      </c>
      <c r="W61" s="89">
        <v>0</v>
      </c>
      <c r="X61" s="88">
        <v>0</v>
      </c>
      <c r="Y61" s="89">
        <v>0</v>
      </c>
      <c r="Z61" s="90">
        <v>0</v>
      </c>
      <c r="AA61" s="88">
        <v>0</v>
      </c>
      <c r="AB61" s="89">
        <v>0</v>
      </c>
      <c r="AC61" s="88">
        <v>0</v>
      </c>
      <c r="AD61" s="89">
        <v>0</v>
      </c>
      <c r="AE61" s="90">
        <v>0</v>
      </c>
    </row>
    <row r="62" spans="2:31" s="62" customFormat="1" ht="15.75" customHeight="1">
      <c r="B62" s="86"/>
      <c r="C62" s="74"/>
      <c r="D62" s="73"/>
      <c r="E62" s="74" t="s">
        <v>130</v>
      </c>
      <c r="F62" s="87"/>
      <c r="G62" s="88">
        <v>0</v>
      </c>
      <c r="H62" s="89">
        <v>0</v>
      </c>
      <c r="I62" s="88">
        <v>0</v>
      </c>
      <c r="J62" s="92">
        <v>0</v>
      </c>
      <c r="K62" s="90">
        <v>0</v>
      </c>
      <c r="L62" s="88">
        <v>0</v>
      </c>
      <c r="M62" s="89">
        <v>0</v>
      </c>
      <c r="N62" s="88">
        <v>0</v>
      </c>
      <c r="O62" s="92">
        <v>0</v>
      </c>
      <c r="P62" s="90">
        <v>0</v>
      </c>
      <c r="Q62" s="88">
        <v>0</v>
      </c>
      <c r="R62" s="89">
        <v>0</v>
      </c>
      <c r="S62" s="88">
        <v>0</v>
      </c>
      <c r="T62" s="92">
        <v>0</v>
      </c>
      <c r="U62" s="91">
        <v>0</v>
      </c>
      <c r="V62" s="88">
        <v>0</v>
      </c>
      <c r="W62" s="89">
        <v>0</v>
      </c>
      <c r="X62" s="88">
        <v>0</v>
      </c>
      <c r="Y62" s="89">
        <v>0</v>
      </c>
      <c r="Z62" s="90">
        <v>0</v>
      </c>
      <c r="AA62" s="88">
        <v>0</v>
      </c>
      <c r="AB62" s="89">
        <v>0</v>
      </c>
      <c r="AC62" s="88">
        <v>0</v>
      </c>
      <c r="AD62" s="89">
        <v>0</v>
      </c>
      <c r="AE62" s="90">
        <v>0</v>
      </c>
    </row>
    <row r="63" spans="2:31" s="62" customFormat="1" ht="15.75" customHeight="1">
      <c r="B63" s="86"/>
      <c r="C63" s="74"/>
      <c r="D63" s="73"/>
      <c r="E63" s="74" t="s">
        <v>131</v>
      </c>
      <c r="F63" s="87"/>
      <c r="G63" s="88">
        <v>0</v>
      </c>
      <c r="H63" s="89">
        <v>0</v>
      </c>
      <c r="I63" s="88">
        <v>0</v>
      </c>
      <c r="J63" s="92">
        <v>0</v>
      </c>
      <c r="K63" s="90">
        <v>0</v>
      </c>
      <c r="L63" s="88">
        <v>0</v>
      </c>
      <c r="M63" s="89">
        <v>0</v>
      </c>
      <c r="N63" s="88">
        <v>0</v>
      </c>
      <c r="O63" s="92">
        <v>0</v>
      </c>
      <c r="P63" s="90">
        <v>0</v>
      </c>
      <c r="Q63" s="88">
        <v>0</v>
      </c>
      <c r="R63" s="89">
        <v>0</v>
      </c>
      <c r="S63" s="88">
        <v>0</v>
      </c>
      <c r="T63" s="92">
        <v>0</v>
      </c>
      <c r="U63" s="91">
        <v>0</v>
      </c>
      <c r="V63" s="88">
        <v>0</v>
      </c>
      <c r="W63" s="89">
        <v>0</v>
      </c>
      <c r="X63" s="88">
        <v>0</v>
      </c>
      <c r="Y63" s="89">
        <v>0</v>
      </c>
      <c r="Z63" s="90">
        <v>0</v>
      </c>
      <c r="AA63" s="88">
        <v>0</v>
      </c>
      <c r="AB63" s="89">
        <v>0</v>
      </c>
      <c r="AC63" s="88">
        <v>0</v>
      </c>
      <c r="AD63" s="89">
        <v>0</v>
      </c>
      <c r="AE63" s="90">
        <v>0</v>
      </c>
    </row>
    <row r="64" spans="2:31" s="62" customFormat="1" ht="15.75" customHeight="1">
      <c r="B64" s="86"/>
      <c r="C64" s="74"/>
      <c r="D64" s="73"/>
      <c r="E64" s="74" t="s">
        <v>132</v>
      </c>
      <c r="F64" s="87"/>
      <c r="G64" s="88">
        <v>0</v>
      </c>
      <c r="H64" s="89">
        <v>0</v>
      </c>
      <c r="I64" s="88">
        <v>0</v>
      </c>
      <c r="J64" s="92">
        <v>0</v>
      </c>
      <c r="K64" s="90">
        <v>0</v>
      </c>
      <c r="L64" s="88">
        <v>0</v>
      </c>
      <c r="M64" s="89">
        <v>0</v>
      </c>
      <c r="N64" s="88">
        <v>0</v>
      </c>
      <c r="O64" s="92">
        <v>0</v>
      </c>
      <c r="P64" s="90">
        <v>0</v>
      </c>
      <c r="Q64" s="88">
        <v>0</v>
      </c>
      <c r="R64" s="89">
        <v>0</v>
      </c>
      <c r="S64" s="88">
        <v>0</v>
      </c>
      <c r="T64" s="92">
        <v>0</v>
      </c>
      <c r="U64" s="91">
        <v>0</v>
      </c>
      <c r="V64" s="88">
        <v>0</v>
      </c>
      <c r="W64" s="89">
        <v>0</v>
      </c>
      <c r="X64" s="88">
        <v>0</v>
      </c>
      <c r="Y64" s="89">
        <v>0</v>
      </c>
      <c r="Z64" s="90">
        <v>0</v>
      </c>
      <c r="AA64" s="88">
        <v>0</v>
      </c>
      <c r="AB64" s="89">
        <v>0</v>
      </c>
      <c r="AC64" s="88">
        <v>0</v>
      </c>
      <c r="AD64" s="89">
        <v>0</v>
      </c>
      <c r="AE64" s="90">
        <v>0</v>
      </c>
    </row>
    <row r="65" spans="2:31" s="62" customFormat="1" ht="15.75" customHeight="1">
      <c r="B65" s="86"/>
      <c r="C65" s="74"/>
      <c r="D65" s="73"/>
      <c r="E65" s="74"/>
      <c r="F65" s="93"/>
      <c r="G65" s="94"/>
      <c r="H65" s="95"/>
      <c r="I65" s="94"/>
      <c r="J65" s="96"/>
      <c r="K65" s="97"/>
      <c r="L65" s="94"/>
      <c r="M65" s="95"/>
      <c r="N65" s="94"/>
      <c r="O65" s="96"/>
      <c r="P65" s="97"/>
      <c r="Q65" s="94"/>
      <c r="R65" s="95"/>
      <c r="S65" s="94"/>
      <c r="T65" s="96"/>
      <c r="U65" s="98"/>
      <c r="V65" s="94"/>
      <c r="W65" s="95"/>
      <c r="X65" s="94"/>
      <c r="Y65" s="95"/>
      <c r="Z65" s="97"/>
      <c r="AA65" s="94"/>
      <c r="AB65" s="95"/>
      <c r="AC65" s="94"/>
      <c r="AD65" s="95"/>
      <c r="AE65" s="97"/>
    </row>
    <row r="66" spans="2:31" s="62" customFormat="1" ht="15.75" customHeight="1">
      <c r="B66" s="86"/>
      <c r="C66" s="74"/>
      <c r="D66" s="73" t="s">
        <v>133</v>
      </c>
      <c r="E66" s="74"/>
      <c r="F66" s="93"/>
      <c r="G66" s="94"/>
      <c r="H66" s="95"/>
      <c r="I66" s="94"/>
      <c r="J66" s="96"/>
      <c r="K66" s="97"/>
      <c r="L66" s="94"/>
      <c r="M66" s="95"/>
      <c r="N66" s="94"/>
      <c r="O66" s="96"/>
      <c r="P66" s="97"/>
      <c r="Q66" s="94"/>
      <c r="R66" s="95"/>
      <c r="S66" s="94"/>
      <c r="T66" s="96"/>
      <c r="U66" s="98"/>
      <c r="V66" s="94"/>
      <c r="W66" s="95"/>
      <c r="X66" s="94"/>
      <c r="Y66" s="95"/>
      <c r="Z66" s="97"/>
      <c r="AA66" s="94"/>
      <c r="AB66" s="95"/>
      <c r="AC66" s="94"/>
      <c r="AD66" s="95"/>
      <c r="AE66" s="97"/>
    </row>
    <row r="67" spans="2:31" s="62" customFormat="1" ht="15.75" customHeight="1">
      <c r="B67" s="86"/>
      <c r="C67" s="74"/>
      <c r="D67" s="73"/>
      <c r="E67" s="74" t="s">
        <v>134</v>
      </c>
      <c r="F67" s="87"/>
      <c r="G67" s="88">
        <v>0</v>
      </c>
      <c r="H67" s="89">
        <v>347</v>
      </c>
      <c r="I67" s="88">
        <v>210</v>
      </c>
      <c r="J67" s="92">
        <v>566</v>
      </c>
      <c r="K67" s="90">
        <v>37668</v>
      </c>
      <c r="L67" s="88">
        <v>97</v>
      </c>
      <c r="M67" s="89">
        <v>625</v>
      </c>
      <c r="N67" s="88">
        <v>231</v>
      </c>
      <c r="O67" s="92">
        <v>625</v>
      </c>
      <c r="P67" s="90">
        <v>37802</v>
      </c>
      <c r="Q67" s="88">
        <v>84</v>
      </c>
      <c r="R67" s="89">
        <v>535</v>
      </c>
      <c r="S67" s="88">
        <v>199</v>
      </c>
      <c r="T67" s="92">
        <v>535</v>
      </c>
      <c r="U67" s="91">
        <v>37917</v>
      </c>
      <c r="V67" s="88">
        <v>77</v>
      </c>
      <c r="W67" s="89">
        <v>190</v>
      </c>
      <c r="X67" s="88">
        <v>182</v>
      </c>
      <c r="Y67" s="89">
        <v>190</v>
      </c>
      <c r="Z67" s="90">
        <v>38022</v>
      </c>
      <c r="AA67" s="88">
        <v>73</v>
      </c>
      <c r="AB67" s="89">
        <v>190</v>
      </c>
      <c r="AC67" s="88">
        <v>173</v>
      </c>
      <c r="AD67" s="89">
        <v>190</v>
      </c>
      <c r="AE67" s="90">
        <v>38122</v>
      </c>
    </row>
    <row r="68" spans="2:31" s="62" customFormat="1" ht="15.75" customHeight="1">
      <c r="B68" s="86"/>
      <c r="C68" s="74"/>
      <c r="D68" s="73"/>
      <c r="E68" s="74" t="s">
        <v>135</v>
      </c>
      <c r="F68" s="87"/>
      <c r="G68" s="88">
        <v>0</v>
      </c>
      <c r="H68" s="89">
        <v>96</v>
      </c>
      <c r="I68" s="88">
        <v>150</v>
      </c>
      <c r="J68" s="92">
        <v>161</v>
      </c>
      <c r="K68" s="90">
        <v>12372</v>
      </c>
      <c r="L68" s="88">
        <v>0</v>
      </c>
      <c r="M68" s="89">
        <v>146</v>
      </c>
      <c r="N68" s="88">
        <v>143</v>
      </c>
      <c r="O68" s="92">
        <v>154</v>
      </c>
      <c r="P68" s="90">
        <v>12523</v>
      </c>
      <c r="Q68" s="88">
        <v>0</v>
      </c>
      <c r="R68" s="89">
        <v>136</v>
      </c>
      <c r="S68" s="88">
        <v>137</v>
      </c>
      <c r="T68" s="92">
        <v>147</v>
      </c>
      <c r="U68" s="91">
        <v>12671</v>
      </c>
      <c r="V68" s="88">
        <v>0</v>
      </c>
      <c r="W68" s="89">
        <v>40</v>
      </c>
      <c r="X68" s="88">
        <v>118</v>
      </c>
      <c r="Y68" s="89">
        <v>40</v>
      </c>
      <c r="Z68" s="90">
        <v>12789</v>
      </c>
      <c r="AA68" s="88">
        <v>0</v>
      </c>
      <c r="AB68" s="89">
        <v>40</v>
      </c>
      <c r="AC68" s="88">
        <v>112</v>
      </c>
      <c r="AD68" s="89">
        <v>40</v>
      </c>
      <c r="AE68" s="90">
        <v>12901</v>
      </c>
    </row>
    <row r="69" spans="2:31" s="62" customFormat="1" ht="15.75" customHeight="1">
      <c r="B69" s="86"/>
      <c r="C69" s="74"/>
      <c r="D69" s="73"/>
      <c r="E69" s="74" t="s">
        <v>136</v>
      </c>
      <c r="F69" s="87"/>
      <c r="G69" s="88">
        <v>0</v>
      </c>
      <c r="H69" s="89">
        <v>0</v>
      </c>
      <c r="I69" s="88">
        <v>0</v>
      </c>
      <c r="J69" s="92">
        <v>0</v>
      </c>
      <c r="K69" s="90">
        <v>0</v>
      </c>
      <c r="L69" s="88">
        <v>0</v>
      </c>
      <c r="M69" s="89">
        <v>0</v>
      </c>
      <c r="N69" s="88">
        <v>0</v>
      </c>
      <c r="O69" s="92">
        <v>0</v>
      </c>
      <c r="P69" s="90">
        <v>0</v>
      </c>
      <c r="Q69" s="88">
        <v>0</v>
      </c>
      <c r="R69" s="89">
        <v>0</v>
      </c>
      <c r="S69" s="88">
        <v>0</v>
      </c>
      <c r="T69" s="92">
        <v>0</v>
      </c>
      <c r="U69" s="91">
        <v>0</v>
      </c>
      <c r="V69" s="88">
        <v>0</v>
      </c>
      <c r="W69" s="89">
        <v>0</v>
      </c>
      <c r="X69" s="88">
        <v>0</v>
      </c>
      <c r="Y69" s="89">
        <v>0</v>
      </c>
      <c r="Z69" s="90">
        <v>0</v>
      </c>
      <c r="AA69" s="88">
        <v>0</v>
      </c>
      <c r="AB69" s="89">
        <v>0</v>
      </c>
      <c r="AC69" s="88">
        <v>0</v>
      </c>
      <c r="AD69" s="89">
        <v>0</v>
      </c>
      <c r="AE69" s="90">
        <v>0</v>
      </c>
    </row>
    <row r="70" spans="2:31" s="62" customFormat="1" ht="15.75" customHeight="1">
      <c r="B70" s="86"/>
      <c r="C70" s="74"/>
      <c r="D70" s="73"/>
      <c r="E70" s="74" t="s">
        <v>137</v>
      </c>
      <c r="F70" s="87"/>
      <c r="G70" s="88">
        <v>0</v>
      </c>
      <c r="H70" s="89">
        <v>0</v>
      </c>
      <c r="I70" s="88">
        <v>0</v>
      </c>
      <c r="J70" s="92">
        <v>0</v>
      </c>
      <c r="K70" s="90">
        <v>0</v>
      </c>
      <c r="L70" s="88">
        <v>0</v>
      </c>
      <c r="M70" s="89">
        <v>0</v>
      </c>
      <c r="N70" s="88">
        <v>0</v>
      </c>
      <c r="O70" s="92">
        <v>0</v>
      </c>
      <c r="P70" s="90">
        <v>0</v>
      </c>
      <c r="Q70" s="88">
        <v>0</v>
      </c>
      <c r="R70" s="89">
        <v>0</v>
      </c>
      <c r="S70" s="88">
        <v>0</v>
      </c>
      <c r="T70" s="92">
        <v>0</v>
      </c>
      <c r="U70" s="91">
        <v>0</v>
      </c>
      <c r="V70" s="88">
        <v>0</v>
      </c>
      <c r="W70" s="89">
        <v>0</v>
      </c>
      <c r="X70" s="88">
        <v>0</v>
      </c>
      <c r="Y70" s="89">
        <v>0</v>
      </c>
      <c r="Z70" s="90">
        <v>0</v>
      </c>
      <c r="AA70" s="88">
        <v>0</v>
      </c>
      <c r="AB70" s="89">
        <v>0</v>
      </c>
      <c r="AC70" s="88">
        <v>0</v>
      </c>
      <c r="AD70" s="89">
        <v>0</v>
      </c>
      <c r="AE70" s="90">
        <v>0</v>
      </c>
    </row>
    <row r="71" spans="2:31" s="62" customFormat="1" ht="15.75" customHeight="1" thickBot="1">
      <c r="B71" s="99"/>
      <c r="C71" s="100"/>
      <c r="D71" s="100"/>
      <c r="E71" s="100"/>
      <c r="F71" s="101"/>
      <c r="G71" s="102"/>
      <c r="H71" s="103"/>
      <c r="I71" s="102"/>
      <c r="J71" s="104"/>
      <c r="K71" s="105"/>
      <c r="L71" s="102"/>
      <c r="M71" s="103"/>
      <c r="N71" s="102"/>
      <c r="O71" s="104"/>
      <c r="P71" s="105"/>
      <c r="Q71" s="102"/>
      <c r="R71" s="103"/>
      <c r="S71" s="102"/>
      <c r="T71" s="104"/>
      <c r="U71" s="106"/>
      <c r="V71" s="102"/>
      <c r="W71" s="103"/>
      <c r="X71" s="102"/>
      <c r="Y71" s="103"/>
      <c r="Z71" s="105"/>
      <c r="AA71" s="102"/>
      <c r="AB71" s="103"/>
      <c r="AC71" s="102"/>
      <c r="AD71" s="103"/>
      <c r="AE71" s="105"/>
    </row>
    <row r="72" spans="2:31" s="62" customFormat="1" ht="15.75" customHeight="1">
      <c r="B72" s="107"/>
      <c r="C72" s="108" t="s">
        <v>138</v>
      </c>
      <c r="D72" s="108"/>
      <c r="E72" s="109"/>
      <c r="F72" s="110"/>
      <c r="G72" s="111"/>
      <c r="H72" s="112"/>
      <c r="I72" s="111"/>
      <c r="J72" s="113"/>
      <c r="K72" s="114"/>
      <c r="L72" s="111"/>
      <c r="M72" s="112"/>
      <c r="N72" s="111"/>
      <c r="O72" s="113"/>
      <c r="P72" s="114"/>
      <c r="Q72" s="111"/>
      <c r="R72" s="112"/>
      <c r="S72" s="111"/>
      <c r="T72" s="113"/>
      <c r="U72" s="115"/>
      <c r="V72" s="111"/>
      <c r="W72" s="112"/>
      <c r="X72" s="111"/>
      <c r="Y72" s="112"/>
      <c r="Z72" s="114"/>
      <c r="AA72" s="111"/>
      <c r="AB72" s="112"/>
      <c r="AC72" s="111"/>
      <c r="AD72" s="112"/>
      <c r="AE72" s="114"/>
    </row>
    <row r="73" spans="2:31" s="62" customFormat="1" ht="15.75" customHeight="1">
      <c r="B73" s="86"/>
      <c r="C73" s="74"/>
      <c r="D73" s="73" t="s">
        <v>90</v>
      </c>
      <c r="E73" s="74"/>
      <c r="F73" s="93"/>
      <c r="G73" s="94"/>
      <c r="H73" s="95"/>
      <c r="I73" s="94"/>
      <c r="J73" s="96"/>
      <c r="K73" s="97"/>
      <c r="L73" s="94"/>
      <c r="M73" s="95"/>
      <c r="N73" s="94"/>
      <c r="O73" s="96"/>
      <c r="P73" s="97"/>
      <c r="Q73" s="94"/>
      <c r="R73" s="95"/>
      <c r="S73" s="94"/>
      <c r="T73" s="96"/>
      <c r="U73" s="98"/>
      <c r="V73" s="94"/>
      <c r="W73" s="95"/>
      <c r="X73" s="94"/>
      <c r="Y73" s="95"/>
      <c r="Z73" s="97"/>
      <c r="AA73" s="94"/>
      <c r="AB73" s="95"/>
      <c r="AC73" s="94"/>
      <c r="AD73" s="95"/>
      <c r="AE73" s="97"/>
    </row>
    <row r="74" spans="2:31" s="62" customFormat="1" ht="15.75" customHeight="1">
      <c r="B74" s="86"/>
      <c r="C74" s="74"/>
      <c r="D74" s="74"/>
      <c r="E74" s="74" t="s">
        <v>139</v>
      </c>
      <c r="F74" s="87"/>
      <c r="G74" s="88">
        <v>0</v>
      </c>
      <c r="H74" s="89">
        <v>3</v>
      </c>
      <c r="I74" s="88">
        <v>0</v>
      </c>
      <c r="J74" s="92">
        <v>3</v>
      </c>
      <c r="K74" s="90">
        <v>2792</v>
      </c>
      <c r="L74" s="88">
        <v>0</v>
      </c>
      <c r="M74" s="89">
        <v>51</v>
      </c>
      <c r="N74" s="88">
        <v>0</v>
      </c>
      <c r="O74" s="92">
        <v>45</v>
      </c>
      <c r="P74" s="90">
        <v>2786</v>
      </c>
      <c r="Q74" s="88">
        <v>0</v>
      </c>
      <c r="R74" s="89">
        <v>30</v>
      </c>
      <c r="S74" s="88">
        <v>13</v>
      </c>
      <c r="T74" s="92">
        <v>30</v>
      </c>
      <c r="U74" s="91">
        <v>2799</v>
      </c>
      <c r="V74" s="88">
        <v>0</v>
      </c>
      <c r="W74" s="89">
        <v>0</v>
      </c>
      <c r="X74" s="88">
        <v>6</v>
      </c>
      <c r="Y74" s="89">
        <v>0</v>
      </c>
      <c r="Z74" s="90">
        <v>2805</v>
      </c>
      <c r="AA74" s="88">
        <v>0</v>
      </c>
      <c r="AB74" s="89">
        <v>0</v>
      </c>
      <c r="AC74" s="88">
        <v>3</v>
      </c>
      <c r="AD74" s="89">
        <v>0</v>
      </c>
      <c r="AE74" s="90">
        <v>2808</v>
      </c>
    </row>
    <row r="75" spans="2:31" s="62" customFormat="1" ht="15.75" customHeight="1">
      <c r="B75" s="86"/>
      <c r="C75" s="74"/>
      <c r="D75" s="73"/>
      <c r="E75" s="74" t="s">
        <v>140</v>
      </c>
      <c r="F75" s="87"/>
      <c r="G75" s="88">
        <v>0</v>
      </c>
      <c r="H75" s="89">
        <v>0</v>
      </c>
      <c r="I75" s="88">
        <v>0</v>
      </c>
      <c r="J75" s="92">
        <v>0</v>
      </c>
      <c r="K75" s="90">
        <v>101</v>
      </c>
      <c r="L75" s="88">
        <v>0</v>
      </c>
      <c r="M75" s="89">
        <v>0</v>
      </c>
      <c r="N75" s="88">
        <v>0</v>
      </c>
      <c r="O75" s="92">
        <v>0</v>
      </c>
      <c r="P75" s="90">
        <v>101</v>
      </c>
      <c r="Q75" s="88">
        <v>0</v>
      </c>
      <c r="R75" s="89">
        <v>0</v>
      </c>
      <c r="S75" s="88">
        <v>0</v>
      </c>
      <c r="T75" s="92">
        <v>0</v>
      </c>
      <c r="U75" s="91">
        <v>101</v>
      </c>
      <c r="V75" s="88">
        <v>0</v>
      </c>
      <c r="W75" s="89">
        <v>0</v>
      </c>
      <c r="X75" s="88">
        <v>0</v>
      </c>
      <c r="Y75" s="89">
        <v>0</v>
      </c>
      <c r="Z75" s="90">
        <v>101</v>
      </c>
      <c r="AA75" s="88">
        <v>0</v>
      </c>
      <c r="AB75" s="89">
        <v>0</v>
      </c>
      <c r="AC75" s="88">
        <v>0</v>
      </c>
      <c r="AD75" s="89">
        <v>0</v>
      </c>
      <c r="AE75" s="90">
        <v>101</v>
      </c>
    </row>
    <row r="76" spans="2:31" s="62" customFormat="1" ht="15.75" customHeight="1">
      <c r="B76" s="86"/>
      <c r="C76" s="74"/>
      <c r="D76" s="73"/>
      <c r="E76" s="74" t="s">
        <v>141</v>
      </c>
      <c r="F76" s="87"/>
      <c r="G76" s="88">
        <v>0</v>
      </c>
      <c r="H76" s="89">
        <v>0</v>
      </c>
      <c r="I76" s="88">
        <v>0</v>
      </c>
      <c r="J76" s="92">
        <v>0</v>
      </c>
      <c r="K76" s="90">
        <v>0</v>
      </c>
      <c r="L76" s="88">
        <v>0</v>
      </c>
      <c r="M76" s="89">
        <v>0</v>
      </c>
      <c r="N76" s="88">
        <v>0</v>
      </c>
      <c r="O76" s="92">
        <v>0</v>
      </c>
      <c r="P76" s="90">
        <v>0</v>
      </c>
      <c r="Q76" s="88">
        <v>0</v>
      </c>
      <c r="R76" s="89">
        <v>0</v>
      </c>
      <c r="S76" s="88">
        <v>0</v>
      </c>
      <c r="T76" s="92">
        <v>0</v>
      </c>
      <c r="U76" s="91">
        <v>0</v>
      </c>
      <c r="V76" s="88">
        <v>0</v>
      </c>
      <c r="W76" s="89">
        <v>0</v>
      </c>
      <c r="X76" s="88">
        <v>0</v>
      </c>
      <c r="Y76" s="89">
        <v>0</v>
      </c>
      <c r="Z76" s="90">
        <v>0</v>
      </c>
      <c r="AA76" s="88">
        <v>0</v>
      </c>
      <c r="AB76" s="89">
        <v>0</v>
      </c>
      <c r="AC76" s="88">
        <v>0</v>
      </c>
      <c r="AD76" s="89">
        <v>0</v>
      </c>
      <c r="AE76" s="90">
        <v>0</v>
      </c>
    </row>
    <row r="77" spans="2:31" s="62" customFormat="1" ht="15.75" customHeight="1">
      <c r="B77" s="86"/>
      <c r="C77" s="74"/>
      <c r="D77" s="73"/>
      <c r="E77" s="74" t="s">
        <v>142</v>
      </c>
      <c r="F77" s="87"/>
      <c r="G77" s="88">
        <v>0</v>
      </c>
      <c r="H77" s="89">
        <v>0</v>
      </c>
      <c r="I77" s="88">
        <v>0</v>
      </c>
      <c r="J77" s="92">
        <v>0</v>
      </c>
      <c r="K77" s="90">
        <v>0</v>
      </c>
      <c r="L77" s="88">
        <v>0</v>
      </c>
      <c r="M77" s="89">
        <v>0</v>
      </c>
      <c r="N77" s="88">
        <v>0</v>
      </c>
      <c r="O77" s="92">
        <v>0</v>
      </c>
      <c r="P77" s="90">
        <v>0</v>
      </c>
      <c r="Q77" s="88">
        <v>0</v>
      </c>
      <c r="R77" s="89">
        <v>0</v>
      </c>
      <c r="S77" s="88">
        <v>0</v>
      </c>
      <c r="T77" s="92">
        <v>0</v>
      </c>
      <c r="U77" s="91">
        <v>0</v>
      </c>
      <c r="V77" s="88">
        <v>0</v>
      </c>
      <c r="W77" s="89">
        <v>0</v>
      </c>
      <c r="X77" s="88">
        <v>0</v>
      </c>
      <c r="Y77" s="89">
        <v>0</v>
      </c>
      <c r="Z77" s="90">
        <v>0</v>
      </c>
      <c r="AA77" s="88">
        <v>0</v>
      </c>
      <c r="AB77" s="89">
        <v>0</v>
      </c>
      <c r="AC77" s="88">
        <v>0</v>
      </c>
      <c r="AD77" s="89">
        <v>0</v>
      </c>
      <c r="AE77" s="90">
        <v>0</v>
      </c>
    </row>
    <row r="78" spans="2:31" s="62" customFormat="1" ht="15.75" customHeight="1">
      <c r="B78" s="86"/>
      <c r="C78" s="74"/>
      <c r="D78" s="73"/>
      <c r="E78" s="74"/>
      <c r="F78" s="93"/>
      <c r="G78" s="94"/>
      <c r="H78" s="95"/>
      <c r="I78" s="94"/>
      <c r="J78" s="96"/>
      <c r="K78" s="97"/>
      <c r="L78" s="94"/>
      <c r="M78" s="95"/>
      <c r="N78" s="94"/>
      <c r="O78" s="96"/>
      <c r="P78" s="97"/>
      <c r="Q78" s="94"/>
      <c r="R78" s="95"/>
      <c r="S78" s="94"/>
      <c r="T78" s="96"/>
      <c r="U78" s="98"/>
      <c r="V78" s="94"/>
      <c r="W78" s="95"/>
      <c r="X78" s="94"/>
      <c r="Y78" s="95"/>
      <c r="Z78" s="97"/>
      <c r="AA78" s="94"/>
      <c r="AB78" s="95"/>
      <c r="AC78" s="94"/>
      <c r="AD78" s="95"/>
      <c r="AE78" s="97"/>
    </row>
    <row r="79" spans="2:31" s="62" customFormat="1" ht="15.75" customHeight="1">
      <c r="B79" s="86"/>
      <c r="C79" s="74"/>
      <c r="D79" s="73" t="s">
        <v>93</v>
      </c>
      <c r="E79" s="74"/>
      <c r="F79" s="93"/>
      <c r="G79" s="94"/>
      <c r="H79" s="95"/>
      <c r="I79" s="94"/>
      <c r="J79" s="96"/>
      <c r="K79" s="97"/>
      <c r="L79" s="94"/>
      <c r="M79" s="95"/>
      <c r="N79" s="94"/>
      <c r="O79" s="96"/>
      <c r="P79" s="97"/>
      <c r="Q79" s="94"/>
      <c r="R79" s="95"/>
      <c r="S79" s="94"/>
      <c r="T79" s="96"/>
      <c r="U79" s="98"/>
      <c r="V79" s="94"/>
      <c r="W79" s="95"/>
      <c r="X79" s="94"/>
      <c r="Y79" s="95"/>
      <c r="Z79" s="97"/>
      <c r="AA79" s="94"/>
      <c r="AB79" s="95"/>
      <c r="AC79" s="94"/>
      <c r="AD79" s="95"/>
      <c r="AE79" s="97"/>
    </row>
    <row r="80" spans="2:31" s="62" customFormat="1" ht="15.75" customHeight="1">
      <c r="B80" s="86"/>
      <c r="C80" s="74"/>
      <c r="D80" s="74"/>
      <c r="E80" s="74" t="s">
        <v>143</v>
      </c>
      <c r="F80" s="87"/>
      <c r="G80" s="88">
        <v>0</v>
      </c>
      <c r="H80" s="89">
        <v>228</v>
      </c>
      <c r="I80" s="88">
        <v>0</v>
      </c>
      <c r="J80" s="92">
        <v>220</v>
      </c>
      <c r="K80" s="90">
        <v>29214</v>
      </c>
      <c r="L80" s="88">
        <v>0</v>
      </c>
      <c r="M80" s="89">
        <v>339</v>
      </c>
      <c r="N80" s="88">
        <v>0</v>
      </c>
      <c r="O80" s="92">
        <v>281</v>
      </c>
      <c r="P80" s="90">
        <v>29156</v>
      </c>
      <c r="Q80" s="88">
        <v>0</v>
      </c>
      <c r="R80" s="89">
        <v>196</v>
      </c>
      <c r="S80" s="88">
        <v>130</v>
      </c>
      <c r="T80" s="92">
        <v>196</v>
      </c>
      <c r="U80" s="91">
        <v>29286</v>
      </c>
      <c r="V80" s="88">
        <v>0</v>
      </c>
      <c r="W80" s="89">
        <v>200</v>
      </c>
      <c r="X80" s="88">
        <v>48</v>
      </c>
      <c r="Y80" s="89">
        <v>200</v>
      </c>
      <c r="Z80" s="90">
        <v>29334</v>
      </c>
      <c r="AA80" s="88">
        <v>0</v>
      </c>
      <c r="AB80" s="89">
        <v>160</v>
      </c>
      <c r="AC80" s="88">
        <v>24</v>
      </c>
      <c r="AD80" s="89">
        <v>160</v>
      </c>
      <c r="AE80" s="90">
        <v>29358</v>
      </c>
    </row>
    <row r="81" spans="2:31" s="62" customFormat="1" ht="15.75" customHeight="1">
      <c r="B81" s="86"/>
      <c r="C81" s="74"/>
      <c r="D81" s="74"/>
      <c r="E81" s="74" t="s">
        <v>144</v>
      </c>
      <c r="F81" s="87"/>
      <c r="G81" s="88">
        <v>0</v>
      </c>
      <c r="H81" s="89">
        <v>0</v>
      </c>
      <c r="I81" s="88">
        <v>0</v>
      </c>
      <c r="J81" s="92">
        <v>0</v>
      </c>
      <c r="K81" s="90">
        <v>431</v>
      </c>
      <c r="L81" s="88">
        <v>0</v>
      </c>
      <c r="M81" s="89">
        <v>0</v>
      </c>
      <c r="N81" s="88">
        <v>0</v>
      </c>
      <c r="O81" s="92">
        <v>0</v>
      </c>
      <c r="P81" s="90">
        <v>431</v>
      </c>
      <c r="Q81" s="88">
        <v>0</v>
      </c>
      <c r="R81" s="89">
        <v>0</v>
      </c>
      <c r="S81" s="88">
        <v>0</v>
      </c>
      <c r="T81" s="92">
        <v>0</v>
      </c>
      <c r="U81" s="91">
        <v>431</v>
      </c>
      <c r="V81" s="88">
        <v>0</v>
      </c>
      <c r="W81" s="89">
        <v>0</v>
      </c>
      <c r="X81" s="88">
        <v>0</v>
      </c>
      <c r="Y81" s="89">
        <v>0</v>
      </c>
      <c r="Z81" s="90">
        <v>431</v>
      </c>
      <c r="AA81" s="88">
        <v>0</v>
      </c>
      <c r="AB81" s="89">
        <v>0</v>
      </c>
      <c r="AC81" s="88">
        <v>0</v>
      </c>
      <c r="AD81" s="89">
        <v>0</v>
      </c>
      <c r="AE81" s="90">
        <v>431</v>
      </c>
    </row>
    <row r="82" spans="2:31" s="62" customFormat="1" ht="15.75" customHeight="1">
      <c r="B82" s="86"/>
      <c r="C82" s="74"/>
      <c r="D82" s="73"/>
      <c r="E82" s="74" t="s">
        <v>145</v>
      </c>
      <c r="F82" s="87"/>
      <c r="G82" s="88">
        <v>0</v>
      </c>
      <c r="H82" s="89">
        <v>0</v>
      </c>
      <c r="I82" s="88">
        <v>0</v>
      </c>
      <c r="J82" s="92">
        <v>0</v>
      </c>
      <c r="K82" s="90">
        <v>0</v>
      </c>
      <c r="L82" s="88">
        <v>0</v>
      </c>
      <c r="M82" s="89">
        <v>0</v>
      </c>
      <c r="N82" s="88">
        <v>0</v>
      </c>
      <c r="O82" s="92">
        <v>0</v>
      </c>
      <c r="P82" s="90">
        <v>0</v>
      </c>
      <c r="Q82" s="88">
        <v>0</v>
      </c>
      <c r="R82" s="89">
        <v>0</v>
      </c>
      <c r="S82" s="88">
        <v>0</v>
      </c>
      <c r="T82" s="92">
        <v>0</v>
      </c>
      <c r="U82" s="91">
        <v>0</v>
      </c>
      <c r="V82" s="88">
        <v>0</v>
      </c>
      <c r="W82" s="89">
        <v>0</v>
      </c>
      <c r="X82" s="88">
        <v>0</v>
      </c>
      <c r="Y82" s="89">
        <v>0</v>
      </c>
      <c r="Z82" s="90">
        <v>0</v>
      </c>
      <c r="AA82" s="88">
        <v>0</v>
      </c>
      <c r="AB82" s="89">
        <v>0</v>
      </c>
      <c r="AC82" s="88">
        <v>0</v>
      </c>
      <c r="AD82" s="89">
        <v>0</v>
      </c>
      <c r="AE82" s="90">
        <v>0</v>
      </c>
    </row>
    <row r="83" spans="2:31" s="62" customFormat="1" ht="15.75" customHeight="1">
      <c r="B83" s="86"/>
      <c r="C83" s="74"/>
      <c r="D83" s="73"/>
      <c r="E83" s="74" t="s">
        <v>146</v>
      </c>
      <c r="F83" s="87"/>
      <c r="G83" s="88">
        <v>0</v>
      </c>
      <c r="H83" s="89">
        <v>0</v>
      </c>
      <c r="I83" s="88">
        <v>0</v>
      </c>
      <c r="J83" s="92">
        <v>0</v>
      </c>
      <c r="K83" s="90">
        <v>0</v>
      </c>
      <c r="L83" s="88">
        <v>0</v>
      </c>
      <c r="M83" s="89">
        <v>0</v>
      </c>
      <c r="N83" s="88">
        <v>0</v>
      </c>
      <c r="O83" s="92">
        <v>0</v>
      </c>
      <c r="P83" s="90">
        <v>0</v>
      </c>
      <c r="Q83" s="88">
        <v>0</v>
      </c>
      <c r="R83" s="89">
        <v>0</v>
      </c>
      <c r="S83" s="88">
        <v>0</v>
      </c>
      <c r="T83" s="92">
        <v>0</v>
      </c>
      <c r="U83" s="91">
        <v>0</v>
      </c>
      <c r="V83" s="88">
        <v>0</v>
      </c>
      <c r="W83" s="89">
        <v>0</v>
      </c>
      <c r="X83" s="88">
        <v>0</v>
      </c>
      <c r="Y83" s="89">
        <v>0</v>
      </c>
      <c r="Z83" s="90">
        <v>0</v>
      </c>
      <c r="AA83" s="88">
        <v>0</v>
      </c>
      <c r="AB83" s="89">
        <v>0</v>
      </c>
      <c r="AC83" s="88">
        <v>0</v>
      </c>
      <c r="AD83" s="89">
        <v>0</v>
      </c>
      <c r="AE83" s="90">
        <v>0</v>
      </c>
    </row>
    <row r="84" spans="2:31" s="62" customFormat="1" ht="15.75" customHeight="1">
      <c r="B84" s="86"/>
      <c r="C84" s="74"/>
      <c r="D84" s="74"/>
      <c r="E84" s="74"/>
      <c r="F84" s="93"/>
      <c r="G84" s="94"/>
      <c r="H84" s="95"/>
      <c r="I84" s="94"/>
      <c r="J84" s="96"/>
      <c r="K84" s="97"/>
      <c r="L84" s="94"/>
      <c r="M84" s="95"/>
      <c r="N84" s="94"/>
      <c r="O84" s="96"/>
      <c r="P84" s="97"/>
      <c r="Q84" s="94"/>
      <c r="R84" s="95"/>
      <c r="S84" s="94"/>
      <c r="T84" s="96"/>
      <c r="U84" s="98"/>
      <c r="V84" s="94"/>
      <c r="W84" s="95"/>
      <c r="X84" s="94"/>
      <c r="Y84" s="95"/>
      <c r="Z84" s="97"/>
      <c r="AA84" s="94"/>
      <c r="AB84" s="95"/>
      <c r="AC84" s="94"/>
      <c r="AD84" s="95"/>
      <c r="AE84" s="97"/>
    </row>
    <row r="85" spans="2:31" s="62" customFormat="1" ht="15.75" customHeight="1">
      <c r="B85" s="72"/>
      <c r="C85" s="74"/>
      <c r="D85" s="73" t="s">
        <v>114</v>
      </c>
      <c r="E85" s="74"/>
      <c r="F85" s="93"/>
      <c r="G85" s="94"/>
      <c r="H85" s="95"/>
      <c r="I85" s="94"/>
      <c r="J85" s="96"/>
      <c r="K85" s="97"/>
      <c r="L85" s="94"/>
      <c r="M85" s="95"/>
      <c r="N85" s="94"/>
      <c r="O85" s="96"/>
      <c r="P85" s="97"/>
      <c r="Q85" s="94"/>
      <c r="R85" s="95"/>
      <c r="S85" s="94"/>
      <c r="T85" s="96"/>
      <c r="U85" s="98"/>
      <c r="V85" s="94"/>
      <c r="W85" s="95"/>
      <c r="X85" s="94"/>
      <c r="Y85" s="95"/>
      <c r="Z85" s="97"/>
      <c r="AA85" s="94"/>
      <c r="AB85" s="95"/>
      <c r="AC85" s="94"/>
      <c r="AD85" s="95"/>
      <c r="AE85" s="97"/>
    </row>
    <row r="86" spans="2:31" s="62" customFormat="1" ht="15.75" customHeight="1">
      <c r="B86" s="72"/>
      <c r="C86" s="74"/>
      <c r="D86" s="73"/>
      <c r="E86" s="74" t="s">
        <v>147</v>
      </c>
      <c r="F86" s="87"/>
      <c r="G86" s="88">
        <v>0</v>
      </c>
      <c r="H86" s="89">
        <v>1</v>
      </c>
      <c r="I86" s="88">
        <v>14</v>
      </c>
      <c r="J86" s="92">
        <v>1</v>
      </c>
      <c r="K86" s="90">
        <v>720.17</v>
      </c>
      <c r="L86" s="88">
        <v>0</v>
      </c>
      <c r="M86" s="89">
        <v>0.3</v>
      </c>
      <c r="N86" s="88">
        <v>12.2</v>
      </c>
      <c r="O86" s="92">
        <v>1.2</v>
      </c>
      <c r="P86" s="90">
        <v>733.27</v>
      </c>
      <c r="Q86" s="88">
        <v>0</v>
      </c>
      <c r="R86" s="89">
        <v>0.5</v>
      </c>
      <c r="S86" s="88">
        <v>5.9</v>
      </c>
      <c r="T86" s="92">
        <v>0.5</v>
      </c>
      <c r="U86" s="91">
        <v>739.17</v>
      </c>
      <c r="V86" s="88">
        <v>0</v>
      </c>
      <c r="W86" s="89">
        <v>0</v>
      </c>
      <c r="X86" s="88">
        <v>8</v>
      </c>
      <c r="Y86" s="89">
        <v>4</v>
      </c>
      <c r="Z86" s="90">
        <v>751.17</v>
      </c>
      <c r="AA86" s="88">
        <v>0</v>
      </c>
      <c r="AB86" s="89">
        <v>0</v>
      </c>
      <c r="AC86" s="88">
        <v>12</v>
      </c>
      <c r="AD86" s="89">
        <v>4</v>
      </c>
      <c r="AE86" s="90">
        <v>767.17</v>
      </c>
    </row>
    <row r="87" spans="2:31" s="62" customFormat="1" ht="15.75" customHeight="1">
      <c r="B87" s="72"/>
      <c r="C87" s="74"/>
      <c r="D87" s="73"/>
      <c r="E87" s="74" t="s">
        <v>148</v>
      </c>
      <c r="F87" s="87"/>
      <c r="G87" s="88">
        <v>0</v>
      </c>
      <c r="H87" s="89">
        <v>0</v>
      </c>
      <c r="I87" s="88">
        <v>0</v>
      </c>
      <c r="J87" s="92">
        <v>0</v>
      </c>
      <c r="K87" s="90">
        <v>71.135000000000005</v>
      </c>
      <c r="L87" s="88">
        <v>0</v>
      </c>
      <c r="M87" s="89">
        <v>0</v>
      </c>
      <c r="N87" s="88">
        <v>0</v>
      </c>
      <c r="O87" s="92">
        <v>0</v>
      </c>
      <c r="P87" s="90">
        <v>71.135000000000005</v>
      </c>
      <c r="Q87" s="88">
        <v>0</v>
      </c>
      <c r="R87" s="89">
        <v>0</v>
      </c>
      <c r="S87" s="88">
        <v>0</v>
      </c>
      <c r="T87" s="92">
        <v>0</v>
      </c>
      <c r="U87" s="91">
        <v>71.135000000000005</v>
      </c>
      <c r="V87" s="88">
        <v>0</v>
      </c>
      <c r="W87" s="89">
        <v>4</v>
      </c>
      <c r="X87" s="88">
        <v>0</v>
      </c>
      <c r="Y87" s="89">
        <v>0</v>
      </c>
      <c r="Z87" s="90">
        <v>67.135000000000005</v>
      </c>
      <c r="AA87" s="88">
        <v>0</v>
      </c>
      <c r="AB87" s="89">
        <v>4</v>
      </c>
      <c r="AC87" s="88">
        <v>0</v>
      </c>
      <c r="AD87" s="89">
        <v>0</v>
      </c>
      <c r="AE87" s="90">
        <v>63.134999999999998</v>
      </c>
    </row>
    <row r="88" spans="2:31" s="62" customFormat="1" ht="15.75" customHeight="1">
      <c r="B88" s="72"/>
      <c r="C88" s="74"/>
      <c r="D88" s="73"/>
      <c r="E88" s="74" t="s">
        <v>149</v>
      </c>
      <c r="F88" s="87"/>
      <c r="G88" s="88">
        <v>0</v>
      </c>
      <c r="H88" s="89">
        <v>0</v>
      </c>
      <c r="I88" s="88">
        <v>0</v>
      </c>
      <c r="J88" s="92">
        <v>0</v>
      </c>
      <c r="K88" s="90">
        <v>34</v>
      </c>
      <c r="L88" s="88">
        <v>0</v>
      </c>
      <c r="M88" s="89">
        <v>0</v>
      </c>
      <c r="N88" s="88">
        <v>0</v>
      </c>
      <c r="O88" s="92">
        <v>0</v>
      </c>
      <c r="P88" s="90">
        <v>34</v>
      </c>
      <c r="Q88" s="88">
        <v>0</v>
      </c>
      <c r="R88" s="89">
        <v>0</v>
      </c>
      <c r="S88" s="88">
        <v>0</v>
      </c>
      <c r="T88" s="92">
        <v>0</v>
      </c>
      <c r="U88" s="91">
        <v>34</v>
      </c>
      <c r="V88" s="88">
        <v>0</v>
      </c>
      <c r="W88" s="89">
        <v>0</v>
      </c>
      <c r="X88" s="88">
        <v>0</v>
      </c>
      <c r="Y88" s="89">
        <v>0</v>
      </c>
      <c r="Z88" s="90">
        <v>34</v>
      </c>
      <c r="AA88" s="88">
        <v>0</v>
      </c>
      <c r="AB88" s="89">
        <v>0</v>
      </c>
      <c r="AC88" s="88">
        <v>0</v>
      </c>
      <c r="AD88" s="89">
        <v>0</v>
      </c>
      <c r="AE88" s="90">
        <v>34</v>
      </c>
    </row>
    <row r="89" spans="2:31" s="62" customFormat="1" ht="15.75" customHeight="1">
      <c r="B89" s="72"/>
      <c r="C89" s="74"/>
      <c r="D89" s="73"/>
      <c r="E89" s="74" t="s">
        <v>150</v>
      </c>
      <c r="F89" s="87"/>
      <c r="G89" s="88">
        <v>0</v>
      </c>
      <c r="H89" s="89">
        <v>0</v>
      </c>
      <c r="I89" s="88">
        <v>0</v>
      </c>
      <c r="J89" s="92">
        <v>0</v>
      </c>
      <c r="K89" s="90">
        <v>0</v>
      </c>
      <c r="L89" s="88">
        <v>0</v>
      </c>
      <c r="M89" s="89">
        <v>0</v>
      </c>
      <c r="N89" s="88">
        <v>0</v>
      </c>
      <c r="O89" s="92">
        <v>0</v>
      </c>
      <c r="P89" s="90">
        <v>0</v>
      </c>
      <c r="Q89" s="88">
        <v>0</v>
      </c>
      <c r="R89" s="89">
        <v>0</v>
      </c>
      <c r="S89" s="88">
        <v>0</v>
      </c>
      <c r="T89" s="92">
        <v>0</v>
      </c>
      <c r="U89" s="91">
        <v>0</v>
      </c>
      <c r="V89" s="88">
        <v>0</v>
      </c>
      <c r="W89" s="89">
        <v>0</v>
      </c>
      <c r="X89" s="88">
        <v>0</v>
      </c>
      <c r="Y89" s="89">
        <v>0</v>
      </c>
      <c r="Z89" s="90">
        <v>0</v>
      </c>
      <c r="AA89" s="88">
        <v>0</v>
      </c>
      <c r="AB89" s="89">
        <v>0</v>
      </c>
      <c r="AC89" s="88">
        <v>0</v>
      </c>
      <c r="AD89" s="89">
        <v>0</v>
      </c>
      <c r="AE89" s="90">
        <v>0</v>
      </c>
    </row>
    <row r="90" spans="2:31" s="62" customFormat="1" ht="15.75" customHeight="1">
      <c r="B90" s="72"/>
      <c r="C90" s="74"/>
      <c r="D90" s="73"/>
      <c r="E90" s="74" t="s">
        <v>151</v>
      </c>
      <c r="F90" s="87"/>
      <c r="G90" s="88">
        <v>0</v>
      </c>
      <c r="H90" s="89">
        <v>0</v>
      </c>
      <c r="I90" s="88">
        <v>0</v>
      </c>
      <c r="J90" s="92">
        <v>0</v>
      </c>
      <c r="K90" s="90">
        <v>0</v>
      </c>
      <c r="L90" s="88">
        <v>0</v>
      </c>
      <c r="M90" s="89">
        <v>0</v>
      </c>
      <c r="N90" s="88">
        <v>0</v>
      </c>
      <c r="O90" s="92">
        <v>0</v>
      </c>
      <c r="P90" s="90">
        <v>0</v>
      </c>
      <c r="Q90" s="88">
        <v>0</v>
      </c>
      <c r="R90" s="89">
        <v>0</v>
      </c>
      <c r="S90" s="88">
        <v>0</v>
      </c>
      <c r="T90" s="92">
        <v>0</v>
      </c>
      <c r="U90" s="91">
        <v>0</v>
      </c>
      <c r="V90" s="88">
        <v>0</v>
      </c>
      <c r="W90" s="89">
        <v>0</v>
      </c>
      <c r="X90" s="88">
        <v>0</v>
      </c>
      <c r="Y90" s="89">
        <v>0</v>
      </c>
      <c r="Z90" s="90">
        <v>0</v>
      </c>
      <c r="AA90" s="88">
        <v>0</v>
      </c>
      <c r="AB90" s="89">
        <v>0</v>
      </c>
      <c r="AC90" s="88">
        <v>0</v>
      </c>
      <c r="AD90" s="89">
        <v>0</v>
      </c>
      <c r="AE90" s="90">
        <v>0</v>
      </c>
    </row>
    <row r="91" spans="2:31" s="62" customFormat="1" ht="15.75" customHeight="1">
      <c r="B91" s="72"/>
      <c r="C91" s="74"/>
      <c r="D91" s="73"/>
      <c r="E91" s="74" t="s">
        <v>152</v>
      </c>
      <c r="F91" s="87"/>
      <c r="G91" s="88">
        <v>0</v>
      </c>
      <c r="H91" s="89">
        <v>0</v>
      </c>
      <c r="I91" s="88">
        <v>0</v>
      </c>
      <c r="J91" s="92">
        <v>0</v>
      </c>
      <c r="K91" s="90">
        <v>0</v>
      </c>
      <c r="L91" s="88">
        <v>0</v>
      </c>
      <c r="M91" s="89">
        <v>0</v>
      </c>
      <c r="N91" s="88">
        <v>0</v>
      </c>
      <c r="O91" s="92">
        <v>0</v>
      </c>
      <c r="P91" s="90">
        <v>0</v>
      </c>
      <c r="Q91" s="88">
        <v>0</v>
      </c>
      <c r="R91" s="89">
        <v>0</v>
      </c>
      <c r="S91" s="88">
        <v>0</v>
      </c>
      <c r="T91" s="92">
        <v>0</v>
      </c>
      <c r="U91" s="91">
        <v>0</v>
      </c>
      <c r="V91" s="88">
        <v>0</v>
      </c>
      <c r="W91" s="89">
        <v>0</v>
      </c>
      <c r="X91" s="88">
        <v>0</v>
      </c>
      <c r="Y91" s="89">
        <v>0</v>
      </c>
      <c r="Z91" s="90">
        <v>0</v>
      </c>
      <c r="AA91" s="88">
        <v>0</v>
      </c>
      <c r="AB91" s="89">
        <v>0</v>
      </c>
      <c r="AC91" s="88">
        <v>0</v>
      </c>
      <c r="AD91" s="89">
        <v>0</v>
      </c>
      <c r="AE91" s="90">
        <v>0</v>
      </c>
    </row>
    <row r="92" spans="2:31" s="62" customFormat="1" ht="15.75" customHeight="1">
      <c r="B92" s="72"/>
      <c r="C92" s="74"/>
      <c r="D92" s="74"/>
      <c r="E92" s="74"/>
      <c r="F92" s="93"/>
      <c r="G92" s="94"/>
      <c r="H92" s="95"/>
      <c r="I92" s="94"/>
      <c r="J92" s="96"/>
      <c r="K92" s="97"/>
      <c r="L92" s="94"/>
      <c r="M92" s="95"/>
      <c r="N92" s="94"/>
      <c r="O92" s="96"/>
      <c r="P92" s="97"/>
      <c r="Q92" s="94"/>
      <c r="R92" s="95"/>
      <c r="S92" s="94"/>
      <c r="T92" s="96"/>
      <c r="U92" s="98"/>
      <c r="V92" s="94"/>
      <c r="W92" s="95"/>
      <c r="X92" s="94"/>
      <c r="Y92" s="95"/>
      <c r="Z92" s="97"/>
      <c r="AA92" s="94"/>
      <c r="AB92" s="95"/>
      <c r="AC92" s="94"/>
      <c r="AD92" s="95"/>
      <c r="AE92" s="97"/>
    </row>
    <row r="93" spans="2:31" s="62" customFormat="1" ht="15.75" customHeight="1">
      <c r="B93" s="72"/>
      <c r="C93" s="74"/>
      <c r="D93" s="73" t="s">
        <v>117</v>
      </c>
      <c r="E93" s="74"/>
      <c r="F93" s="93"/>
      <c r="G93" s="94"/>
      <c r="H93" s="95"/>
      <c r="I93" s="94"/>
      <c r="J93" s="96"/>
      <c r="K93" s="97"/>
      <c r="L93" s="94"/>
      <c r="M93" s="95"/>
      <c r="N93" s="94"/>
      <c r="O93" s="96"/>
      <c r="P93" s="97"/>
      <c r="Q93" s="94"/>
      <c r="R93" s="95"/>
      <c r="S93" s="94"/>
      <c r="T93" s="96"/>
      <c r="U93" s="98"/>
      <c r="V93" s="94"/>
      <c r="W93" s="95"/>
      <c r="X93" s="94"/>
      <c r="Y93" s="95"/>
      <c r="Z93" s="97"/>
      <c r="AA93" s="94"/>
      <c r="AB93" s="95"/>
      <c r="AC93" s="94"/>
      <c r="AD93" s="95"/>
      <c r="AE93" s="97"/>
    </row>
    <row r="94" spans="2:31" s="62" customFormat="1" ht="15.75" customHeight="1">
      <c r="B94" s="72"/>
      <c r="C94" s="74"/>
      <c r="D94" s="74"/>
      <c r="E94" s="74" t="s">
        <v>153</v>
      </c>
      <c r="F94" s="87"/>
      <c r="G94" s="88">
        <v>0</v>
      </c>
      <c r="H94" s="89">
        <v>0</v>
      </c>
      <c r="I94" s="88">
        <v>0</v>
      </c>
      <c r="J94" s="92">
        <v>0</v>
      </c>
      <c r="K94" s="90">
        <v>66</v>
      </c>
      <c r="L94" s="88">
        <v>0</v>
      </c>
      <c r="M94" s="89">
        <v>0</v>
      </c>
      <c r="N94" s="88">
        <v>0</v>
      </c>
      <c r="O94" s="92">
        <v>0</v>
      </c>
      <c r="P94" s="90">
        <v>66</v>
      </c>
      <c r="Q94" s="88">
        <v>0</v>
      </c>
      <c r="R94" s="89">
        <v>0</v>
      </c>
      <c r="S94" s="88">
        <v>0</v>
      </c>
      <c r="T94" s="92">
        <v>0</v>
      </c>
      <c r="U94" s="91">
        <v>66</v>
      </c>
      <c r="V94" s="88">
        <v>0</v>
      </c>
      <c r="W94" s="89">
        <v>0</v>
      </c>
      <c r="X94" s="88">
        <v>0</v>
      </c>
      <c r="Y94" s="89">
        <v>0</v>
      </c>
      <c r="Z94" s="90">
        <v>66</v>
      </c>
      <c r="AA94" s="88">
        <v>0</v>
      </c>
      <c r="AB94" s="89">
        <v>0</v>
      </c>
      <c r="AC94" s="88">
        <v>0</v>
      </c>
      <c r="AD94" s="89">
        <v>0</v>
      </c>
      <c r="AE94" s="90">
        <v>66</v>
      </c>
    </row>
    <row r="95" spans="2:31" s="62" customFormat="1" ht="15.75" customHeight="1">
      <c r="B95" s="72"/>
      <c r="C95" s="74"/>
      <c r="D95" s="73"/>
      <c r="E95" s="74"/>
      <c r="F95" s="93"/>
      <c r="G95" s="94"/>
      <c r="H95" s="95"/>
      <c r="I95" s="94"/>
      <c r="J95" s="96"/>
      <c r="K95" s="97"/>
      <c r="L95" s="94"/>
      <c r="M95" s="95"/>
      <c r="N95" s="94"/>
      <c r="O95" s="96"/>
      <c r="P95" s="97"/>
      <c r="Q95" s="94"/>
      <c r="R95" s="95"/>
      <c r="S95" s="94"/>
      <c r="T95" s="96"/>
      <c r="U95" s="98"/>
      <c r="V95" s="94"/>
      <c r="W95" s="95"/>
      <c r="X95" s="94"/>
      <c r="Y95" s="95"/>
      <c r="Z95" s="97"/>
      <c r="AA95" s="94"/>
      <c r="AB95" s="95"/>
      <c r="AC95" s="94"/>
      <c r="AD95" s="95"/>
      <c r="AE95" s="97"/>
    </row>
    <row r="96" spans="2:31" s="62" customFormat="1" ht="15.75" customHeight="1">
      <c r="B96" s="72"/>
      <c r="C96" s="74"/>
      <c r="D96" s="73" t="s">
        <v>100</v>
      </c>
      <c r="E96" s="74"/>
      <c r="F96" s="93"/>
      <c r="G96" s="94"/>
      <c r="H96" s="95"/>
      <c r="I96" s="94"/>
      <c r="J96" s="96"/>
      <c r="K96" s="97"/>
      <c r="L96" s="94"/>
      <c r="M96" s="95"/>
      <c r="N96" s="94"/>
      <c r="O96" s="96"/>
      <c r="P96" s="97"/>
      <c r="Q96" s="94"/>
      <c r="R96" s="95"/>
      <c r="S96" s="94"/>
      <c r="T96" s="96"/>
      <c r="U96" s="98"/>
      <c r="V96" s="94"/>
      <c r="W96" s="95"/>
      <c r="X96" s="94"/>
      <c r="Y96" s="95"/>
      <c r="Z96" s="97"/>
      <c r="AA96" s="94"/>
      <c r="AB96" s="95"/>
      <c r="AC96" s="94"/>
      <c r="AD96" s="95"/>
      <c r="AE96" s="97"/>
    </row>
    <row r="97" spans="2:31" s="62" customFormat="1" ht="15.75" customHeight="1">
      <c r="B97" s="72"/>
      <c r="C97" s="74"/>
      <c r="D97" s="73"/>
      <c r="E97" s="109" t="s">
        <v>154</v>
      </c>
      <c r="F97" s="87"/>
      <c r="G97" s="88">
        <v>0</v>
      </c>
      <c r="H97" s="89">
        <v>0</v>
      </c>
      <c r="I97" s="88">
        <v>4</v>
      </c>
      <c r="J97" s="92">
        <v>0</v>
      </c>
      <c r="K97" s="90">
        <v>275</v>
      </c>
      <c r="L97" s="88">
        <v>0</v>
      </c>
      <c r="M97" s="89">
        <v>0</v>
      </c>
      <c r="N97" s="88">
        <v>11</v>
      </c>
      <c r="O97" s="92">
        <v>0</v>
      </c>
      <c r="P97" s="90">
        <v>286</v>
      </c>
      <c r="Q97" s="88">
        <v>0</v>
      </c>
      <c r="R97" s="89">
        <v>0</v>
      </c>
      <c r="S97" s="88">
        <v>0</v>
      </c>
      <c r="T97" s="92">
        <v>0</v>
      </c>
      <c r="U97" s="91">
        <v>286</v>
      </c>
      <c r="V97" s="88">
        <v>0</v>
      </c>
      <c r="W97" s="89">
        <v>19</v>
      </c>
      <c r="X97" s="88">
        <v>4</v>
      </c>
      <c r="Y97" s="89">
        <v>19</v>
      </c>
      <c r="Z97" s="90">
        <v>290</v>
      </c>
      <c r="AA97" s="88">
        <v>0</v>
      </c>
      <c r="AB97" s="89">
        <v>19</v>
      </c>
      <c r="AC97" s="88">
        <v>6</v>
      </c>
      <c r="AD97" s="89">
        <v>19</v>
      </c>
      <c r="AE97" s="90">
        <v>296</v>
      </c>
    </row>
    <row r="98" spans="2:31" s="62" customFormat="1" ht="15.75" customHeight="1">
      <c r="B98" s="72"/>
      <c r="C98" s="74"/>
      <c r="D98" s="73"/>
      <c r="E98" s="109" t="s">
        <v>155</v>
      </c>
      <c r="F98" s="87"/>
      <c r="G98" s="88">
        <v>7</v>
      </c>
      <c r="H98" s="89">
        <v>20</v>
      </c>
      <c r="I98" s="88">
        <v>2</v>
      </c>
      <c r="J98" s="92">
        <v>20</v>
      </c>
      <c r="K98" s="90">
        <v>661</v>
      </c>
      <c r="L98" s="88">
        <v>0</v>
      </c>
      <c r="M98" s="89">
        <v>7</v>
      </c>
      <c r="N98" s="88">
        <v>2</v>
      </c>
      <c r="O98" s="92">
        <v>15</v>
      </c>
      <c r="P98" s="90">
        <v>671</v>
      </c>
      <c r="Q98" s="88">
        <v>0</v>
      </c>
      <c r="R98" s="89">
        <v>7</v>
      </c>
      <c r="S98" s="88">
        <v>0</v>
      </c>
      <c r="T98" s="92">
        <v>7</v>
      </c>
      <c r="U98" s="91">
        <v>671</v>
      </c>
      <c r="V98" s="88">
        <v>0</v>
      </c>
      <c r="W98" s="89">
        <v>15</v>
      </c>
      <c r="X98" s="88">
        <v>2</v>
      </c>
      <c r="Y98" s="89">
        <v>15</v>
      </c>
      <c r="Z98" s="90">
        <v>673</v>
      </c>
      <c r="AA98" s="88">
        <v>0</v>
      </c>
      <c r="AB98" s="89">
        <v>15</v>
      </c>
      <c r="AC98" s="88">
        <v>2</v>
      </c>
      <c r="AD98" s="89">
        <v>15</v>
      </c>
      <c r="AE98" s="90">
        <v>675</v>
      </c>
    </row>
    <row r="99" spans="2:31" s="62" customFormat="1" ht="15.75" customHeight="1">
      <c r="B99" s="72"/>
      <c r="C99" s="74"/>
      <c r="D99" s="73"/>
      <c r="E99" s="109" t="s">
        <v>156</v>
      </c>
      <c r="F99" s="87"/>
      <c r="G99" s="88">
        <v>0</v>
      </c>
      <c r="H99" s="89">
        <v>0</v>
      </c>
      <c r="I99" s="88">
        <v>0</v>
      </c>
      <c r="J99" s="92">
        <v>2</v>
      </c>
      <c r="K99" s="90">
        <v>13</v>
      </c>
      <c r="L99" s="88">
        <v>0</v>
      </c>
      <c r="M99" s="89">
        <v>0</v>
      </c>
      <c r="N99" s="88">
        <v>0</v>
      </c>
      <c r="O99" s="92">
        <v>0</v>
      </c>
      <c r="P99" s="90">
        <v>13</v>
      </c>
      <c r="Q99" s="88">
        <v>0</v>
      </c>
      <c r="R99" s="89">
        <v>0</v>
      </c>
      <c r="S99" s="88">
        <v>0</v>
      </c>
      <c r="T99" s="92">
        <v>1</v>
      </c>
      <c r="U99" s="91">
        <v>14</v>
      </c>
      <c r="V99" s="88">
        <v>0</v>
      </c>
      <c r="W99" s="89">
        <v>0</v>
      </c>
      <c r="X99" s="88">
        <v>0</v>
      </c>
      <c r="Y99" s="89">
        <v>0</v>
      </c>
      <c r="Z99" s="90">
        <v>14</v>
      </c>
      <c r="AA99" s="88">
        <v>0</v>
      </c>
      <c r="AB99" s="89">
        <v>0</v>
      </c>
      <c r="AC99" s="88">
        <v>0</v>
      </c>
      <c r="AD99" s="89">
        <v>0</v>
      </c>
      <c r="AE99" s="90">
        <v>14</v>
      </c>
    </row>
    <row r="100" spans="2:31" s="62" customFormat="1" ht="15.75" customHeight="1">
      <c r="B100" s="72"/>
      <c r="C100" s="74"/>
      <c r="D100" s="73"/>
      <c r="E100" s="109" t="s">
        <v>157</v>
      </c>
      <c r="F100" s="87"/>
      <c r="G100" s="88">
        <v>0</v>
      </c>
      <c r="H100" s="89">
        <v>0</v>
      </c>
      <c r="I100" s="88">
        <v>0</v>
      </c>
      <c r="J100" s="92">
        <v>0</v>
      </c>
      <c r="K100" s="90">
        <v>0</v>
      </c>
      <c r="L100" s="88">
        <v>0</v>
      </c>
      <c r="M100" s="89">
        <v>0</v>
      </c>
      <c r="N100" s="88">
        <v>0</v>
      </c>
      <c r="O100" s="92">
        <v>0</v>
      </c>
      <c r="P100" s="90">
        <v>0</v>
      </c>
      <c r="Q100" s="88">
        <v>0</v>
      </c>
      <c r="R100" s="89">
        <v>0</v>
      </c>
      <c r="S100" s="88">
        <v>0</v>
      </c>
      <c r="T100" s="92">
        <v>0</v>
      </c>
      <c r="U100" s="91">
        <v>0</v>
      </c>
      <c r="V100" s="88">
        <v>0</v>
      </c>
      <c r="W100" s="89">
        <v>0</v>
      </c>
      <c r="X100" s="88">
        <v>0</v>
      </c>
      <c r="Y100" s="89">
        <v>0</v>
      </c>
      <c r="Z100" s="90">
        <v>0</v>
      </c>
      <c r="AA100" s="88">
        <v>0</v>
      </c>
      <c r="AB100" s="89">
        <v>0</v>
      </c>
      <c r="AC100" s="88">
        <v>0</v>
      </c>
      <c r="AD100" s="89">
        <v>0</v>
      </c>
      <c r="AE100" s="90">
        <v>0</v>
      </c>
    </row>
    <row r="101" spans="2:31" s="62" customFormat="1" ht="15.75" customHeight="1">
      <c r="B101" s="72"/>
      <c r="C101" s="74"/>
      <c r="D101" s="73"/>
      <c r="E101" s="109" t="s">
        <v>158</v>
      </c>
      <c r="F101" s="87"/>
      <c r="G101" s="88">
        <v>0</v>
      </c>
      <c r="H101" s="89">
        <v>0</v>
      </c>
      <c r="I101" s="88">
        <v>0</v>
      </c>
      <c r="J101" s="92">
        <v>0</v>
      </c>
      <c r="K101" s="90">
        <v>2</v>
      </c>
      <c r="L101" s="88">
        <v>0</v>
      </c>
      <c r="M101" s="89">
        <v>0</v>
      </c>
      <c r="N101" s="88">
        <v>0</v>
      </c>
      <c r="O101" s="92">
        <v>0</v>
      </c>
      <c r="P101" s="90">
        <v>2</v>
      </c>
      <c r="Q101" s="88">
        <v>0</v>
      </c>
      <c r="R101" s="89">
        <v>0</v>
      </c>
      <c r="S101" s="88">
        <v>0</v>
      </c>
      <c r="T101" s="92">
        <v>0</v>
      </c>
      <c r="U101" s="91">
        <v>2</v>
      </c>
      <c r="V101" s="88">
        <v>0</v>
      </c>
      <c r="W101" s="89">
        <v>0</v>
      </c>
      <c r="X101" s="88">
        <v>0</v>
      </c>
      <c r="Y101" s="89">
        <v>0</v>
      </c>
      <c r="Z101" s="90">
        <v>2</v>
      </c>
      <c r="AA101" s="88">
        <v>0</v>
      </c>
      <c r="AB101" s="89">
        <v>0</v>
      </c>
      <c r="AC101" s="88">
        <v>0</v>
      </c>
      <c r="AD101" s="89">
        <v>0</v>
      </c>
      <c r="AE101" s="90">
        <v>2</v>
      </c>
    </row>
    <row r="102" spans="2:31" s="62" customFormat="1" ht="15.75" customHeight="1">
      <c r="B102" s="72"/>
      <c r="C102" s="74"/>
      <c r="D102" s="73"/>
      <c r="E102" s="109" t="s">
        <v>159</v>
      </c>
      <c r="F102" s="87"/>
      <c r="G102" s="88">
        <v>29</v>
      </c>
      <c r="H102" s="89">
        <v>46</v>
      </c>
      <c r="I102" s="88">
        <v>1</v>
      </c>
      <c r="J102" s="92">
        <v>46</v>
      </c>
      <c r="K102" s="90">
        <v>3237</v>
      </c>
      <c r="L102" s="88">
        <v>0</v>
      </c>
      <c r="M102" s="89">
        <v>13</v>
      </c>
      <c r="N102" s="88">
        <v>0</v>
      </c>
      <c r="O102" s="92">
        <v>41</v>
      </c>
      <c r="P102" s="90">
        <v>3265</v>
      </c>
      <c r="Q102" s="88">
        <v>0</v>
      </c>
      <c r="R102" s="89">
        <v>12</v>
      </c>
      <c r="S102" s="88">
        <v>1</v>
      </c>
      <c r="T102" s="92">
        <v>18</v>
      </c>
      <c r="U102" s="91">
        <v>3272</v>
      </c>
      <c r="V102" s="88">
        <v>0</v>
      </c>
      <c r="W102" s="89">
        <v>0</v>
      </c>
      <c r="X102" s="88">
        <v>1</v>
      </c>
      <c r="Y102" s="89">
        <v>0</v>
      </c>
      <c r="Z102" s="90">
        <v>3273</v>
      </c>
      <c r="AA102" s="88">
        <v>0</v>
      </c>
      <c r="AB102" s="89">
        <v>0</v>
      </c>
      <c r="AC102" s="88">
        <v>0</v>
      </c>
      <c r="AD102" s="89">
        <v>0</v>
      </c>
      <c r="AE102" s="90">
        <v>3273</v>
      </c>
    </row>
    <row r="103" spans="2:31" s="62" customFormat="1" ht="15.75" customHeight="1">
      <c r="B103" s="72"/>
      <c r="C103" s="74"/>
      <c r="D103" s="73"/>
      <c r="E103" s="109" t="s">
        <v>160</v>
      </c>
      <c r="F103" s="87"/>
      <c r="G103" s="88">
        <v>0</v>
      </c>
      <c r="H103" s="89">
        <v>0</v>
      </c>
      <c r="I103" s="88">
        <v>0</v>
      </c>
      <c r="J103" s="92">
        <v>0</v>
      </c>
      <c r="K103" s="90">
        <v>0</v>
      </c>
      <c r="L103" s="88">
        <v>0</v>
      </c>
      <c r="M103" s="89">
        <v>0</v>
      </c>
      <c r="N103" s="88">
        <v>0</v>
      </c>
      <c r="O103" s="92">
        <v>0</v>
      </c>
      <c r="P103" s="90">
        <v>0</v>
      </c>
      <c r="Q103" s="88">
        <v>0</v>
      </c>
      <c r="R103" s="89">
        <v>0</v>
      </c>
      <c r="S103" s="88">
        <v>0</v>
      </c>
      <c r="T103" s="92">
        <v>0</v>
      </c>
      <c r="U103" s="91">
        <v>0</v>
      </c>
      <c r="V103" s="88">
        <v>0</v>
      </c>
      <c r="W103" s="89">
        <v>0</v>
      </c>
      <c r="X103" s="88">
        <v>0</v>
      </c>
      <c r="Y103" s="89">
        <v>0</v>
      </c>
      <c r="Z103" s="90">
        <v>0</v>
      </c>
      <c r="AA103" s="88">
        <v>0</v>
      </c>
      <c r="AB103" s="89">
        <v>0</v>
      </c>
      <c r="AC103" s="88">
        <v>0</v>
      </c>
      <c r="AD103" s="89">
        <v>0</v>
      </c>
      <c r="AE103" s="90">
        <v>0</v>
      </c>
    </row>
    <row r="104" spans="2:31" s="62" customFormat="1" ht="15.75" customHeight="1">
      <c r="B104" s="72"/>
      <c r="C104" s="74"/>
      <c r="D104" s="73"/>
      <c r="E104" s="109" t="s">
        <v>161</v>
      </c>
      <c r="F104" s="87"/>
      <c r="G104" s="88">
        <v>0</v>
      </c>
      <c r="H104" s="89">
        <v>0</v>
      </c>
      <c r="I104" s="88">
        <v>0</v>
      </c>
      <c r="J104" s="92">
        <v>0</v>
      </c>
      <c r="K104" s="90">
        <v>0</v>
      </c>
      <c r="L104" s="88">
        <v>0</v>
      </c>
      <c r="M104" s="89">
        <v>0</v>
      </c>
      <c r="N104" s="88">
        <v>0</v>
      </c>
      <c r="O104" s="92">
        <v>0</v>
      </c>
      <c r="P104" s="90">
        <v>0</v>
      </c>
      <c r="Q104" s="88">
        <v>0</v>
      </c>
      <c r="R104" s="89">
        <v>0</v>
      </c>
      <c r="S104" s="88">
        <v>0</v>
      </c>
      <c r="T104" s="92">
        <v>0</v>
      </c>
      <c r="U104" s="91">
        <v>0</v>
      </c>
      <c r="V104" s="88">
        <v>0</v>
      </c>
      <c r="W104" s="89">
        <v>0</v>
      </c>
      <c r="X104" s="88">
        <v>0</v>
      </c>
      <c r="Y104" s="89">
        <v>0</v>
      </c>
      <c r="Z104" s="90">
        <v>0</v>
      </c>
      <c r="AA104" s="88">
        <v>0</v>
      </c>
      <c r="AB104" s="89">
        <v>0</v>
      </c>
      <c r="AC104" s="88">
        <v>0</v>
      </c>
      <c r="AD104" s="89">
        <v>0</v>
      </c>
      <c r="AE104" s="90">
        <v>0</v>
      </c>
    </row>
    <row r="105" spans="2:31" s="62" customFormat="1" ht="15.75" customHeight="1">
      <c r="B105" s="72"/>
      <c r="C105" s="74"/>
      <c r="D105" s="73"/>
      <c r="E105" s="74"/>
      <c r="F105" s="93"/>
      <c r="G105" s="94"/>
      <c r="H105" s="95"/>
      <c r="I105" s="94"/>
      <c r="J105" s="96"/>
      <c r="K105" s="97"/>
      <c r="L105" s="94"/>
      <c r="M105" s="95"/>
      <c r="N105" s="94"/>
      <c r="O105" s="96"/>
      <c r="P105" s="97"/>
      <c r="Q105" s="94"/>
      <c r="R105" s="95"/>
      <c r="S105" s="94"/>
      <c r="T105" s="96"/>
      <c r="U105" s="98"/>
      <c r="V105" s="94"/>
      <c r="W105" s="95"/>
      <c r="X105" s="94"/>
      <c r="Y105" s="95"/>
      <c r="Z105" s="97"/>
      <c r="AA105" s="94"/>
      <c r="AB105" s="95"/>
      <c r="AC105" s="94"/>
      <c r="AD105" s="95"/>
      <c r="AE105" s="97"/>
    </row>
    <row r="106" spans="2:31" s="62" customFormat="1" ht="15.75" customHeight="1">
      <c r="B106" s="72"/>
      <c r="C106" s="74"/>
      <c r="D106" s="73" t="s">
        <v>133</v>
      </c>
      <c r="E106" s="74"/>
      <c r="F106" s="93"/>
      <c r="G106" s="94"/>
      <c r="H106" s="95"/>
      <c r="I106" s="94"/>
      <c r="J106" s="96"/>
      <c r="K106" s="97"/>
      <c r="L106" s="94"/>
      <c r="M106" s="95"/>
      <c r="N106" s="94"/>
      <c r="O106" s="96"/>
      <c r="P106" s="97"/>
      <c r="Q106" s="94"/>
      <c r="R106" s="95"/>
      <c r="S106" s="94"/>
      <c r="T106" s="96"/>
      <c r="U106" s="98"/>
      <c r="V106" s="94"/>
      <c r="W106" s="95"/>
      <c r="X106" s="94"/>
      <c r="Y106" s="95"/>
      <c r="Z106" s="97"/>
      <c r="AA106" s="94"/>
      <c r="AB106" s="95"/>
      <c r="AC106" s="94"/>
      <c r="AD106" s="95"/>
      <c r="AE106" s="97"/>
    </row>
    <row r="107" spans="2:31" s="62" customFormat="1" ht="15.75" customHeight="1">
      <c r="B107" s="72"/>
      <c r="C107" s="74"/>
      <c r="D107" s="74"/>
      <c r="E107" s="109" t="s">
        <v>162</v>
      </c>
      <c r="F107" s="87"/>
      <c r="G107" s="88">
        <v>0</v>
      </c>
      <c r="H107" s="89">
        <v>0</v>
      </c>
      <c r="I107" s="88">
        <v>0</v>
      </c>
      <c r="J107" s="92">
        <v>0</v>
      </c>
      <c r="K107" s="90">
        <v>1</v>
      </c>
      <c r="L107" s="88">
        <v>0</v>
      </c>
      <c r="M107" s="89">
        <v>0</v>
      </c>
      <c r="N107" s="88">
        <v>0</v>
      </c>
      <c r="O107" s="92">
        <v>0</v>
      </c>
      <c r="P107" s="90">
        <v>1</v>
      </c>
      <c r="Q107" s="88">
        <v>0</v>
      </c>
      <c r="R107" s="89">
        <v>0</v>
      </c>
      <c r="S107" s="88">
        <v>0</v>
      </c>
      <c r="T107" s="92">
        <v>0</v>
      </c>
      <c r="U107" s="91">
        <v>1</v>
      </c>
      <c r="V107" s="88">
        <v>0</v>
      </c>
      <c r="W107" s="89">
        <v>0</v>
      </c>
      <c r="X107" s="88">
        <v>0</v>
      </c>
      <c r="Y107" s="89">
        <v>0</v>
      </c>
      <c r="Z107" s="90">
        <v>1</v>
      </c>
      <c r="AA107" s="88">
        <v>0</v>
      </c>
      <c r="AB107" s="89">
        <v>0</v>
      </c>
      <c r="AC107" s="88">
        <v>0</v>
      </c>
      <c r="AD107" s="89">
        <v>0</v>
      </c>
      <c r="AE107" s="90">
        <v>1</v>
      </c>
    </row>
    <row r="108" spans="2:31" s="62" customFormat="1" ht="15.75" customHeight="1">
      <c r="B108" s="72"/>
      <c r="C108" s="74"/>
      <c r="D108" s="74"/>
      <c r="E108" s="109" t="s">
        <v>163</v>
      </c>
      <c r="F108" s="87"/>
      <c r="G108" s="88">
        <v>3</v>
      </c>
      <c r="H108" s="89">
        <v>0</v>
      </c>
      <c r="I108" s="88">
        <v>14</v>
      </c>
      <c r="J108" s="92">
        <v>0</v>
      </c>
      <c r="K108" s="90">
        <v>571</v>
      </c>
      <c r="L108" s="88">
        <v>9</v>
      </c>
      <c r="M108" s="89">
        <v>0</v>
      </c>
      <c r="N108" s="88">
        <v>13</v>
      </c>
      <c r="O108" s="92">
        <v>0</v>
      </c>
      <c r="P108" s="90">
        <v>575</v>
      </c>
      <c r="Q108" s="88">
        <v>5</v>
      </c>
      <c r="R108" s="89">
        <v>0</v>
      </c>
      <c r="S108" s="88">
        <v>5</v>
      </c>
      <c r="T108" s="92">
        <v>0</v>
      </c>
      <c r="U108" s="91">
        <v>575</v>
      </c>
      <c r="V108" s="88">
        <v>2</v>
      </c>
      <c r="W108" s="89">
        <v>5</v>
      </c>
      <c r="X108" s="88">
        <v>8</v>
      </c>
      <c r="Y108" s="89">
        <v>5</v>
      </c>
      <c r="Z108" s="90">
        <v>581</v>
      </c>
      <c r="AA108" s="88">
        <v>2</v>
      </c>
      <c r="AB108" s="89">
        <v>5</v>
      </c>
      <c r="AC108" s="88">
        <v>8</v>
      </c>
      <c r="AD108" s="89">
        <v>5</v>
      </c>
      <c r="AE108" s="90">
        <v>587</v>
      </c>
    </row>
    <row r="109" spans="2:31" s="62" customFormat="1" ht="15.75" customHeight="1">
      <c r="B109" s="72"/>
      <c r="C109" s="74"/>
      <c r="D109" s="74"/>
      <c r="E109" s="74" t="s">
        <v>164</v>
      </c>
      <c r="F109" s="87"/>
      <c r="G109" s="88">
        <v>0</v>
      </c>
      <c r="H109" s="89">
        <v>0</v>
      </c>
      <c r="I109" s="88">
        <v>1</v>
      </c>
      <c r="J109" s="92">
        <v>3</v>
      </c>
      <c r="K109" s="90">
        <v>122</v>
      </c>
      <c r="L109" s="88">
        <v>0</v>
      </c>
      <c r="M109" s="89">
        <v>0</v>
      </c>
      <c r="N109" s="88">
        <v>12</v>
      </c>
      <c r="O109" s="92">
        <v>0</v>
      </c>
      <c r="P109" s="90">
        <v>134</v>
      </c>
      <c r="Q109" s="88">
        <v>0</v>
      </c>
      <c r="R109" s="89">
        <v>0</v>
      </c>
      <c r="S109" s="88">
        <v>3</v>
      </c>
      <c r="T109" s="92">
        <v>44</v>
      </c>
      <c r="U109" s="91">
        <v>181</v>
      </c>
      <c r="V109" s="88">
        <v>0</v>
      </c>
      <c r="W109" s="89">
        <v>0</v>
      </c>
      <c r="X109" s="88">
        <v>4</v>
      </c>
      <c r="Y109" s="89">
        <v>0</v>
      </c>
      <c r="Z109" s="90">
        <v>185</v>
      </c>
      <c r="AA109" s="88">
        <v>0</v>
      </c>
      <c r="AB109" s="89">
        <v>0</v>
      </c>
      <c r="AC109" s="88">
        <v>4</v>
      </c>
      <c r="AD109" s="89">
        <v>0</v>
      </c>
      <c r="AE109" s="90">
        <v>189</v>
      </c>
    </row>
    <row r="110" spans="2:31" s="62" customFormat="1" ht="15.75" customHeight="1">
      <c r="B110" s="72"/>
      <c r="C110" s="74"/>
      <c r="D110" s="74"/>
      <c r="E110" s="109" t="s">
        <v>165</v>
      </c>
      <c r="F110" s="87"/>
      <c r="G110" s="88">
        <v>0</v>
      </c>
      <c r="H110" s="89">
        <v>0</v>
      </c>
      <c r="I110" s="88">
        <v>0</v>
      </c>
      <c r="J110" s="92">
        <v>0</v>
      </c>
      <c r="K110" s="90">
        <v>0</v>
      </c>
      <c r="L110" s="88">
        <v>0</v>
      </c>
      <c r="M110" s="89">
        <v>0</v>
      </c>
      <c r="N110" s="88">
        <v>0</v>
      </c>
      <c r="O110" s="92">
        <v>0</v>
      </c>
      <c r="P110" s="90">
        <v>0</v>
      </c>
      <c r="Q110" s="88">
        <v>0</v>
      </c>
      <c r="R110" s="89">
        <v>0</v>
      </c>
      <c r="S110" s="88">
        <v>0</v>
      </c>
      <c r="T110" s="92">
        <v>0</v>
      </c>
      <c r="U110" s="91">
        <v>0</v>
      </c>
      <c r="V110" s="88">
        <v>0</v>
      </c>
      <c r="W110" s="89">
        <v>0</v>
      </c>
      <c r="X110" s="88">
        <v>0</v>
      </c>
      <c r="Y110" s="89">
        <v>0</v>
      </c>
      <c r="Z110" s="90">
        <v>0</v>
      </c>
      <c r="AA110" s="88">
        <v>0</v>
      </c>
      <c r="AB110" s="89">
        <v>0</v>
      </c>
      <c r="AC110" s="88">
        <v>0</v>
      </c>
      <c r="AD110" s="89">
        <v>0</v>
      </c>
      <c r="AE110" s="90">
        <v>0</v>
      </c>
    </row>
    <row r="111" spans="2:31" s="62" customFormat="1" ht="15.75" customHeight="1">
      <c r="B111" s="72"/>
      <c r="C111" s="74"/>
      <c r="D111" s="73"/>
      <c r="E111" s="74" t="s">
        <v>166</v>
      </c>
      <c r="F111" s="87"/>
      <c r="G111" s="88">
        <v>0</v>
      </c>
      <c r="H111" s="89">
        <v>0</v>
      </c>
      <c r="I111" s="88">
        <v>0</v>
      </c>
      <c r="J111" s="92">
        <v>0</v>
      </c>
      <c r="K111" s="90">
        <v>0</v>
      </c>
      <c r="L111" s="88">
        <v>0</v>
      </c>
      <c r="M111" s="89">
        <v>0</v>
      </c>
      <c r="N111" s="88">
        <v>0</v>
      </c>
      <c r="O111" s="92">
        <v>0</v>
      </c>
      <c r="P111" s="90">
        <v>0</v>
      </c>
      <c r="Q111" s="88">
        <v>0</v>
      </c>
      <c r="R111" s="89">
        <v>0</v>
      </c>
      <c r="S111" s="88">
        <v>0</v>
      </c>
      <c r="T111" s="92">
        <v>0</v>
      </c>
      <c r="U111" s="91">
        <v>0</v>
      </c>
      <c r="V111" s="88">
        <v>0</v>
      </c>
      <c r="W111" s="89">
        <v>0</v>
      </c>
      <c r="X111" s="88">
        <v>0</v>
      </c>
      <c r="Y111" s="89">
        <v>0</v>
      </c>
      <c r="Z111" s="90">
        <v>0</v>
      </c>
      <c r="AA111" s="88">
        <v>0</v>
      </c>
      <c r="AB111" s="89">
        <v>0</v>
      </c>
      <c r="AC111" s="88">
        <v>0</v>
      </c>
      <c r="AD111" s="89">
        <v>0</v>
      </c>
      <c r="AE111" s="90">
        <v>0</v>
      </c>
    </row>
    <row r="112" spans="2:31" s="62" customFormat="1" ht="15.75" customHeight="1" thickBot="1">
      <c r="B112" s="99"/>
      <c r="C112" s="100"/>
      <c r="D112" s="100"/>
      <c r="E112" s="100"/>
      <c r="F112" s="101"/>
      <c r="G112" s="102"/>
      <c r="H112" s="103"/>
      <c r="I112" s="102"/>
      <c r="J112" s="104"/>
      <c r="K112" s="105"/>
      <c r="L112" s="102"/>
      <c r="M112" s="103"/>
      <c r="N112" s="102"/>
      <c r="O112" s="104"/>
      <c r="P112" s="105"/>
      <c r="Q112" s="102"/>
      <c r="R112" s="103"/>
      <c r="S112" s="102"/>
      <c r="T112" s="104"/>
      <c r="U112" s="106"/>
      <c r="V112" s="102"/>
      <c r="W112" s="103"/>
      <c r="X112" s="102"/>
      <c r="Y112" s="103"/>
      <c r="Z112" s="105"/>
      <c r="AA112" s="102"/>
      <c r="AB112" s="103"/>
      <c r="AC112" s="102"/>
      <c r="AD112" s="103"/>
      <c r="AE112" s="105"/>
    </row>
    <row r="113" spans="2:31" s="62" customFormat="1" ht="15.75" customHeight="1">
      <c r="B113" s="107"/>
      <c r="C113" s="108" t="s">
        <v>167</v>
      </c>
      <c r="D113" s="108"/>
      <c r="E113" s="109"/>
      <c r="F113" s="93"/>
      <c r="G113" s="94"/>
      <c r="H113" s="95"/>
      <c r="I113" s="94"/>
      <c r="J113" s="96"/>
      <c r="K113" s="97"/>
      <c r="L113" s="94"/>
      <c r="M113" s="95"/>
      <c r="N113" s="94"/>
      <c r="O113" s="96"/>
      <c r="P113" s="97"/>
      <c r="Q113" s="94"/>
      <c r="R113" s="95"/>
      <c r="S113" s="94"/>
      <c r="T113" s="96"/>
      <c r="U113" s="98"/>
      <c r="V113" s="94"/>
      <c r="W113" s="95"/>
      <c r="X113" s="94"/>
      <c r="Y113" s="95"/>
      <c r="Z113" s="97"/>
      <c r="AA113" s="94"/>
      <c r="AB113" s="95"/>
      <c r="AC113" s="94"/>
      <c r="AD113" s="95"/>
      <c r="AE113" s="97"/>
    </row>
    <row r="114" spans="2:31" s="62" customFormat="1" ht="15.75" customHeight="1">
      <c r="B114" s="72"/>
      <c r="C114" s="74"/>
      <c r="D114" s="73" t="s">
        <v>90</v>
      </c>
      <c r="E114" s="74"/>
      <c r="F114" s="93"/>
      <c r="G114" s="94"/>
      <c r="H114" s="95"/>
      <c r="I114" s="94"/>
      <c r="J114" s="96"/>
      <c r="K114" s="97"/>
      <c r="L114" s="94"/>
      <c r="M114" s="95"/>
      <c r="N114" s="94"/>
      <c r="O114" s="96"/>
      <c r="P114" s="97"/>
      <c r="Q114" s="94"/>
      <c r="R114" s="95"/>
      <c r="S114" s="94"/>
      <c r="T114" s="96"/>
      <c r="U114" s="98"/>
      <c r="V114" s="94"/>
      <c r="W114" s="95"/>
      <c r="X114" s="94"/>
      <c r="Y114" s="95"/>
      <c r="Z114" s="97"/>
      <c r="AA114" s="94"/>
      <c r="AB114" s="95"/>
      <c r="AC114" s="94"/>
      <c r="AD114" s="95"/>
      <c r="AE114" s="97"/>
    </row>
    <row r="115" spans="2:31" s="62" customFormat="1" ht="15.75" customHeight="1">
      <c r="B115" s="72"/>
      <c r="C115" s="74"/>
      <c r="D115" s="73"/>
      <c r="E115" s="74" t="s">
        <v>168</v>
      </c>
      <c r="F115" s="87"/>
      <c r="G115" s="88">
        <v>0</v>
      </c>
      <c r="H115" s="89">
        <v>0</v>
      </c>
      <c r="I115" s="88">
        <v>0</v>
      </c>
      <c r="J115" s="92">
        <v>0</v>
      </c>
      <c r="K115" s="90">
        <v>22.1</v>
      </c>
      <c r="L115" s="88">
        <v>0</v>
      </c>
      <c r="M115" s="89">
        <v>0</v>
      </c>
      <c r="N115" s="88">
        <v>30</v>
      </c>
      <c r="O115" s="92">
        <v>0</v>
      </c>
      <c r="P115" s="90">
        <v>52.1</v>
      </c>
      <c r="Q115" s="88">
        <v>0</v>
      </c>
      <c r="R115" s="89">
        <v>0</v>
      </c>
      <c r="S115" s="88">
        <v>8</v>
      </c>
      <c r="T115" s="92">
        <v>0</v>
      </c>
      <c r="U115" s="91">
        <v>60.1</v>
      </c>
      <c r="V115" s="88">
        <v>0</v>
      </c>
      <c r="W115" s="89">
        <v>0</v>
      </c>
      <c r="X115" s="88">
        <v>1</v>
      </c>
      <c r="Y115" s="89">
        <v>0</v>
      </c>
      <c r="Z115" s="90">
        <v>61.1</v>
      </c>
      <c r="AA115" s="88">
        <v>0</v>
      </c>
      <c r="AB115" s="89">
        <v>0</v>
      </c>
      <c r="AC115" s="88">
        <v>1</v>
      </c>
      <c r="AD115" s="89">
        <v>0</v>
      </c>
      <c r="AE115" s="90">
        <v>62.1</v>
      </c>
    </row>
    <row r="116" spans="2:31" s="62" customFormat="1" ht="15.75" customHeight="1">
      <c r="B116" s="72"/>
      <c r="C116" s="74"/>
      <c r="D116" s="73"/>
      <c r="E116" s="74" t="s">
        <v>169</v>
      </c>
      <c r="F116" s="87"/>
      <c r="G116" s="88">
        <v>0</v>
      </c>
      <c r="H116" s="89">
        <v>0</v>
      </c>
      <c r="I116" s="88">
        <v>0</v>
      </c>
      <c r="J116" s="92">
        <v>0</v>
      </c>
      <c r="K116" s="90">
        <v>1384</v>
      </c>
      <c r="L116" s="88">
        <v>0</v>
      </c>
      <c r="M116" s="89">
        <v>36</v>
      </c>
      <c r="N116" s="88">
        <v>0</v>
      </c>
      <c r="O116" s="92">
        <v>35</v>
      </c>
      <c r="P116" s="90">
        <v>1383</v>
      </c>
      <c r="Q116" s="88">
        <v>0</v>
      </c>
      <c r="R116" s="89">
        <v>51</v>
      </c>
      <c r="S116" s="88">
        <v>0</v>
      </c>
      <c r="T116" s="92">
        <v>50</v>
      </c>
      <c r="U116" s="91">
        <v>1382</v>
      </c>
      <c r="V116" s="88">
        <v>0</v>
      </c>
      <c r="W116" s="89">
        <v>5</v>
      </c>
      <c r="X116" s="88">
        <v>0</v>
      </c>
      <c r="Y116" s="89">
        <v>5</v>
      </c>
      <c r="Z116" s="90">
        <v>1382</v>
      </c>
      <c r="AA116" s="88">
        <v>0</v>
      </c>
      <c r="AB116" s="89">
        <v>5</v>
      </c>
      <c r="AC116" s="88">
        <v>0</v>
      </c>
      <c r="AD116" s="89">
        <v>5</v>
      </c>
      <c r="AE116" s="90">
        <v>1382</v>
      </c>
    </row>
    <row r="117" spans="2:31" s="62" customFormat="1" ht="15.75" customHeight="1">
      <c r="B117" s="72"/>
      <c r="C117" s="74"/>
      <c r="D117" s="73"/>
      <c r="E117" s="109"/>
      <c r="F117" s="93"/>
      <c r="G117" s="94"/>
      <c r="H117" s="95"/>
      <c r="I117" s="94"/>
      <c r="J117" s="96"/>
      <c r="K117" s="97"/>
      <c r="L117" s="94"/>
      <c r="M117" s="95"/>
      <c r="N117" s="94"/>
      <c r="O117" s="96"/>
      <c r="P117" s="97"/>
      <c r="Q117" s="94"/>
      <c r="R117" s="95"/>
      <c r="S117" s="94"/>
      <c r="T117" s="96"/>
      <c r="U117" s="98"/>
      <c r="V117" s="94"/>
      <c r="W117" s="95"/>
      <c r="X117" s="94"/>
      <c r="Y117" s="95"/>
      <c r="Z117" s="97"/>
      <c r="AA117" s="94"/>
      <c r="AB117" s="95"/>
      <c r="AC117" s="94"/>
      <c r="AD117" s="95"/>
      <c r="AE117" s="97"/>
    </row>
    <row r="118" spans="2:31" s="62" customFormat="1" ht="15.75" customHeight="1">
      <c r="B118" s="72"/>
      <c r="C118" s="74"/>
      <c r="D118" s="73" t="s">
        <v>93</v>
      </c>
      <c r="E118" s="74"/>
      <c r="F118" s="93"/>
      <c r="G118" s="94"/>
      <c r="H118" s="95"/>
      <c r="I118" s="94"/>
      <c r="J118" s="96"/>
      <c r="K118" s="97"/>
      <c r="L118" s="94"/>
      <c r="M118" s="95"/>
      <c r="N118" s="94"/>
      <c r="O118" s="96"/>
      <c r="P118" s="97"/>
      <c r="Q118" s="94"/>
      <c r="R118" s="95"/>
      <c r="S118" s="94"/>
      <c r="T118" s="96"/>
      <c r="U118" s="98"/>
      <c r="V118" s="94"/>
      <c r="W118" s="95"/>
      <c r="X118" s="94"/>
      <c r="Y118" s="95"/>
      <c r="Z118" s="97"/>
      <c r="AA118" s="94"/>
      <c r="AB118" s="95"/>
      <c r="AC118" s="94"/>
      <c r="AD118" s="95"/>
      <c r="AE118" s="97"/>
    </row>
    <row r="119" spans="2:31" s="62" customFormat="1" ht="15.75" customHeight="1">
      <c r="B119" s="72"/>
      <c r="C119" s="74"/>
      <c r="D119" s="73"/>
      <c r="E119" s="74" t="s">
        <v>170</v>
      </c>
      <c r="F119" s="87"/>
      <c r="G119" s="88">
        <v>0</v>
      </c>
      <c r="H119" s="89">
        <v>16</v>
      </c>
      <c r="I119" s="88">
        <v>0</v>
      </c>
      <c r="J119" s="92">
        <v>16</v>
      </c>
      <c r="K119" s="90">
        <v>122</v>
      </c>
      <c r="L119" s="88">
        <v>0</v>
      </c>
      <c r="M119" s="89">
        <v>0</v>
      </c>
      <c r="N119" s="88">
        <v>119</v>
      </c>
      <c r="O119" s="92">
        <v>0</v>
      </c>
      <c r="P119" s="90">
        <v>241</v>
      </c>
      <c r="Q119" s="88">
        <v>0</v>
      </c>
      <c r="R119" s="89">
        <v>0</v>
      </c>
      <c r="S119" s="88">
        <v>217</v>
      </c>
      <c r="T119" s="92">
        <v>0</v>
      </c>
      <c r="U119" s="91">
        <v>458</v>
      </c>
      <c r="V119" s="88">
        <v>0</v>
      </c>
      <c r="W119" s="89">
        <v>0</v>
      </c>
      <c r="X119" s="88">
        <v>50</v>
      </c>
      <c r="Y119" s="89">
        <v>0</v>
      </c>
      <c r="Z119" s="90">
        <v>508</v>
      </c>
      <c r="AA119" s="88">
        <v>0</v>
      </c>
      <c r="AB119" s="89">
        <v>0</v>
      </c>
      <c r="AC119" s="88">
        <v>50</v>
      </c>
      <c r="AD119" s="89">
        <v>0</v>
      </c>
      <c r="AE119" s="90">
        <v>558</v>
      </c>
    </row>
    <row r="120" spans="2:31" s="62" customFormat="1" ht="15.75" customHeight="1">
      <c r="B120" s="72"/>
      <c r="C120" s="74"/>
      <c r="D120" s="73"/>
      <c r="E120" s="74" t="s">
        <v>171</v>
      </c>
      <c r="F120" s="87"/>
      <c r="G120" s="88">
        <v>0</v>
      </c>
      <c r="H120" s="89">
        <v>0</v>
      </c>
      <c r="I120" s="88">
        <v>0</v>
      </c>
      <c r="J120" s="92">
        <v>0</v>
      </c>
      <c r="K120" s="90">
        <v>3108</v>
      </c>
      <c r="L120" s="88">
        <v>0</v>
      </c>
      <c r="M120" s="89">
        <v>4</v>
      </c>
      <c r="N120" s="88">
        <v>0</v>
      </c>
      <c r="O120" s="92">
        <v>0</v>
      </c>
      <c r="P120" s="90">
        <v>3104</v>
      </c>
      <c r="Q120" s="88">
        <v>0</v>
      </c>
      <c r="R120" s="89">
        <v>5</v>
      </c>
      <c r="S120" s="88">
        <v>0</v>
      </c>
      <c r="T120" s="92">
        <v>1</v>
      </c>
      <c r="U120" s="91">
        <v>3100</v>
      </c>
      <c r="V120" s="88">
        <v>0</v>
      </c>
      <c r="W120" s="89">
        <v>3</v>
      </c>
      <c r="X120" s="88">
        <v>0</v>
      </c>
      <c r="Y120" s="89">
        <v>3</v>
      </c>
      <c r="Z120" s="90">
        <v>3100</v>
      </c>
      <c r="AA120" s="88">
        <v>0</v>
      </c>
      <c r="AB120" s="89">
        <v>3</v>
      </c>
      <c r="AC120" s="88">
        <v>0</v>
      </c>
      <c r="AD120" s="89">
        <v>3</v>
      </c>
      <c r="AE120" s="90">
        <v>3100</v>
      </c>
    </row>
    <row r="121" spans="2:31" s="62" customFormat="1" ht="15.75" customHeight="1">
      <c r="B121" s="72"/>
      <c r="C121" s="74"/>
      <c r="D121" s="73"/>
      <c r="E121" s="109" t="s">
        <v>172</v>
      </c>
      <c r="F121" s="87"/>
      <c r="G121" s="88">
        <v>0</v>
      </c>
      <c r="H121" s="89">
        <v>0</v>
      </c>
      <c r="I121" s="88">
        <v>0</v>
      </c>
      <c r="J121" s="92">
        <v>0</v>
      </c>
      <c r="K121" s="90">
        <v>4710</v>
      </c>
      <c r="L121" s="88">
        <v>0</v>
      </c>
      <c r="M121" s="89">
        <v>0</v>
      </c>
      <c r="N121" s="88">
        <v>0</v>
      </c>
      <c r="O121" s="92">
        <v>0</v>
      </c>
      <c r="P121" s="90">
        <v>4710</v>
      </c>
      <c r="Q121" s="88">
        <v>0</v>
      </c>
      <c r="R121" s="89">
        <v>0</v>
      </c>
      <c r="S121" s="88">
        <v>0</v>
      </c>
      <c r="T121" s="92">
        <v>0</v>
      </c>
      <c r="U121" s="91">
        <v>4710</v>
      </c>
      <c r="V121" s="88">
        <v>0</v>
      </c>
      <c r="W121" s="89">
        <v>242</v>
      </c>
      <c r="X121" s="88">
        <v>0</v>
      </c>
      <c r="Y121" s="89">
        <v>242</v>
      </c>
      <c r="Z121" s="90">
        <v>4710</v>
      </c>
      <c r="AA121" s="88">
        <v>0</v>
      </c>
      <c r="AB121" s="89">
        <v>242</v>
      </c>
      <c r="AC121" s="88">
        <v>0</v>
      </c>
      <c r="AD121" s="89">
        <v>242</v>
      </c>
      <c r="AE121" s="90">
        <v>4710</v>
      </c>
    </row>
    <row r="122" spans="2:31" s="62" customFormat="1" ht="15.75" customHeight="1">
      <c r="B122" s="72"/>
      <c r="C122" s="74"/>
      <c r="D122" s="74"/>
      <c r="E122" s="74"/>
      <c r="F122" s="93"/>
      <c r="G122" s="94"/>
      <c r="H122" s="95"/>
      <c r="I122" s="94"/>
      <c r="J122" s="96"/>
      <c r="K122" s="97"/>
      <c r="L122" s="94"/>
      <c r="M122" s="95"/>
      <c r="N122" s="94"/>
      <c r="O122" s="96"/>
      <c r="P122" s="97"/>
      <c r="Q122" s="94"/>
      <c r="R122" s="95"/>
      <c r="S122" s="94"/>
      <c r="T122" s="96"/>
      <c r="U122" s="98"/>
      <c r="V122" s="94"/>
      <c r="W122" s="95"/>
      <c r="X122" s="94"/>
      <c r="Y122" s="95"/>
      <c r="Z122" s="97"/>
      <c r="AA122" s="94"/>
      <c r="AB122" s="95"/>
      <c r="AC122" s="94"/>
      <c r="AD122" s="95"/>
      <c r="AE122" s="97"/>
    </row>
    <row r="123" spans="2:31" s="62" customFormat="1" ht="15.75" customHeight="1">
      <c r="B123" s="72"/>
      <c r="C123" s="74"/>
      <c r="D123" s="73" t="s">
        <v>114</v>
      </c>
      <c r="E123" s="74"/>
      <c r="F123" s="93"/>
      <c r="G123" s="94"/>
      <c r="H123" s="95"/>
      <c r="I123" s="94"/>
      <c r="J123" s="96"/>
      <c r="K123" s="97"/>
      <c r="L123" s="94"/>
      <c r="M123" s="95"/>
      <c r="N123" s="94"/>
      <c r="O123" s="96"/>
      <c r="P123" s="97"/>
      <c r="Q123" s="94"/>
      <c r="R123" s="95"/>
      <c r="S123" s="94"/>
      <c r="T123" s="96"/>
      <c r="U123" s="98"/>
      <c r="V123" s="94"/>
      <c r="W123" s="95"/>
      <c r="X123" s="94"/>
      <c r="Y123" s="95"/>
      <c r="Z123" s="97"/>
      <c r="AA123" s="94"/>
      <c r="AB123" s="95"/>
      <c r="AC123" s="94"/>
      <c r="AD123" s="95"/>
      <c r="AE123" s="97"/>
    </row>
    <row r="124" spans="2:31" s="62" customFormat="1" ht="15.75" customHeight="1">
      <c r="B124" s="72"/>
      <c r="C124" s="74"/>
      <c r="D124" s="74"/>
      <c r="E124" s="74" t="s">
        <v>173</v>
      </c>
      <c r="F124" s="87"/>
      <c r="G124" s="88">
        <v>0</v>
      </c>
      <c r="H124" s="89">
        <v>0</v>
      </c>
      <c r="I124" s="88">
        <v>0</v>
      </c>
      <c r="J124" s="92">
        <v>0</v>
      </c>
      <c r="K124" s="90">
        <v>5.03</v>
      </c>
      <c r="L124" s="88">
        <v>0</v>
      </c>
      <c r="M124" s="89">
        <v>0</v>
      </c>
      <c r="N124" s="88">
        <v>1.8</v>
      </c>
      <c r="O124" s="92">
        <v>0</v>
      </c>
      <c r="P124" s="90">
        <v>6.83</v>
      </c>
      <c r="Q124" s="88">
        <v>0</v>
      </c>
      <c r="R124" s="89">
        <v>0</v>
      </c>
      <c r="S124" s="88">
        <v>1.1000000000000001</v>
      </c>
      <c r="T124" s="92">
        <v>0</v>
      </c>
      <c r="U124" s="91">
        <v>7.93</v>
      </c>
      <c r="V124" s="88">
        <v>0</v>
      </c>
      <c r="W124" s="89">
        <v>0</v>
      </c>
      <c r="X124" s="88">
        <v>0</v>
      </c>
      <c r="Y124" s="89">
        <v>0</v>
      </c>
      <c r="Z124" s="90">
        <v>7.93</v>
      </c>
      <c r="AA124" s="88">
        <v>0</v>
      </c>
      <c r="AB124" s="89">
        <v>0</v>
      </c>
      <c r="AC124" s="88">
        <v>0</v>
      </c>
      <c r="AD124" s="89">
        <v>0</v>
      </c>
      <c r="AE124" s="90">
        <v>7.93</v>
      </c>
    </row>
    <row r="125" spans="2:31" s="62" customFormat="1" ht="15.75" customHeight="1">
      <c r="B125" s="72"/>
      <c r="C125" s="74"/>
      <c r="D125" s="74"/>
      <c r="E125" s="74" t="s">
        <v>174</v>
      </c>
      <c r="F125" s="87"/>
      <c r="G125" s="88">
        <v>0</v>
      </c>
      <c r="H125" s="89">
        <v>0</v>
      </c>
      <c r="I125" s="88">
        <v>0</v>
      </c>
      <c r="J125" s="92">
        <v>0</v>
      </c>
      <c r="K125" s="90">
        <v>67.599999999999994</v>
      </c>
      <c r="L125" s="88">
        <v>0.2</v>
      </c>
      <c r="M125" s="89">
        <v>0.2</v>
      </c>
      <c r="N125" s="88">
        <v>0</v>
      </c>
      <c r="O125" s="92">
        <v>0</v>
      </c>
      <c r="P125" s="90">
        <v>67.2</v>
      </c>
      <c r="Q125" s="88">
        <v>0</v>
      </c>
      <c r="R125" s="89">
        <v>-0.1</v>
      </c>
      <c r="S125" s="88">
        <v>0.1</v>
      </c>
      <c r="T125" s="92">
        <v>0.1</v>
      </c>
      <c r="U125" s="91">
        <v>67.5</v>
      </c>
      <c r="V125" s="88">
        <v>0</v>
      </c>
      <c r="W125" s="89">
        <v>0</v>
      </c>
      <c r="X125" s="88">
        <v>0</v>
      </c>
      <c r="Y125" s="89">
        <v>0</v>
      </c>
      <c r="Z125" s="90">
        <v>67.5</v>
      </c>
      <c r="AA125" s="88">
        <v>0</v>
      </c>
      <c r="AB125" s="89">
        <v>0</v>
      </c>
      <c r="AC125" s="88">
        <v>0</v>
      </c>
      <c r="AD125" s="89">
        <v>0</v>
      </c>
      <c r="AE125" s="90">
        <v>67.5</v>
      </c>
    </row>
    <row r="126" spans="2:31" s="62" customFormat="1" ht="15.75" customHeight="1">
      <c r="B126" s="72"/>
      <c r="C126" s="74"/>
      <c r="D126" s="74"/>
      <c r="E126" s="74" t="s">
        <v>175</v>
      </c>
      <c r="F126" s="87"/>
      <c r="G126" s="88">
        <v>0</v>
      </c>
      <c r="H126" s="89">
        <v>0</v>
      </c>
      <c r="I126" s="88">
        <v>0</v>
      </c>
      <c r="J126" s="92">
        <v>0</v>
      </c>
      <c r="K126" s="90">
        <v>0</v>
      </c>
      <c r="L126" s="88">
        <v>0</v>
      </c>
      <c r="M126" s="89">
        <v>0</v>
      </c>
      <c r="N126" s="88">
        <v>0</v>
      </c>
      <c r="O126" s="92">
        <v>0</v>
      </c>
      <c r="P126" s="90">
        <v>0</v>
      </c>
      <c r="Q126" s="88">
        <v>0</v>
      </c>
      <c r="R126" s="89">
        <v>0</v>
      </c>
      <c r="S126" s="88">
        <v>0</v>
      </c>
      <c r="T126" s="92">
        <v>0</v>
      </c>
      <c r="U126" s="91">
        <v>0</v>
      </c>
      <c r="V126" s="88">
        <v>0</v>
      </c>
      <c r="W126" s="89">
        <v>0</v>
      </c>
      <c r="X126" s="88">
        <v>0</v>
      </c>
      <c r="Y126" s="89">
        <v>0</v>
      </c>
      <c r="Z126" s="90">
        <v>0</v>
      </c>
      <c r="AA126" s="88">
        <v>0</v>
      </c>
      <c r="AB126" s="89">
        <v>0</v>
      </c>
      <c r="AC126" s="88">
        <v>0</v>
      </c>
      <c r="AD126" s="89">
        <v>0</v>
      </c>
      <c r="AE126" s="90">
        <v>0</v>
      </c>
    </row>
    <row r="127" spans="2:31" s="62" customFormat="1" ht="15.75" customHeight="1">
      <c r="B127" s="72"/>
      <c r="C127" s="74"/>
      <c r="D127" s="74"/>
      <c r="E127" s="74"/>
      <c r="F127" s="93"/>
      <c r="G127" s="94"/>
      <c r="H127" s="95"/>
      <c r="I127" s="94"/>
      <c r="J127" s="96"/>
      <c r="K127" s="97"/>
      <c r="L127" s="94"/>
      <c r="M127" s="95"/>
      <c r="N127" s="94"/>
      <c r="O127" s="96"/>
      <c r="P127" s="97"/>
      <c r="Q127" s="94"/>
      <c r="R127" s="95"/>
      <c r="S127" s="94"/>
      <c r="T127" s="96"/>
      <c r="U127" s="98"/>
      <c r="V127" s="94"/>
      <c r="W127" s="95"/>
      <c r="X127" s="94"/>
      <c r="Y127" s="95"/>
      <c r="Z127" s="97"/>
      <c r="AA127" s="94"/>
      <c r="AB127" s="95"/>
      <c r="AC127" s="94"/>
      <c r="AD127" s="95"/>
      <c r="AE127" s="97"/>
    </row>
    <row r="128" spans="2:31" s="62" customFormat="1" ht="15.75" customHeight="1">
      <c r="B128" s="72"/>
      <c r="C128" s="74"/>
      <c r="D128" s="73" t="s">
        <v>117</v>
      </c>
      <c r="E128" s="74"/>
      <c r="F128" s="93"/>
      <c r="G128" s="94"/>
      <c r="H128" s="95"/>
      <c r="I128" s="94"/>
      <c r="J128" s="96"/>
      <c r="K128" s="97"/>
      <c r="L128" s="94"/>
      <c r="M128" s="95"/>
      <c r="N128" s="94"/>
      <c r="O128" s="96"/>
      <c r="P128" s="97"/>
      <c r="Q128" s="94"/>
      <c r="R128" s="95"/>
      <c r="S128" s="94"/>
      <c r="T128" s="96"/>
      <c r="U128" s="98"/>
      <c r="V128" s="94"/>
      <c r="W128" s="95"/>
      <c r="X128" s="94"/>
      <c r="Y128" s="95"/>
      <c r="Z128" s="97"/>
      <c r="AA128" s="94"/>
      <c r="AB128" s="95"/>
      <c r="AC128" s="94"/>
      <c r="AD128" s="95"/>
      <c r="AE128" s="97"/>
    </row>
    <row r="129" spans="2:31" s="62" customFormat="1" ht="15.75" customHeight="1">
      <c r="B129" s="72"/>
      <c r="C129" s="74"/>
      <c r="D129" s="74"/>
      <c r="E129" s="109" t="s">
        <v>176</v>
      </c>
      <c r="F129" s="87"/>
      <c r="G129" s="88">
        <v>0</v>
      </c>
      <c r="H129" s="89">
        <v>0</v>
      </c>
      <c r="I129" s="88">
        <v>0</v>
      </c>
      <c r="J129" s="92">
        <v>0</v>
      </c>
      <c r="K129" s="90">
        <v>0</v>
      </c>
      <c r="L129" s="88">
        <v>0</v>
      </c>
      <c r="M129" s="89">
        <v>0</v>
      </c>
      <c r="N129" s="88">
        <v>0</v>
      </c>
      <c r="O129" s="92">
        <v>0</v>
      </c>
      <c r="P129" s="90">
        <v>0</v>
      </c>
      <c r="Q129" s="88">
        <v>0</v>
      </c>
      <c r="R129" s="89">
        <v>0</v>
      </c>
      <c r="S129" s="88">
        <v>0</v>
      </c>
      <c r="T129" s="92">
        <v>0</v>
      </c>
      <c r="U129" s="91">
        <v>0</v>
      </c>
      <c r="V129" s="88">
        <v>0</v>
      </c>
      <c r="W129" s="89">
        <v>0</v>
      </c>
      <c r="X129" s="88">
        <v>0</v>
      </c>
      <c r="Y129" s="89">
        <v>0</v>
      </c>
      <c r="Z129" s="90">
        <v>0</v>
      </c>
      <c r="AA129" s="88">
        <v>0</v>
      </c>
      <c r="AB129" s="89">
        <v>0</v>
      </c>
      <c r="AC129" s="88">
        <v>0</v>
      </c>
      <c r="AD129" s="89">
        <v>0</v>
      </c>
      <c r="AE129" s="90">
        <v>0</v>
      </c>
    </row>
    <row r="130" spans="2:31" s="62" customFormat="1" ht="15.75" customHeight="1">
      <c r="B130" s="72"/>
      <c r="C130" s="74"/>
      <c r="D130" s="74"/>
      <c r="E130" s="74"/>
      <c r="F130" s="93"/>
      <c r="G130" s="94"/>
      <c r="H130" s="95"/>
      <c r="I130" s="94"/>
      <c r="J130" s="96"/>
      <c r="K130" s="97"/>
      <c r="L130" s="94"/>
      <c r="M130" s="95"/>
      <c r="N130" s="94"/>
      <c r="O130" s="96"/>
      <c r="P130" s="97"/>
      <c r="Q130" s="94"/>
      <c r="R130" s="95"/>
      <c r="S130" s="94"/>
      <c r="T130" s="96"/>
      <c r="U130" s="98"/>
      <c r="V130" s="94"/>
      <c r="W130" s="95"/>
      <c r="X130" s="94"/>
      <c r="Y130" s="95"/>
      <c r="Z130" s="97"/>
      <c r="AA130" s="94"/>
      <c r="AB130" s="95"/>
      <c r="AC130" s="94"/>
      <c r="AD130" s="95"/>
      <c r="AE130" s="97"/>
    </row>
    <row r="131" spans="2:31" s="62" customFormat="1" ht="15.75" customHeight="1">
      <c r="B131" s="72"/>
      <c r="C131" s="74"/>
      <c r="D131" s="73" t="s">
        <v>100</v>
      </c>
      <c r="E131" s="74"/>
      <c r="F131" s="93"/>
      <c r="G131" s="94"/>
      <c r="H131" s="95"/>
      <c r="I131" s="94"/>
      <c r="J131" s="96"/>
      <c r="K131" s="97"/>
      <c r="L131" s="94"/>
      <c r="M131" s="95"/>
      <c r="N131" s="94"/>
      <c r="O131" s="96"/>
      <c r="P131" s="97"/>
      <c r="Q131" s="94"/>
      <c r="R131" s="95"/>
      <c r="S131" s="94"/>
      <c r="T131" s="96"/>
      <c r="U131" s="98"/>
      <c r="V131" s="94"/>
      <c r="W131" s="95"/>
      <c r="X131" s="94"/>
      <c r="Y131" s="95"/>
      <c r="Z131" s="97"/>
      <c r="AA131" s="94"/>
      <c r="AB131" s="95"/>
      <c r="AC131" s="94"/>
      <c r="AD131" s="95"/>
      <c r="AE131" s="97"/>
    </row>
    <row r="132" spans="2:31" s="62" customFormat="1" ht="15.75" customHeight="1">
      <c r="B132" s="72"/>
      <c r="C132" s="74"/>
      <c r="D132" s="74"/>
      <c r="E132" s="74" t="s">
        <v>177</v>
      </c>
      <c r="F132" s="87"/>
      <c r="G132" s="88">
        <v>8</v>
      </c>
      <c r="H132" s="89">
        <v>7</v>
      </c>
      <c r="I132" s="88">
        <v>0</v>
      </c>
      <c r="J132" s="92">
        <v>7</v>
      </c>
      <c r="K132" s="90">
        <v>150</v>
      </c>
      <c r="L132" s="88">
        <v>0</v>
      </c>
      <c r="M132" s="89">
        <v>2</v>
      </c>
      <c r="N132" s="88">
        <v>0</v>
      </c>
      <c r="O132" s="92">
        <v>4</v>
      </c>
      <c r="P132" s="90">
        <v>152</v>
      </c>
      <c r="Q132" s="88">
        <v>0</v>
      </c>
      <c r="R132" s="89">
        <v>1</v>
      </c>
      <c r="S132" s="88">
        <v>0</v>
      </c>
      <c r="T132" s="92">
        <v>2</v>
      </c>
      <c r="U132" s="91">
        <v>153</v>
      </c>
      <c r="V132" s="88">
        <v>0</v>
      </c>
      <c r="W132" s="89">
        <v>4</v>
      </c>
      <c r="X132" s="88">
        <v>0</v>
      </c>
      <c r="Y132" s="89">
        <v>4</v>
      </c>
      <c r="Z132" s="90">
        <v>153</v>
      </c>
      <c r="AA132" s="88">
        <v>0</v>
      </c>
      <c r="AB132" s="89">
        <v>4</v>
      </c>
      <c r="AC132" s="88">
        <v>0</v>
      </c>
      <c r="AD132" s="89">
        <v>4</v>
      </c>
      <c r="AE132" s="90">
        <v>153</v>
      </c>
    </row>
    <row r="133" spans="2:31" s="62" customFormat="1" ht="15.75" customHeight="1">
      <c r="B133" s="72"/>
      <c r="C133" s="74"/>
      <c r="D133" s="74"/>
      <c r="E133" s="74" t="s">
        <v>178</v>
      </c>
      <c r="F133" s="87"/>
      <c r="G133" s="88">
        <v>7</v>
      </c>
      <c r="H133" s="89">
        <v>4</v>
      </c>
      <c r="I133" s="88">
        <v>4</v>
      </c>
      <c r="J133" s="92">
        <v>4</v>
      </c>
      <c r="K133" s="90">
        <v>835</v>
      </c>
      <c r="L133" s="88">
        <v>0</v>
      </c>
      <c r="M133" s="89">
        <v>3</v>
      </c>
      <c r="N133" s="88">
        <v>13</v>
      </c>
      <c r="O133" s="92">
        <v>5</v>
      </c>
      <c r="P133" s="90">
        <v>850</v>
      </c>
      <c r="Q133" s="88">
        <v>0</v>
      </c>
      <c r="R133" s="89">
        <v>2</v>
      </c>
      <c r="S133" s="88">
        <v>1</v>
      </c>
      <c r="T133" s="92">
        <v>6</v>
      </c>
      <c r="U133" s="91">
        <v>855</v>
      </c>
      <c r="V133" s="88">
        <v>0</v>
      </c>
      <c r="W133" s="89">
        <v>0</v>
      </c>
      <c r="X133" s="88">
        <v>0</v>
      </c>
      <c r="Y133" s="89">
        <v>0</v>
      </c>
      <c r="Z133" s="90">
        <v>855</v>
      </c>
      <c r="AA133" s="88">
        <v>0</v>
      </c>
      <c r="AB133" s="89">
        <v>0</v>
      </c>
      <c r="AC133" s="88">
        <v>1</v>
      </c>
      <c r="AD133" s="89">
        <v>0</v>
      </c>
      <c r="AE133" s="90">
        <v>856</v>
      </c>
    </row>
    <row r="134" spans="2:31" s="62" customFormat="1" ht="15.75" customHeight="1">
      <c r="B134" s="72"/>
      <c r="C134" s="74"/>
      <c r="D134" s="74"/>
      <c r="E134" s="74"/>
      <c r="F134" s="93"/>
      <c r="G134" s="94"/>
      <c r="H134" s="95"/>
      <c r="I134" s="94"/>
      <c r="J134" s="96"/>
      <c r="K134" s="97"/>
      <c r="L134" s="94"/>
      <c r="M134" s="95"/>
      <c r="N134" s="94"/>
      <c r="O134" s="96"/>
      <c r="P134" s="97"/>
      <c r="Q134" s="94"/>
      <c r="R134" s="95"/>
      <c r="S134" s="94"/>
      <c r="T134" s="96"/>
      <c r="U134" s="98"/>
      <c r="V134" s="94"/>
      <c r="W134" s="95"/>
      <c r="X134" s="94"/>
      <c r="Y134" s="95"/>
      <c r="Z134" s="97"/>
      <c r="AA134" s="94"/>
      <c r="AB134" s="95"/>
      <c r="AC134" s="94"/>
      <c r="AD134" s="95"/>
      <c r="AE134" s="97"/>
    </row>
    <row r="135" spans="2:31" s="62" customFormat="1" ht="15.75" customHeight="1">
      <c r="B135" s="72"/>
      <c r="C135" s="74"/>
      <c r="D135" s="73" t="s">
        <v>133</v>
      </c>
      <c r="E135" s="74"/>
      <c r="F135" s="93"/>
      <c r="G135" s="94"/>
      <c r="H135" s="95"/>
      <c r="I135" s="94"/>
      <c r="J135" s="96"/>
      <c r="K135" s="97"/>
      <c r="L135" s="94"/>
      <c r="M135" s="95"/>
      <c r="N135" s="94"/>
      <c r="O135" s="96"/>
      <c r="P135" s="97"/>
      <c r="Q135" s="94"/>
      <c r="R135" s="95"/>
      <c r="S135" s="94"/>
      <c r="T135" s="96"/>
      <c r="U135" s="98"/>
      <c r="V135" s="94"/>
      <c r="W135" s="95"/>
      <c r="X135" s="94"/>
      <c r="Y135" s="95"/>
      <c r="Z135" s="97"/>
      <c r="AA135" s="94"/>
      <c r="AB135" s="95"/>
      <c r="AC135" s="94"/>
      <c r="AD135" s="95"/>
      <c r="AE135" s="97"/>
    </row>
    <row r="136" spans="2:31" s="62" customFormat="1" ht="15.75" customHeight="1">
      <c r="B136" s="72"/>
      <c r="C136" s="74"/>
      <c r="D136" s="74"/>
      <c r="E136" s="109" t="s">
        <v>179</v>
      </c>
      <c r="F136" s="87"/>
      <c r="G136" s="88">
        <v>0</v>
      </c>
      <c r="H136" s="89">
        <v>2</v>
      </c>
      <c r="I136" s="88">
        <v>0</v>
      </c>
      <c r="J136" s="92">
        <v>2</v>
      </c>
      <c r="K136" s="90">
        <v>92</v>
      </c>
      <c r="L136" s="88">
        <v>0</v>
      </c>
      <c r="M136" s="89">
        <v>0</v>
      </c>
      <c r="N136" s="88">
        <v>1</v>
      </c>
      <c r="O136" s="92">
        <v>1</v>
      </c>
      <c r="P136" s="90">
        <v>94</v>
      </c>
      <c r="Q136" s="88">
        <v>0</v>
      </c>
      <c r="R136" s="89">
        <v>3</v>
      </c>
      <c r="S136" s="88">
        <v>0</v>
      </c>
      <c r="T136" s="92">
        <v>3</v>
      </c>
      <c r="U136" s="91">
        <v>94</v>
      </c>
      <c r="V136" s="88">
        <v>0</v>
      </c>
      <c r="W136" s="89">
        <v>3</v>
      </c>
      <c r="X136" s="88">
        <v>1</v>
      </c>
      <c r="Y136" s="89">
        <v>3</v>
      </c>
      <c r="Z136" s="90">
        <v>95</v>
      </c>
      <c r="AA136" s="88">
        <v>2</v>
      </c>
      <c r="AB136" s="89">
        <v>3</v>
      </c>
      <c r="AC136" s="88">
        <v>1</v>
      </c>
      <c r="AD136" s="89">
        <v>3</v>
      </c>
      <c r="AE136" s="90">
        <v>94</v>
      </c>
    </row>
    <row r="137" spans="2:31" s="62" customFormat="1" ht="15.75" customHeight="1">
      <c r="B137" s="72"/>
      <c r="C137" s="74"/>
      <c r="D137" s="74"/>
      <c r="E137" s="109" t="s">
        <v>180</v>
      </c>
      <c r="F137" s="87"/>
      <c r="G137" s="88">
        <v>0</v>
      </c>
      <c r="H137" s="89">
        <v>3</v>
      </c>
      <c r="I137" s="88">
        <v>0</v>
      </c>
      <c r="J137" s="92">
        <v>3</v>
      </c>
      <c r="K137" s="90">
        <v>164</v>
      </c>
      <c r="L137" s="88">
        <v>1</v>
      </c>
      <c r="M137" s="89">
        <v>1</v>
      </c>
      <c r="N137" s="88">
        <v>1</v>
      </c>
      <c r="O137" s="92">
        <v>1</v>
      </c>
      <c r="P137" s="90">
        <v>164</v>
      </c>
      <c r="Q137" s="88">
        <v>1</v>
      </c>
      <c r="R137" s="89">
        <v>5</v>
      </c>
      <c r="S137" s="88">
        <v>0</v>
      </c>
      <c r="T137" s="92">
        <v>5</v>
      </c>
      <c r="U137" s="91">
        <v>163</v>
      </c>
      <c r="V137" s="88">
        <v>0</v>
      </c>
      <c r="W137" s="89">
        <v>0</v>
      </c>
      <c r="X137" s="88">
        <v>0</v>
      </c>
      <c r="Y137" s="89">
        <v>0</v>
      </c>
      <c r="Z137" s="90">
        <v>163</v>
      </c>
      <c r="AA137" s="88">
        <v>2</v>
      </c>
      <c r="AB137" s="89">
        <v>0</v>
      </c>
      <c r="AC137" s="88">
        <v>0</v>
      </c>
      <c r="AD137" s="89">
        <v>0</v>
      </c>
      <c r="AE137" s="90">
        <v>161</v>
      </c>
    </row>
    <row r="138" spans="2:31" s="62" customFormat="1" ht="15.75" customHeight="1" thickBot="1">
      <c r="B138" s="99"/>
      <c r="C138" s="100"/>
      <c r="D138" s="100"/>
      <c r="E138" s="100"/>
      <c r="F138" s="101"/>
      <c r="G138" s="102"/>
      <c r="H138" s="103"/>
      <c r="I138" s="102"/>
      <c r="J138" s="104"/>
      <c r="K138" s="105"/>
      <c r="L138" s="102"/>
      <c r="M138" s="103"/>
      <c r="N138" s="102"/>
      <c r="O138" s="104"/>
      <c r="P138" s="105"/>
      <c r="Q138" s="102"/>
      <c r="R138" s="103"/>
      <c r="S138" s="102"/>
      <c r="T138" s="104"/>
      <c r="U138" s="106">
        <v>0</v>
      </c>
      <c r="V138" s="102"/>
      <c r="W138" s="103"/>
      <c r="X138" s="102"/>
      <c r="Y138" s="103"/>
      <c r="Z138" s="105"/>
      <c r="AA138" s="102"/>
      <c r="AB138" s="103"/>
      <c r="AC138" s="102"/>
      <c r="AD138" s="103"/>
      <c r="AE138" s="105"/>
    </row>
    <row r="139" spans="2:31" s="62" customFormat="1" ht="15.75" customHeight="1">
      <c r="B139" s="107"/>
      <c r="C139" s="108" t="s">
        <v>181</v>
      </c>
      <c r="D139" s="108"/>
      <c r="E139" s="109"/>
      <c r="F139" s="93"/>
      <c r="G139" s="94"/>
      <c r="H139" s="95"/>
      <c r="I139" s="94"/>
      <c r="J139" s="96"/>
      <c r="K139" s="97"/>
      <c r="L139" s="94"/>
      <c r="M139" s="95"/>
      <c r="N139" s="94"/>
      <c r="O139" s="96"/>
      <c r="P139" s="97"/>
      <c r="Q139" s="94"/>
      <c r="R139" s="95"/>
      <c r="S139" s="94"/>
      <c r="T139" s="96"/>
      <c r="U139" s="98"/>
      <c r="V139" s="94"/>
      <c r="W139" s="95"/>
      <c r="X139" s="94"/>
      <c r="Y139" s="95"/>
      <c r="Z139" s="97"/>
      <c r="AA139" s="94"/>
      <c r="AB139" s="95"/>
      <c r="AC139" s="94"/>
      <c r="AD139" s="95"/>
      <c r="AE139" s="97"/>
    </row>
    <row r="140" spans="2:31" s="62" customFormat="1" ht="15.75" customHeight="1">
      <c r="B140" s="72"/>
      <c r="C140" s="74"/>
      <c r="D140" s="73" t="s">
        <v>182</v>
      </c>
      <c r="E140" s="74"/>
      <c r="F140" s="93"/>
      <c r="G140" s="94"/>
      <c r="H140" s="95"/>
      <c r="I140" s="94"/>
      <c r="J140" s="96"/>
      <c r="K140" s="97"/>
      <c r="L140" s="94"/>
      <c r="M140" s="95"/>
      <c r="N140" s="94"/>
      <c r="O140" s="96"/>
      <c r="P140" s="97"/>
      <c r="Q140" s="94"/>
      <c r="R140" s="95"/>
      <c r="S140" s="94"/>
      <c r="T140" s="96"/>
      <c r="U140" s="98"/>
      <c r="V140" s="94"/>
      <c r="W140" s="95"/>
      <c r="X140" s="94"/>
      <c r="Y140" s="95"/>
      <c r="Z140" s="97"/>
      <c r="AA140" s="94"/>
      <c r="AB140" s="95"/>
      <c r="AC140" s="94"/>
      <c r="AD140" s="95"/>
      <c r="AE140" s="97"/>
    </row>
    <row r="141" spans="2:31" s="62" customFormat="1" ht="15.75" customHeight="1">
      <c r="B141" s="72"/>
      <c r="C141" s="74"/>
      <c r="D141" s="74"/>
      <c r="E141" s="109" t="s">
        <v>183</v>
      </c>
      <c r="F141" s="87"/>
      <c r="G141" s="88">
        <v>0</v>
      </c>
      <c r="H141" s="89">
        <v>0</v>
      </c>
      <c r="I141" s="88">
        <v>0</v>
      </c>
      <c r="J141" s="92">
        <v>0</v>
      </c>
      <c r="K141" s="90">
        <v>0</v>
      </c>
      <c r="L141" s="88">
        <v>0</v>
      </c>
      <c r="M141" s="89">
        <v>0</v>
      </c>
      <c r="N141" s="88">
        <v>0</v>
      </c>
      <c r="O141" s="92">
        <v>0</v>
      </c>
      <c r="P141" s="90">
        <v>0</v>
      </c>
      <c r="Q141" s="88">
        <v>0</v>
      </c>
      <c r="R141" s="89">
        <v>0</v>
      </c>
      <c r="S141" s="88">
        <v>0</v>
      </c>
      <c r="T141" s="92">
        <v>0</v>
      </c>
      <c r="U141" s="91">
        <v>0</v>
      </c>
      <c r="V141" s="88">
        <v>0</v>
      </c>
      <c r="W141" s="89">
        <v>0</v>
      </c>
      <c r="X141" s="88">
        <v>0</v>
      </c>
      <c r="Y141" s="89">
        <v>0</v>
      </c>
      <c r="Z141" s="90">
        <v>0</v>
      </c>
      <c r="AA141" s="88">
        <v>0</v>
      </c>
      <c r="AB141" s="89">
        <v>0</v>
      </c>
      <c r="AC141" s="88">
        <v>0</v>
      </c>
      <c r="AD141" s="89">
        <v>0</v>
      </c>
      <c r="AE141" s="90">
        <v>0</v>
      </c>
    </row>
    <row r="142" spans="2:31" s="62" customFormat="1" ht="15.75" customHeight="1">
      <c r="B142" s="72"/>
      <c r="C142" s="74"/>
      <c r="D142" s="74"/>
      <c r="E142" s="109" t="s">
        <v>184</v>
      </c>
      <c r="F142" s="87"/>
      <c r="G142" s="88">
        <v>0</v>
      </c>
      <c r="H142" s="89">
        <v>0</v>
      </c>
      <c r="I142" s="88">
        <v>0</v>
      </c>
      <c r="J142" s="92">
        <v>0</v>
      </c>
      <c r="K142" s="90">
        <v>389</v>
      </c>
      <c r="L142" s="88">
        <v>0</v>
      </c>
      <c r="M142" s="89">
        <v>0</v>
      </c>
      <c r="N142" s="88">
        <v>0</v>
      </c>
      <c r="O142" s="92">
        <v>0</v>
      </c>
      <c r="P142" s="90">
        <v>389</v>
      </c>
      <c r="Q142" s="88">
        <v>0</v>
      </c>
      <c r="R142" s="89">
        <v>0</v>
      </c>
      <c r="S142" s="88">
        <v>0</v>
      </c>
      <c r="T142" s="92">
        <v>0</v>
      </c>
      <c r="U142" s="91">
        <v>389</v>
      </c>
      <c r="V142" s="88">
        <v>0</v>
      </c>
      <c r="W142" s="89">
        <v>0</v>
      </c>
      <c r="X142" s="88">
        <v>2</v>
      </c>
      <c r="Y142" s="89">
        <v>0</v>
      </c>
      <c r="Z142" s="90">
        <v>391</v>
      </c>
      <c r="AA142" s="88">
        <v>0</v>
      </c>
      <c r="AB142" s="89">
        <v>0</v>
      </c>
      <c r="AC142" s="88">
        <v>2</v>
      </c>
      <c r="AD142" s="89">
        <v>0</v>
      </c>
      <c r="AE142" s="90">
        <v>393</v>
      </c>
    </row>
    <row r="143" spans="2:31" s="62" customFormat="1" ht="15.75" customHeight="1">
      <c r="B143" s="72"/>
      <c r="C143" s="109"/>
      <c r="D143" s="73"/>
      <c r="E143" s="74"/>
      <c r="F143" s="93"/>
      <c r="G143" s="94"/>
      <c r="H143" s="95"/>
      <c r="I143" s="94"/>
      <c r="J143" s="96"/>
      <c r="K143" s="97"/>
      <c r="L143" s="94"/>
      <c r="M143" s="95"/>
      <c r="N143" s="94"/>
      <c r="O143" s="96"/>
      <c r="P143" s="97"/>
      <c r="Q143" s="94"/>
      <c r="R143" s="95"/>
      <c r="S143" s="94"/>
      <c r="T143" s="96"/>
      <c r="U143" s="98"/>
      <c r="V143" s="94"/>
      <c r="W143" s="95"/>
      <c r="X143" s="94"/>
      <c r="Y143" s="95"/>
      <c r="Z143" s="97"/>
      <c r="AA143" s="94"/>
      <c r="AB143" s="95"/>
      <c r="AC143" s="94"/>
      <c r="AD143" s="95"/>
      <c r="AE143" s="97"/>
    </row>
    <row r="144" spans="2:31" s="62" customFormat="1" ht="15.75" customHeight="1">
      <c r="B144" s="72"/>
      <c r="C144" s="74"/>
      <c r="D144" s="73" t="s">
        <v>185</v>
      </c>
      <c r="E144" s="74"/>
      <c r="F144" s="93"/>
      <c r="G144" s="94"/>
      <c r="H144" s="95"/>
      <c r="I144" s="94"/>
      <c r="J144" s="96"/>
      <c r="K144" s="97"/>
      <c r="L144" s="94"/>
      <c r="M144" s="95"/>
      <c r="N144" s="94"/>
      <c r="O144" s="96"/>
      <c r="P144" s="97"/>
      <c r="Q144" s="94"/>
      <c r="R144" s="95"/>
      <c r="S144" s="94"/>
      <c r="T144" s="96"/>
      <c r="U144" s="98"/>
      <c r="V144" s="94"/>
      <c r="W144" s="95"/>
      <c r="X144" s="94"/>
      <c r="Y144" s="95"/>
      <c r="Z144" s="97"/>
      <c r="AA144" s="94"/>
      <c r="AB144" s="95"/>
      <c r="AC144" s="94"/>
      <c r="AD144" s="95"/>
      <c r="AE144" s="97"/>
    </row>
    <row r="145" spans="2:31" s="62" customFormat="1" ht="15.75" customHeight="1">
      <c r="B145" s="72"/>
      <c r="C145" s="74"/>
      <c r="D145" s="74"/>
      <c r="E145" s="109" t="s">
        <v>186</v>
      </c>
      <c r="F145" s="87"/>
      <c r="G145" s="88">
        <v>0</v>
      </c>
      <c r="H145" s="89">
        <v>0</v>
      </c>
      <c r="I145" s="88">
        <v>0</v>
      </c>
      <c r="J145" s="92">
        <v>0</v>
      </c>
      <c r="K145" s="90">
        <v>1747</v>
      </c>
      <c r="L145" s="88">
        <v>0</v>
      </c>
      <c r="M145" s="89">
        <v>0</v>
      </c>
      <c r="N145" s="88">
        <v>0</v>
      </c>
      <c r="O145" s="92">
        <v>0</v>
      </c>
      <c r="P145" s="90">
        <v>1747</v>
      </c>
      <c r="Q145" s="88">
        <v>0</v>
      </c>
      <c r="R145" s="89">
        <v>0</v>
      </c>
      <c r="S145" s="88">
        <v>0</v>
      </c>
      <c r="T145" s="92">
        <v>0</v>
      </c>
      <c r="U145" s="91">
        <v>1747</v>
      </c>
      <c r="V145" s="88">
        <v>0</v>
      </c>
      <c r="W145" s="89">
        <v>0</v>
      </c>
      <c r="X145" s="88">
        <v>0</v>
      </c>
      <c r="Y145" s="89">
        <v>0</v>
      </c>
      <c r="Z145" s="90">
        <v>1747</v>
      </c>
      <c r="AA145" s="88">
        <v>0</v>
      </c>
      <c r="AB145" s="89">
        <v>0</v>
      </c>
      <c r="AC145" s="88">
        <v>0</v>
      </c>
      <c r="AD145" s="89">
        <v>0</v>
      </c>
      <c r="AE145" s="90">
        <v>1747</v>
      </c>
    </row>
    <row r="146" spans="2:31" s="62" customFormat="1" ht="15.75" customHeight="1">
      <c r="B146" s="72"/>
      <c r="C146" s="74"/>
      <c r="D146" s="74"/>
      <c r="E146" s="109" t="s">
        <v>187</v>
      </c>
      <c r="F146" s="87"/>
      <c r="G146" s="88">
        <v>0</v>
      </c>
      <c r="H146" s="89">
        <v>0</v>
      </c>
      <c r="I146" s="88">
        <v>0</v>
      </c>
      <c r="J146" s="92">
        <v>0</v>
      </c>
      <c r="K146" s="90">
        <v>155</v>
      </c>
      <c r="L146" s="88">
        <v>0</v>
      </c>
      <c r="M146" s="89">
        <v>0</v>
      </c>
      <c r="N146" s="88">
        <v>0</v>
      </c>
      <c r="O146" s="92">
        <v>0</v>
      </c>
      <c r="P146" s="90">
        <v>155</v>
      </c>
      <c r="Q146" s="88">
        <v>0</v>
      </c>
      <c r="R146" s="89">
        <v>0</v>
      </c>
      <c r="S146" s="88">
        <v>0</v>
      </c>
      <c r="T146" s="92">
        <v>0</v>
      </c>
      <c r="U146" s="91">
        <v>155</v>
      </c>
      <c r="V146" s="88">
        <v>0</v>
      </c>
      <c r="W146" s="89">
        <v>0</v>
      </c>
      <c r="X146" s="88">
        <v>0</v>
      </c>
      <c r="Y146" s="89">
        <v>0</v>
      </c>
      <c r="Z146" s="90">
        <v>155</v>
      </c>
      <c r="AA146" s="88">
        <v>0</v>
      </c>
      <c r="AB146" s="89">
        <v>0</v>
      </c>
      <c r="AC146" s="88">
        <v>0</v>
      </c>
      <c r="AD146" s="89">
        <v>0</v>
      </c>
      <c r="AE146" s="90">
        <v>155</v>
      </c>
    </row>
    <row r="147" spans="2:31" s="62" customFormat="1" ht="15.75" customHeight="1" thickBot="1">
      <c r="B147" s="99"/>
      <c r="C147" s="100"/>
      <c r="D147" s="100"/>
      <c r="E147" s="100"/>
      <c r="F147" s="101"/>
      <c r="G147" s="102"/>
      <c r="H147" s="103"/>
      <c r="I147" s="102"/>
      <c r="J147" s="104"/>
      <c r="K147" s="105"/>
      <c r="L147" s="102"/>
      <c r="M147" s="103"/>
      <c r="N147" s="102"/>
      <c r="O147" s="104"/>
      <c r="P147" s="105"/>
      <c r="Q147" s="102"/>
      <c r="R147" s="103"/>
      <c r="S147" s="102"/>
      <c r="T147" s="104"/>
      <c r="U147" s="116"/>
      <c r="V147" s="102"/>
      <c r="W147" s="103"/>
      <c r="X147" s="102"/>
      <c r="Y147" s="103"/>
      <c r="Z147" s="105"/>
      <c r="AA147" s="102"/>
      <c r="AB147" s="103"/>
      <c r="AC147" s="102"/>
      <c r="AD147" s="103"/>
      <c r="AE147" s="105"/>
    </row>
  </sheetData>
  <mergeCells count="17">
    <mergeCell ref="B7:E9"/>
    <mergeCell ref="F7:F9"/>
    <mergeCell ref="G7:K7"/>
    <mergeCell ref="L7:P7"/>
    <mergeCell ref="Q7:U7"/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V7:Z7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2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5FFFF"/>
    <pageSetUpPr fitToPage="1"/>
  </sheetPr>
  <dimension ref="A1:T144"/>
  <sheetViews>
    <sheetView workbookViewId="0">
      <selection sqref="A1:XFD1048576"/>
    </sheetView>
  </sheetViews>
  <sheetFormatPr defaultColWidth="8.85546875" defaultRowHeight="12.75"/>
  <cols>
    <col min="1" max="1" width="8.85546875" style="62" customWidth="1"/>
    <col min="2" max="2" width="41.140625" style="62" customWidth="1"/>
    <col min="3" max="14" width="8.85546875" style="62"/>
    <col min="15" max="17" width="10.5703125" style="62" customWidth="1"/>
    <col min="18" max="18" width="8.85546875" style="62"/>
    <col min="19" max="20" width="10.42578125" style="62" customWidth="1"/>
    <col min="21" max="16384" width="8.85546875" style="62"/>
  </cols>
  <sheetData>
    <row r="1" spans="1:20" ht="15">
      <c r="A1" s="117" t="s">
        <v>74</v>
      </c>
      <c r="F1" s="118" t="s">
        <v>984</v>
      </c>
    </row>
    <row r="3" spans="1:20" s="119" customFormat="1" ht="15">
      <c r="A3" s="117" t="s">
        <v>188</v>
      </c>
    </row>
    <row r="4" spans="1:20" s="119" customFormat="1" ht="14.25"/>
    <row r="5" spans="1:20" s="119" customFormat="1" ht="14.25"/>
    <row r="6" spans="1:20" s="119" customFormat="1" ht="15">
      <c r="A6" s="120"/>
      <c r="B6" s="121" t="s">
        <v>189</v>
      </c>
      <c r="C6" s="122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3"/>
      <c r="S6" s="120"/>
      <c r="T6" s="120"/>
    </row>
    <row r="7" spans="1:20" s="119" customFormat="1" ht="15" thickBot="1">
      <c r="A7" s="120"/>
      <c r="B7" s="120"/>
      <c r="C7" s="122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3"/>
      <c r="S7" s="120"/>
      <c r="T7" s="120"/>
    </row>
    <row r="8" spans="1:20" s="119" customFormat="1" ht="15">
      <c r="A8" s="120"/>
      <c r="B8" s="1459"/>
      <c r="C8" s="1461" t="s">
        <v>190</v>
      </c>
      <c r="D8" s="124" t="s">
        <v>191</v>
      </c>
      <c r="E8" s="125"/>
      <c r="F8" s="125"/>
      <c r="G8" s="125"/>
      <c r="H8" s="126"/>
      <c r="I8" s="125" t="s">
        <v>192</v>
      </c>
      <c r="J8" s="127"/>
      <c r="K8" s="127"/>
      <c r="L8" s="127"/>
      <c r="M8" s="126"/>
      <c r="N8" s="120"/>
      <c r="O8" s="128" t="s">
        <v>191</v>
      </c>
      <c r="P8" s="129"/>
      <c r="Q8" s="130"/>
      <c r="R8" s="123"/>
      <c r="S8" s="128" t="s">
        <v>192</v>
      </c>
      <c r="T8" s="130"/>
    </row>
    <row r="9" spans="1:20" s="119" customFormat="1" ht="30">
      <c r="A9" s="120"/>
      <c r="B9" s="1460"/>
      <c r="C9" s="1462"/>
      <c r="D9" s="131" t="s">
        <v>79</v>
      </c>
      <c r="E9" s="132" t="s">
        <v>80</v>
      </c>
      <c r="F9" s="132" t="s">
        <v>81</v>
      </c>
      <c r="G9" s="132" t="s">
        <v>82</v>
      </c>
      <c r="H9" s="133" t="s">
        <v>44</v>
      </c>
      <c r="I9" s="134" t="s">
        <v>193</v>
      </c>
      <c r="J9" s="132" t="s">
        <v>194</v>
      </c>
      <c r="K9" s="132" t="s">
        <v>195</v>
      </c>
      <c r="L9" s="132" t="s">
        <v>196</v>
      </c>
      <c r="M9" s="133" t="s">
        <v>197</v>
      </c>
      <c r="N9" s="120"/>
      <c r="O9" s="135" t="s">
        <v>198</v>
      </c>
      <c r="P9" s="136" t="s">
        <v>199</v>
      </c>
      <c r="Q9" s="137" t="s">
        <v>200</v>
      </c>
      <c r="R9" s="123"/>
      <c r="S9" s="135" t="s">
        <v>199</v>
      </c>
      <c r="T9" s="137" t="s">
        <v>201</v>
      </c>
    </row>
    <row r="10" spans="1:20" s="119" customFormat="1" ht="14.25">
      <c r="A10" s="120"/>
      <c r="B10" s="138" t="s">
        <v>202</v>
      </c>
      <c r="C10" s="139" t="s">
        <v>203</v>
      </c>
      <c r="D10" s="140">
        <v>22.799999999999997</v>
      </c>
      <c r="E10" s="141">
        <v>21.8</v>
      </c>
      <c r="F10" s="141">
        <v>23.500000000000004</v>
      </c>
      <c r="G10" s="141">
        <v>24.400000000000002</v>
      </c>
      <c r="H10" s="142">
        <v>24.3</v>
      </c>
      <c r="I10" s="141">
        <v>19.2</v>
      </c>
      <c r="J10" s="143">
        <v>19.7</v>
      </c>
      <c r="K10" s="143">
        <v>19.100000000000001</v>
      </c>
      <c r="L10" s="143">
        <v>19.100000000000001</v>
      </c>
      <c r="M10" s="142">
        <v>19.100000000000001</v>
      </c>
      <c r="N10" s="144"/>
      <c r="O10" s="145">
        <v>68.099999999999994</v>
      </c>
      <c r="P10" s="146">
        <v>48.7</v>
      </c>
      <c r="Q10" s="147">
        <v>116.8</v>
      </c>
      <c r="R10" s="148"/>
      <c r="S10" s="145">
        <v>96.199999999999989</v>
      </c>
      <c r="T10" s="149">
        <v>-0.1763698630136987</v>
      </c>
    </row>
    <row r="11" spans="1:20" s="119" customFormat="1" ht="14.25">
      <c r="A11" s="120"/>
      <c r="B11" s="138" t="s">
        <v>204</v>
      </c>
      <c r="C11" s="139" t="s">
        <v>203</v>
      </c>
      <c r="D11" s="150">
        <v>20.099999999999998</v>
      </c>
      <c r="E11" s="151">
        <v>21.000000000000004</v>
      </c>
      <c r="F11" s="151">
        <v>21.000000000000004</v>
      </c>
      <c r="G11" s="151">
        <v>21.8</v>
      </c>
      <c r="H11" s="152">
        <v>20.400000000000002</v>
      </c>
      <c r="I11" s="151">
        <v>17.900000000000002</v>
      </c>
      <c r="J11" s="153">
        <v>18.399999999999999</v>
      </c>
      <c r="K11" s="153">
        <v>17.899999999999999</v>
      </c>
      <c r="L11" s="153">
        <v>17.899999999999999</v>
      </c>
      <c r="M11" s="152">
        <v>17.899999999999999</v>
      </c>
      <c r="N11" s="144"/>
      <c r="O11" s="145">
        <v>62.100000000000009</v>
      </c>
      <c r="P11" s="146">
        <v>42.2</v>
      </c>
      <c r="Q11" s="147">
        <v>104.30000000000001</v>
      </c>
      <c r="R11" s="148"/>
      <c r="S11" s="145">
        <v>90</v>
      </c>
      <c r="T11" s="149">
        <v>-0.13710450623202311</v>
      </c>
    </row>
    <row r="12" spans="1:20" s="119" customFormat="1" ht="28.5">
      <c r="A12" s="120"/>
      <c r="B12" s="154" t="s">
        <v>205</v>
      </c>
      <c r="C12" s="139" t="s">
        <v>203</v>
      </c>
      <c r="D12" s="155">
        <v>2.6999999999999993</v>
      </c>
      <c r="E12" s="156">
        <v>0.79999999999999716</v>
      </c>
      <c r="F12" s="156">
        <v>2.5</v>
      </c>
      <c r="G12" s="156">
        <v>2.6000000000000014</v>
      </c>
      <c r="H12" s="157">
        <v>3.8999999999999986</v>
      </c>
      <c r="I12" s="158">
        <v>1.2999999999999972</v>
      </c>
      <c r="J12" s="156">
        <v>1.3000000000000007</v>
      </c>
      <c r="K12" s="156">
        <v>1.2000000000000028</v>
      </c>
      <c r="L12" s="156">
        <v>1.2000000000000028</v>
      </c>
      <c r="M12" s="157">
        <v>1.2000000000000028</v>
      </c>
      <c r="N12" s="144"/>
      <c r="O12" s="145">
        <v>5.9999999999999964</v>
      </c>
      <c r="P12" s="146">
        <v>6.5</v>
      </c>
      <c r="Q12" s="147">
        <v>12.499999999999996</v>
      </c>
      <c r="R12" s="148"/>
      <c r="S12" s="145">
        <v>6.2000000000000064</v>
      </c>
      <c r="T12" s="149">
        <v>-0.50399999999999934</v>
      </c>
    </row>
    <row r="13" spans="1:20" s="119" customFormat="1" ht="14.25">
      <c r="A13" s="120"/>
      <c r="B13" s="138" t="s">
        <v>206</v>
      </c>
      <c r="C13" s="139" t="s">
        <v>203</v>
      </c>
      <c r="D13" s="150">
        <v>1.3</v>
      </c>
      <c r="E13" s="151">
        <v>2.9</v>
      </c>
      <c r="F13" s="151">
        <v>6.8</v>
      </c>
      <c r="G13" s="151">
        <v>8.3000000000000007</v>
      </c>
      <c r="H13" s="152">
        <v>7.8</v>
      </c>
      <c r="I13" s="151">
        <v>6.8</v>
      </c>
      <c r="J13" s="153">
        <v>7</v>
      </c>
      <c r="K13" s="153">
        <v>6.8</v>
      </c>
      <c r="L13" s="153">
        <v>6.8</v>
      </c>
      <c r="M13" s="152">
        <v>6.8</v>
      </c>
      <c r="N13" s="144"/>
      <c r="O13" s="145">
        <v>11</v>
      </c>
      <c r="P13" s="146">
        <v>16.100000000000001</v>
      </c>
      <c r="Q13" s="147">
        <v>27.1</v>
      </c>
      <c r="R13" s="148"/>
      <c r="S13" s="145">
        <v>34.200000000000003</v>
      </c>
      <c r="T13" s="149">
        <v>0.26199261992619932</v>
      </c>
    </row>
    <row r="14" spans="1:20" s="119" customFormat="1" ht="29.25" thickBot="1">
      <c r="A14" s="120"/>
      <c r="B14" s="159" t="s">
        <v>207</v>
      </c>
      <c r="C14" s="160" t="s">
        <v>203</v>
      </c>
      <c r="D14" s="161">
        <v>1.3999999999999992</v>
      </c>
      <c r="E14" s="162">
        <v>-2.1000000000000028</v>
      </c>
      <c r="F14" s="162">
        <v>-4.3</v>
      </c>
      <c r="G14" s="162">
        <v>-5.6999999999999993</v>
      </c>
      <c r="H14" s="163">
        <v>-3.9000000000000012</v>
      </c>
      <c r="I14" s="164">
        <v>-5.5000000000000027</v>
      </c>
      <c r="J14" s="162">
        <v>-5.6999999999999993</v>
      </c>
      <c r="K14" s="162">
        <v>-5.599999999999997</v>
      </c>
      <c r="L14" s="162">
        <v>-5.599999999999997</v>
      </c>
      <c r="M14" s="163">
        <v>-5.599999999999997</v>
      </c>
      <c r="N14" s="144"/>
      <c r="O14" s="165">
        <v>-5.0000000000000036</v>
      </c>
      <c r="P14" s="166">
        <v>-9.6000000000000014</v>
      </c>
      <c r="Q14" s="167">
        <v>-14.600000000000005</v>
      </c>
      <c r="R14" s="148"/>
      <c r="S14" s="165">
        <v>-27.999999999999996</v>
      </c>
      <c r="T14" s="168">
        <v>0.91780821917808131</v>
      </c>
    </row>
    <row r="15" spans="1:20" s="119" customFormat="1" ht="14.25">
      <c r="A15" s="120"/>
      <c r="B15" s="120"/>
      <c r="C15" s="122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8"/>
      <c r="S15" s="144"/>
      <c r="T15" s="144"/>
    </row>
    <row r="16" spans="1:20" s="119" customFormat="1" ht="15">
      <c r="A16" s="120"/>
      <c r="B16" s="121" t="s">
        <v>208</v>
      </c>
      <c r="C16" s="122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44"/>
      <c r="P16" s="144"/>
      <c r="Q16" s="144"/>
      <c r="R16" s="148"/>
      <c r="S16" s="169"/>
      <c r="T16" s="169"/>
    </row>
    <row r="17" spans="1:20" s="119" customFormat="1" ht="15.75" thickBot="1">
      <c r="A17" s="120"/>
      <c r="B17" s="121"/>
      <c r="C17" s="122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48"/>
      <c r="O17" s="148"/>
      <c r="P17" s="148"/>
      <c r="Q17" s="148"/>
      <c r="R17" s="148"/>
      <c r="S17" s="148"/>
      <c r="T17" s="148"/>
    </row>
    <row r="18" spans="1:20" s="119" customFormat="1" ht="14.25">
      <c r="A18" s="120"/>
      <c r="B18" s="1459"/>
      <c r="C18" s="1461" t="s">
        <v>190</v>
      </c>
      <c r="D18" s="170" t="s">
        <v>191</v>
      </c>
      <c r="E18" s="171"/>
      <c r="F18" s="171"/>
      <c r="G18" s="171"/>
      <c r="H18" s="172"/>
      <c r="I18" s="171" t="s">
        <v>192</v>
      </c>
      <c r="J18" s="173"/>
      <c r="K18" s="173"/>
      <c r="L18" s="173"/>
      <c r="M18" s="172"/>
      <c r="N18" s="148"/>
      <c r="O18" s="148"/>
      <c r="P18" s="148"/>
      <c r="Q18" s="148"/>
      <c r="R18" s="148"/>
      <c r="S18" s="148"/>
      <c r="T18" s="148"/>
    </row>
    <row r="19" spans="1:20" s="119" customFormat="1" ht="14.25">
      <c r="A19" s="120"/>
      <c r="B19" s="1460"/>
      <c r="C19" s="1462"/>
      <c r="D19" s="174" t="s">
        <v>79</v>
      </c>
      <c r="E19" s="175" t="s">
        <v>80</v>
      </c>
      <c r="F19" s="175" t="s">
        <v>81</v>
      </c>
      <c r="G19" s="175" t="s">
        <v>82</v>
      </c>
      <c r="H19" s="176" t="s">
        <v>44</v>
      </c>
      <c r="I19" s="177" t="s">
        <v>193</v>
      </c>
      <c r="J19" s="175" t="s">
        <v>194</v>
      </c>
      <c r="K19" s="175" t="s">
        <v>195</v>
      </c>
      <c r="L19" s="175" t="s">
        <v>196</v>
      </c>
      <c r="M19" s="176" t="s">
        <v>197</v>
      </c>
      <c r="N19" s="148"/>
      <c r="O19" s="148"/>
      <c r="P19" s="148"/>
      <c r="Q19" s="148"/>
      <c r="R19" s="148"/>
      <c r="S19" s="148"/>
      <c r="T19" s="148"/>
    </row>
    <row r="20" spans="1:20" s="119" customFormat="1" ht="15">
      <c r="A20" s="120"/>
      <c r="B20" s="178"/>
      <c r="C20" s="179"/>
      <c r="D20" s="180"/>
      <c r="E20" s="181"/>
      <c r="F20" s="181"/>
      <c r="G20" s="181"/>
      <c r="H20" s="182"/>
      <c r="I20" s="181"/>
      <c r="J20" s="181"/>
      <c r="K20" s="181"/>
      <c r="L20" s="181"/>
      <c r="M20" s="182"/>
      <c r="N20" s="148"/>
      <c r="O20" s="148"/>
      <c r="P20" s="148"/>
      <c r="Q20" s="148"/>
      <c r="R20" s="148"/>
      <c r="S20" s="148"/>
      <c r="T20" s="148"/>
    </row>
    <row r="21" spans="1:20" s="119" customFormat="1" ht="15">
      <c r="A21" s="120"/>
      <c r="B21" s="183" t="s">
        <v>209</v>
      </c>
      <c r="C21" s="139" t="s">
        <v>210</v>
      </c>
      <c r="D21" s="184">
        <v>2966.4767496999998</v>
      </c>
      <c r="E21" s="151">
        <v>2806.9</v>
      </c>
      <c r="F21" s="151">
        <v>2953.3786</v>
      </c>
      <c r="G21" s="151">
        <v>2953.3786</v>
      </c>
      <c r="H21" s="152">
        <v>2953.3786</v>
      </c>
      <c r="I21" s="151">
        <v>2982.912386</v>
      </c>
      <c r="J21" s="153">
        <v>3012.74150986</v>
      </c>
      <c r="K21" s="153">
        <v>3042.8689249586</v>
      </c>
      <c r="L21" s="153">
        <v>3073.2976142081861</v>
      </c>
      <c r="M21" s="152">
        <v>3104.0305903502681</v>
      </c>
      <c r="N21" s="148"/>
      <c r="O21" s="148"/>
      <c r="P21" s="148"/>
      <c r="Q21" s="148"/>
      <c r="R21" s="148"/>
      <c r="S21" s="148"/>
      <c r="T21" s="148"/>
    </row>
    <row r="22" spans="1:20" s="119" customFormat="1" ht="15">
      <c r="A22" s="120"/>
      <c r="B22" s="183" t="s">
        <v>985</v>
      </c>
      <c r="C22" s="139" t="s">
        <v>210</v>
      </c>
      <c r="D22" s="150">
        <v>23.979400000000002</v>
      </c>
      <c r="E22" s="151">
        <v>-159.57674969999971</v>
      </c>
      <c r="F22" s="151">
        <v>146.47859999999991</v>
      </c>
      <c r="G22" s="151">
        <v>0</v>
      </c>
      <c r="H22" s="152">
        <v>0</v>
      </c>
      <c r="I22" s="151">
        <v>29.533785999999964</v>
      </c>
      <c r="J22" s="153">
        <v>29.829123859999982</v>
      </c>
      <c r="K22" s="153">
        <v>30.127415098600068</v>
      </c>
      <c r="L22" s="153">
        <v>30.428689249586114</v>
      </c>
      <c r="M22" s="152">
        <v>30.732976142081952</v>
      </c>
      <c r="N22" s="148"/>
      <c r="O22" s="148"/>
      <c r="P22" s="148"/>
      <c r="Q22" s="148"/>
      <c r="R22" s="148"/>
      <c r="S22" s="148"/>
      <c r="T22" s="148"/>
    </row>
    <row r="23" spans="1:20" s="119" customFormat="1" ht="28.5">
      <c r="A23" s="120"/>
      <c r="B23" s="185" t="s">
        <v>211</v>
      </c>
      <c r="C23" s="139" t="s">
        <v>210</v>
      </c>
      <c r="D23" s="186">
        <v>23.979400000000002</v>
      </c>
      <c r="E23" s="187">
        <v>24.980699999999999</v>
      </c>
      <c r="F23" s="187">
        <v>29.430300000000003</v>
      </c>
      <c r="G23" s="187">
        <v>23.259999999999998</v>
      </c>
      <c r="H23" s="188">
        <v>22.93</v>
      </c>
      <c r="I23" s="187">
        <v>24.200000000000003</v>
      </c>
      <c r="J23" s="189">
        <v>26.05</v>
      </c>
      <c r="K23" s="189">
        <v>26.05</v>
      </c>
      <c r="L23" s="189">
        <v>26.05</v>
      </c>
      <c r="M23" s="188">
        <v>26.05</v>
      </c>
      <c r="N23" s="148"/>
      <c r="O23" s="148"/>
      <c r="P23" s="148"/>
      <c r="Q23" s="148"/>
      <c r="R23" s="148"/>
      <c r="S23" s="148"/>
      <c r="T23" s="148"/>
    </row>
    <row r="24" spans="1:20" s="119" customFormat="1" ht="28.5">
      <c r="A24" s="120"/>
      <c r="B24" s="185" t="s">
        <v>212</v>
      </c>
      <c r="C24" s="139" t="s">
        <v>210</v>
      </c>
      <c r="D24" s="186">
        <v>0</v>
      </c>
      <c r="E24" s="187">
        <v>-1.6116000000000001</v>
      </c>
      <c r="F24" s="187">
        <v>-2.1644000000000001</v>
      </c>
      <c r="G24" s="187">
        <v>-1.605</v>
      </c>
      <c r="H24" s="188">
        <v>-1.55</v>
      </c>
      <c r="I24" s="187">
        <v>-2.105</v>
      </c>
      <c r="J24" s="189">
        <v>-2.6379999999999999</v>
      </c>
      <c r="K24" s="189">
        <v>-2.6379999999999999</v>
      </c>
      <c r="L24" s="189">
        <v>-2.6379999999999999</v>
      </c>
      <c r="M24" s="188">
        <v>-2.6379999999999999</v>
      </c>
      <c r="N24" s="148"/>
      <c r="O24" s="148"/>
      <c r="P24" s="148"/>
      <c r="Q24" s="148"/>
      <c r="R24" s="148"/>
      <c r="S24" s="148"/>
      <c r="T24" s="148"/>
    </row>
    <row r="25" spans="1:20" s="119" customFormat="1" ht="28.5">
      <c r="A25" s="120"/>
      <c r="B25" s="185" t="s">
        <v>213</v>
      </c>
      <c r="C25" s="139" t="s">
        <v>210</v>
      </c>
      <c r="D25" s="186">
        <v>0</v>
      </c>
      <c r="E25" s="187">
        <v>-182.94584969999971</v>
      </c>
      <c r="F25" s="187">
        <v>119.21269999999991</v>
      </c>
      <c r="G25" s="187">
        <v>-21.654999999999998</v>
      </c>
      <c r="H25" s="188">
        <v>-21.38</v>
      </c>
      <c r="I25" s="187">
        <v>7.4387859999999613</v>
      </c>
      <c r="J25" s="189">
        <v>6.4171238599999807</v>
      </c>
      <c r="K25" s="189">
        <v>6.7154150986000669</v>
      </c>
      <c r="L25" s="189">
        <v>7.0166892495861131</v>
      </c>
      <c r="M25" s="188">
        <v>7.3209761420819515</v>
      </c>
      <c r="N25" s="148"/>
      <c r="O25" s="148"/>
      <c r="P25" s="148"/>
      <c r="Q25" s="148"/>
      <c r="R25" s="148"/>
      <c r="S25" s="148"/>
      <c r="T25" s="148"/>
    </row>
    <row r="26" spans="1:20" s="119" customFormat="1" ht="15">
      <c r="A26" s="120"/>
      <c r="B26" s="178"/>
      <c r="C26" s="190"/>
      <c r="D26" s="191"/>
      <c r="E26" s="192"/>
      <c r="F26" s="192"/>
      <c r="G26" s="192"/>
      <c r="H26" s="193"/>
      <c r="I26" s="192"/>
      <c r="J26" s="192"/>
      <c r="K26" s="192"/>
      <c r="L26" s="192"/>
      <c r="M26" s="193"/>
      <c r="N26" s="148"/>
      <c r="O26" s="148"/>
      <c r="P26" s="148"/>
      <c r="Q26" s="148"/>
      <c r="R26" s="148"/>
      <c r="S26" s="148"/>
      <c r="T26" s="148"/>
    </row>
    <row r="27" spans="1:20" s="119" customFormat="1" ht="15">
      <c r="A27" s="120"/>
      <c r="B27" s="183" t="s">
        <v>214</v>
      </c>
      <c r="C27" s="139" t="s">
        <v>215</v>
      </c>
      <c r="D27" s="184">
        <v>16024.586069700001</v>
      </c>
      <c r="E27" s="151">
        <v>15403.975752400002</v>
      </c>
      <c r="F27" s="151">
        <v>15215.522065790004</v>
      </c>
      <c r="G27" s="151">
        <v>15009.522065790004</v>
      </c>
      <c r="H27" s="152">
        <v>14995.122065790005</v>
      </c>
      <c r="I27" s="151">
        <v>15145.0735256425</v>
      </c>
      <c r="J27" s="153">
        <v>15296.524500093521</v>
      </c>
      <c r="K27" s="153">
        <v>15449.489984289054</v>
      </c>
      <c r="L27" s="153">
        <v>15603.985123326542</v>
      </c>
      <c r="M27" s="152">
        <v>15760.025213754405</v>
      </c>
      <c r="N27" s="148"/>
      <c r="O27" s="148"/>
      <c r="P27" s="148"/>
      <c r="Q27" s="148"/>
      <c r="R27" s="148"/>
      <c r="S27" s="148"/>
      <c r="T27" s="148"/>
    </row>
    <row r="28" spans="1:20" s="119" customFormat="1" ht="30">
      <c r="A28" s="120"/>
      <c r="B28" s="194" t="s">
        <v>986</v>
      </c>
      <c r="C28" s="139" t="s">
        <v>215</v>
      </c>
      <c r="D28" s="150">
        <v>372.47199999999998</v>
      </c>
      <c r="E28" s="151">
        <v>-620.61031729999922</v>
      </c>
      <c r="F28" s="151">
        <v>-188.45368660999702</v>
      </c>
      <c r="G28" s="151">
        <v>-206</v>
      </c>
      <c r="H28" s="152">
        <v>-14.400000000000006</v>
      </c>
      <c r="I28" s="151">
        <v>149.95145985249474</v>
      </c>
      <c r="J28" s="153">
        <v>151.45097445102147</v>
      </c>
      <c r="K28" s="153">
        <v>152.96548419553255</v>
      </c>
      <c r="L28" s="153">
        <v>154.49513903748812</v>
      </c>
      <c r="M28" s="152">
        <v>156.04009042786311</v>
      </c>
      <c r="N28" s="148"/>
      <c r="O28" s="148"/>
      <c r="P28" s="148"/>
      <c r="Q28" s="148"/>
      <c r="R28" s="148"/>
      <c r="S28" s="148"/>
      <c r="T28" s="148"/>
    </row>
    <row r="29" spans="1:20" s="119" customFormat="1" ht="28.5">
      <c r="A29" s="120"/>
      <c r="B29" s="195" t="s">
        <v>216</v>
      </c>
      <c r="C29" s="139" t="s">
        <v>215</v>
      </c>
      <c r="D29" s="186">
        <v>372.47199999999998</v>
      </c>
      <c r="E29" s="187">
        <v>-620.61031729999922</v>
      </c>
      <c r="F29" s="187">
        <v>-188.45368660999702</v>
      </c>
      <c r="G29" s="187">
        <v>-53.8</v>
      </c>
      <c r="H29" s="188">
        <v>135.69999999999999</v>
      </c>
      <c r="I29" s="187">
        <v>149.95145985249474</v>
      </c>
      <c r="J29" s="189">
        <v>151.45097445102147</v>
      </c>
      <c r="K29" s="189">
        <v>152.96548419553255</v>
      </c>
      <c r="L29" s="189">
        <v>154.49513903748812</v>
      </c>
      <c r="M29" s="188">
        <v>156.04009042786311</v>
      </c>
      <c r="N29" s="148"/>
      <c r="O29" s="148"/>
      <c r="P29" s="148"/>
      <c r="Q29" s="148"/>
      <c r="R29" s="148"/>
      <c r="S29" s="148"/>
      <c r="T29" s="148"/>
    </row>
    <row r="30" spans="1:20" s="119" customFormat="1" ht="28.5">
      <c r="A30" s="120"/>
      <c r="B30" s="195" t="s">
        <v>217</v>
      </c>
      <c r="C30" s="139" t="s">
        <v>215</v>
      </c>
      <c r="D30" s="186">
        <v>0</v>
      </c>
      <c r="E30" s="187">
        <v>0</v>
      </c>
      <c r="F30" s="187">
        <v>0</v>
      </c>
      <c r="G30" s="187">
        <v>0</v>
      </c>
      <c r="H30" s="188">
        <v>0</v>
      </c>
      <c r="I30" s="187">
        <v>0</v>
      </c>
      <c r="J30" s="189">
        <v>0</v>
      </c>
      <c r="K30" s="189">
        <v>0</v>
      </c>
      <c r="L30" s="189">
        <v>0</v>
      </c>
      <c r="M30" s="188">
        <v>0</v>
      </c>
      <c r="N30" s="148"/>
      <c r="O30" s="148"/>
      <c r="P30" s="148"/>
      <c r="Q30" s="148"/>
      <c r="R30" s="148"/>
      <c r="S30" s="148"/>
      <c r="T30" s="148"/>
    </row>
    <row r="31" spans="1:20" s="119" customFormat="1" ht="14.25">
      <c r="A31" s="120"/>
      <c r="B31" s="195" t="s">
        <v>218</v>
      </c>
      <c r="C31" s="139" t="s">
        <v>215</v>
      </c>
      <c r="D31" s="186">
        <v>0</v>
      </c>
      <c r="E31" s="187">
        <v>0</v>
      </c>
      <c r="F31" s="187">
        <v>0</v>
      </c>
      <c r="G31" s="187">
        <v>0</v>
      </c>
      <c r="H31" s="188">
        <v>0</v>
      </c>
      <c r="I31" s="187">
        <v>0</v>
      </c>
      <c r="J31" s="189">
        <v>0</v>
      </c>
      <c r="K31" s="189">
        <v>0</v>
      </c>
      <c r="L31" s="189">
        <v>0</v>
      </c>
      <c r="M31" s="188">
        <v>0</v>
      </c>
      <c r="N31" s="148"/>
      <c r="O31" s="148"/>
      <c r="P31" s="148"/>
      <c r="Q31" s="148"/>
      <c r="R31" s="148"/>
      <c r="S31" s="148"/>
      <c r="T31" s="148"/>
    </row>
    <row r="32" spans="1:20" s="119" customFormat="1" ht="14.25">
      <c r="A32" s="120"/>
      <c r="B32" s="195" t="s">
        <v>219</v>
      </c>
      <c r="C32" s="139" t="s">
        <v>215</v>
      </c>
      <c r="D32" s="186">
        <v>0</v>
      </c>
      <c r="E32" s="187">
        <v>0</v>
      </c>
      <c r="F32" s="187">
        <v>0</v>
      </c>
      <c r="G32" s="187">
        <v>0</v>
      </c>
      <c r="H32" s="188">
        <v>0</v>
      </c>
      <c r="I32" s="187">
        <v>0</v>
      </c>
      <c r="J32" s="189">
        <v>0</v>
      </c>
      <c r="K32" s="189">
        <v>0</v>
      </c>
      <c r="L32" s="189">
        <v>0</v>
      </c>
      <c r="M32" s="188">
        <v>0</v>
      </c>
      <c r="N32" s="148"/>
      <c r="O32" s="148"/>
      <c r="P32" s="148"/>
      <c r="Q32" s="148"/>
      <c r="R32" s="148"/>
      <c r="S32" s="148"/>
      <c r="T32" s="148"/>
    </row>
    <row r="33" spans="1:20" s="119" customFormat="1" ht="14.25">
      <c r="A33" s="120"/>
      <c r="B33" s="195" t="s">
        <v>220</v>
      </c>
      <c r="C33" s="139" t="s">
        <v>215</v>
      </c>
      <c r="D33" s="186">
        <v>0</v>
      </c>
      <c r="E33" s="187">
        <v>0</v>
      </c>
      <c r="F33" s="187">
        <v>0</v>
      </c>
      <c r="G33" s="187">
        <v>0</v>
      </c>
      <c r="H33" s="188">
        <v>0</v>
      </c>
      <c r="I33" s="187">
        <v>0</v>
      </c>
      <c r="J33" s="189">
        <v>0</v>
      </c>
      <c r="K33" s="189">
        <v>0</v>
      </c>
      <c r="L33" s="189">
        <v>0</v>
      </c>
      <c r="M33" s="188">
        <v>0</v>
      </c>
      <c r="N33" s="148"/>
      <c r="O33" s="148"/>
      <c r="P33" s="148"/>
      <c r="Q33" s="148"/>
      <c r="R33" s="148"/>
      <c r="S33" s="148"/>
      <c r="T33" s="148"/>
    </row>
    <row r="34" spans="1:20" s="119" customFormat="1" ht="28.5">
      <c r="A34" s="120"/>
      <c r="B34" s="195" t="s">
        <v>221</v>
      </c>
      <c r="C34" s="139" t="s">
        <v>215</v>
      </c>
      <c r="D34" s="186">
        <v>0</v>
      </c>
      <c r="E34" s="187">
        <v>0</v>
      </c>
      <c r="F34" s="187">
        <v>0</v>
      </c>
      <c r="G34" s="187">
        <v>-152.19999999999999</v>
      </c>
      <c r="H34" s="188">
        <v>-150.1</v>
      </c>
      <c r="I34" s="187">
        <v>0</v>
      </c>
      <c r="J34" s="189">
        <v>0</v>
      </c>
      <c r="K34" s="189">
        <v>0</v>
      </c>
      <c r="L34" s="189">
        <v>0</v>
      </c>
      <c r="M34" s="188">
        <v>0</v>
      </c>
      <c r="N34" s="148"/>
      <c r="O34" s="148"/>
      <c r="P34" s="148"/>
      <c r="Q34" s="148"/>
      <c r="R34" s="148"/>
      <c r="S34" s="148"/>
      <c r="T34" s="148"/>
    </row>
    <row r="35" spans="1:20" s="119" customFormat="1" ht="15">
      <c r="A35" s="120"/>
      <c r="B35" s="178"/>
      <c r="C35" s="190"/>
      <c r="D35" s="196"/>
      <c r="E35" s="197"/>
      <c r="F35" s="197"/>
      <c r="G35" s="197"/>
      <c r="H35" s="198"/>
      <c r="I35" s="197"/>
      <c r="J35" s="197"/>
      <c r="K35" s="197"/>
      <c r="L35" s="197"/>
      <c r="M35" s="198"/>
      <c r="N35" s="148"/>
      <c r="O35" s="148"/>
      <c r="P35" s="148"/>
      <c r="Q35" s="148"/>
      <c r="R35" s="148"/>
      <c r="S35" s="148"/>
      <c r="T35" s="148"/>
    </row>
    <row r="36" spans="1:20" s="119" customFormat="1" ht="15">
      <c r="A36" s="120"/>
      <c r="B36" s="183" t="s">
        <v>214</v>
      </c>
      <c r="C36" s="139"/>
      <c r="D36" s="199"/>
      <c r="E36" s="200"/>
      <c r="F36" s="200"/>
      <c r="G36" s="200"/>
      <c r="H36" s="201"/>
      <c r="I36" s="200"/>
      <c r="J36" s="200"/>
      <c r="K36" s="200"/>
      <c r="L36" s="200"/>
      <c r="M36" s="201"/>
      <c r="N36" s="148"/>
      <c r="O36" s="148"/>
      <c r="P36" s="148"/>
      <c r="Q36" s="148"/>
      <c r="R36" s="148"/>
      <c r="S36" s="148"/>
      <c r="T36" s="148"/>
    </row>
    <row r="37" spans="1:20" s="119" customFormat="1" ht="14.25">
      <c r="A37" s="120"/>
      <c r="B37" s="185" t="s">
        <v>222</v>
      </c>
      <c r="C37" s="139" t="s">
        <v>215</v>
      </c>
      <c r="D37" s="186">
        <v>11741.478297000001</v>
      </c>
      <c r="E37" s="187">
        <v>11216.577010000001</v>
      </c>
      <c r="F37" s="187">
        <v>11135.698339690003</v>
      </c>
      <c r="G37" s="187">
        <v>11135.698339690003</v>
      </c>
      <c r="H37" s="188">
        <v>11135.698339690003</v>
      </c>
      <c r="I37" s="187">
        <v>11247.055323086903</v>
      </c>
      <c r="J37" s="189">
        <v>11359.525876317772</v>
      </c>
      <c r="K37" s="189">
        <v>11473.12113508095</v>
      </c>
      <c r="L37" s="189">
        <v>11587.852346431759</v>
      </c>
      <c r="M37" s="188">
        <v>11703.730869896077</v>
      </c>
      <c r="N37" s="148"/>
      <c r="O37" s="148"/>
      <c r="P37" s="148"/>
      <c r="Q37" s="148"/>
      <c r="R37" s="148"/>
      <c r="S37" s="148"/>
      <c r="T37" s="148"/>
    </row>
    <row r="38" spans="1:20" s="119" customFormat="1" ht="14.25">
      <c r="A38" s="120"/>
      <c r="B38" s="185" t="s">
        <v>223</v>
      </c>
      <c r="C38" s="139" t="s">
        <v>215</v>
      </c>
      <c r="D38" s="186">
        <v>3766.4622659000001</v>
      </c>
      <c r="E38" s="187">
        <v>3654.7326434000001</v>
      </c>
      <c r="F38" s="187">
        <v>3560.4307964999998</v>
      </c>
      <c r="G38" s="187">
        <v>3560.4307964999998</v>
      </c>
      <c r="H38" s="188">
        <v>3560.4307964999998</v>
      </c>
      <c r="I38" s="187">
        <v>3596.0351044649997</v>
      </c>
      <c r="J38" s="189">
        <v>3631.9954555096497</v>
      </c>
      <c r="K38" s="189">
        <v>3668.3154100647462</v>
      </c>
      <c r="L38" s="189">
        <v>3704.9985641653939</v>
      </c>
      <c r="M38" s="188">
        <v>3742.0485498070479</v>
      </c>
      <c r="N38" s="148"/>
      <c r="O38" s="148"/>
      <c r="P38" s="148"/>
      <c r="Q38" s="148"/>
      <c r="R38" s="148"/>
      <c r="S38" s="148"/>
      <c r="T38" s="148"/>
    </row>
    <row r="39" spans="1:20" s="119" customFormat="1" ht="14.25">
      <c r="A39" s="120"/>
      <c r="B39" s="185" t="s">
        <v>224</v>
      </c>
      <c r="C39" s="139" t="s">
        <v>215</v>
      </c>
      <c r="D39" s="186">
        <v>516.64550680000002</v>
      </c>
      <c r="E39" s="187">
        <v>532.66609899999992</v>
      </c>
      <c r="F39" s="187">
        <v>519.3929296</v>
      </c>
      <c r="G39" s="187">
        <v>313.39953464003452</v>
      </c>
      <c r="H39" s="188">
        <v>299.01684905968341</v>
      </c>
      <c r="I39" s="187">
        <v>302.00701755028024</v>
      </c>
      <c r="J39" s="189">
        <v>305.02708772578302</v>
      </c>
      <c r="K39" s="189">
        <v>308.07735860304086</v>
      </c>
      <c r="L39" s="189">
        <v>311.1581321890713</v>
      </c>
      <c r="M39" s="188">
        <v>314.26971351096199</v>
      </c>
      <c r="N39" s="148"/>
      <c r="O39" s="148"/>
      <c r="P39" s="148"/>
      <c r="Q39" s="148"/>
      <c r="R39" s="148"/>
      <c r="S39" s="148"/>
      <c r="T39" s="148"/>
    </row>
    <row r="40" spans="1:20" s="119" customFormat="1" ht="15">
      <c r="A40" s="120"/>
      <c r="B40" s="183" t="s">
        <v>225</v>
      </c>
      <c r="C40" s="139" t="s">
        <v>215</v>
      </c>
      <c r="D40" s="155">
        <v>16024.586069700001</v>
      </c>
      <c r="E40" s="158">
        <v>15403.975752400002</v>
      </c>
      <c r="F40" s="158">
        <v>15215.522065790004</v>
      </c>
      <c r="G40" s="158">
        <v>15009.528670830039</v>
      </c>
      <c r="H40" s="157">
        <v>14995.145985249688</v>
      </c>
      <c r="I40" s="158">
        <v>15145.097445102183</v>
      </c>
      <c r="J40" s="156">
        <v>15296.548419553204</v>
      </c>
      <c r="K40" s="156">
        <v>15449.513903748737</v>
      </c>
      <c r="L40" s="156">
        <v>15604.009042786225</v>
      </c>
      <c r="M40" s="157">
        <v>15760.049133214088</v>
      </c>
      <c r="N40" s="148"/>
      <c r="O40" s="148"/>
      <c r="P40" s="148"/>
      <c r="Q40" s="148"/>
      <c r="R40" s="148"/>
      <c r="S40" s="148"/>
      <c r="T40" s="148"/>
    </row>
    <row r="41" spans="1:20" s="119" customFormat="1" ht="15">
      <c r="A41" s="120"/>
      <c r="B41" s="194"/>
      <c r="C41" s="139"/>
      <c r="D41" s="191"/>
      <c r="E41" s="192"/>
      <c r="F41" s="192"/>
      <c r="G41" s="192"/>
      <c r="H41" s="193"/>
      <c r="I41" s="192"/>
      <c r="J41" s="192"/>
      <c r="K41" s="192"/>
      <c r="L41" s="192"/>
      <c r="M41" s="193"/>
      <c r="N41" s="148"/>
      <c r="O41" s="148"/>
      <c r="P41" s="148"/>
      <c r="Q41" s="148"/>
      <c r="R41" s="148"/>
      <c r="S41" s="148"/>
      <c r="T41" s="148"/>
    </row>
    <row r="42" spans="1:20" s="119" customFormat="1" ht="45">
      <c r="A42" s="120"/>
      <c r="B42" s="194" t="s">
        <v>226</v>
      </c>
      <c r="C42" s="139"/>
      <c r="D42" s="199"/>
      <c r="E42" s="200"/>
      <c r="F42" s="200"/>
      <c r="G42" s="200"/>
      <c r="H42" s="201"/>
      <c r="I42" s="200"/>
      <c r="J42" s="200"/>
      <c r="K42" s="200"/>
      <c r="L42" s="200"/>
      <c r="M42" s="201"/>
      <c r="N42" s="148"/>
      <c r="O42" s="148"/>
      <c r="P42" s="148"/>
      <c r="Q42" s="148"/>
      <c r="R42" s="148"/>
      <c r="S42" s="148"/>
      <c r="T42" s="148"/>
    </row>
    <row r="43" spans="1:20" s="119" customFormat="1" ht="14.25">
      <c r="A43" s="120"/>
      <c r="B43" s="185" t="s">
        <v>222</v>
      </c>
      <c r="C43" s="139" t="s">
        <v>227</v>
      </c>
      <c r="D43" s="186">
        <v>60039</v>
      </c>
      <c r="E43" s="187">
        <v>59958.5</v>
      </c>
      <c r="F43" s="187">
        <v>70066.5</v>
      </c>
      <c r="G43" s="187">
        <v>53550</v>
      </c>
      <c r="H43" s="188">
        <v>50925</v>
      </c>
      <c r="I43" s="187">
        <v>49175</v>
      </c>
      <c r="J43" s="189">
        <v>49770</v>
      </c>
      <c r="K43" s="189">
        <v>48020</v>
      </c>
      <c r="L43" s="189">
        <v>48020</v>
      </c>
      <c r="M43" s="188">
        <v>48020</v>
      </c>
      <c r="N43" s="148"/>
      <c r="O43" s="148"/>
      <c r="P43" s="148"/>
      <c r="Q43" s="148"/>
      <c r="R43" s="148"/>
      <c r="S43" s="148"/>
      <c r="T43" s="148"/>
    </row>
    <row r="44" spans="1:20" s="119" customFormat="1" ht="14.25">
      <c r="A44" s="120"/>
      <c r="B44" s="185" t="s">
        <v>223</v>
      </c>
      <c r="C44" s="139" t="s">
        <v>227</v>
      </c>
      <c r="D44" s="186">
        <v>43800</v>
      </c>
      <c r="E44" s="187">
        <v>38105</v>
      </c>
      <c r="F44" s="187">
        <v>41610</v>
      </c>
      <c r="G44" s="187">
        <v>35040</v>
      </c>
      <c r="H44" s="188">
        <v>35040</v>
      </c>
      <c r="I44" s="187">
        <v>35040</v>
      </c>
      <c r="J44" s="189">
        <v>37230</v>
      </c>
      <c r="K44" s="189">
        <v>37230</v>
      </c>
      <c r="L44" s="189">
        <v>37230</v>
      </c>
      <c r="M44" s="188">
        <v>37230</v>
      </c>
      <c r="N44" s="148"/>
      <c r="O44" s="148"/>
      <c r="P44" s="148"/>
      <c r="Q44" s="148"/>
      <c r="R44" s="148"/>
      <c r="S44" s="148"/>
      <c r="T44" s="148"/>
    </row>
    <row r="45" spans="1:20" s="119" customFormat="1" ht="14.25">
      <c r="A45" s="120"/>
      <c r="B45" s="185" t="s">
        <v>224</v>
      </c>
      <c r="C45" s="139" t="s">
        <v>227</v>
      </c>
      <c r="D45" s="186">
        <v>0</v>
      </c>
      <c r="E45" s="187">
        <v>0</v>
      </c>
      <c r="F45" s="187">
        <v>0</v>
      </c>
      <c r="G45" s="187">
        <v>0</v>
      </c>
      <c r="H45" s="188">
        <v>0</v>
      </c>
      <c r="I45" s="187">
        <v>0</v>
      </c>
      <c r="J45" s="189">
        <v>0</v>
      </c>
      <c r="K45" s="189">
        <v>0</v>
      </c>
      <c r="L45" s="189">
        <v>0</v>
      </c>
      <c r="M45" s="188">
        <v>0</v>
      </c>
      <c r="N45" s="148"/>
      <c r="O45" s="148"/>
      <c r="P45" s="148"/>
      <c r="Q45" s="148"/>
      <c r="R45" s="148"/>
      <c r="S45" s="148"/>
      <c r="T45" s="148"/>
    </row>
    <row r="46" spans="1:20" s="119" customFormat="1" ht="30.75" thickBot="1">
      <c r="A46" s="120"/>
      <c r="B46" s="202" t="s">
        <v>228</v>
      </c>
      <c r="C46" s="160" t="s">
        <v>227</v>
      </c>
      <c r="D46" s="161">
        <v>103839</v>
      </c>
      <c r="E46" s="164">
        <v>98063.5</v>
      </c>
      <c r="F46" s="164">
        <v>111676.5</v>
      </c>
      <c r="G46" s="164">
        <v>88590</v>
      </c>
      <c r="H46" s="163">
        <v>85965</v>
      </c>
      <c r="I46" s="164">
        <v>84215</v>
      </c>
      <c r="J46" s="162">
        <v>87000</v>
      </c>
      <c r="K46" s="162">
        <v>85250</v>
      </c>
      <c r="L46" s="162">
        <v>85250</v>
      </c>
      <c r="M46" s="163">
        <v>85250</v>
      </c>
      <c r="N46" s="203"/>
      <c r="O46" s="148"/>
      <c r="P46" s="148"/>
      <c r="Q46" s="148"/>
      <c r="R46" s="148"/>
      <c r="S46" s="148"/>
      <c r="T46" s="148"/>
    </row>
    <row r="47" spans="1:20" s="119" customFormat="1" ht="14.25">
      <c r="A47" s="123"/>
      <c r="B47" s="123"/>
      <c r="C47" s="123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</row>
    <row r="48" spans="1:20" s="119" customFormat="1" ht="14.25">
      <c r="A48" s="120"/>
      <c r="B48" s="120"/>
      <c r="C48" s="122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48"/>
      <c r="O48" s="148"/>
      <c r="P48" s="148"/>
      <c r="Q48" s="148"/>
      <c r="R48" s="148"/>
      <c r="S48" s="148"/>
      <c r="T48" s="148"/>
    </row>
    <row r="49" spans="1:20" s="119" customFormat="1" ht="15">
      <c r="A49" s="120"/>
      <c r="B49" s="121" t="s">
        <v>229</v>
      </c>
      <c r="C49" s="122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48"/>
      <c r="O49" s="148"/>
      <c r="P49" s="148"/>
      <c r="Q49" s="148"/>
      <c r="R49" s="148"/>
      <c r="S49" s="148"/>
      <c r="T49" s="148"/>
    </row>
    <row r="50" spans="1:20" s="119" customFormat="1" ht="15.75" thickBot="1">
      <c r="A50" s="120"/>
      <c r="B50" s="121"/>
      <c r="C50" s="122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48"/>
      <c r="O50" s="148"/>
      <c r="P50" s="148"/>
      <c r="Q50" s="148"/>
      <c r="R50" s="148"/>
      <c r="S50" s="148"/>
      <c r="T50" s="148"/>
    </row>
    <row r="51" spans="1:20" s="119" customFormat="1" ht="14.25">
      <c r="A51" s="120"/>
      <c r="B51" s="1459"/>
      <c r="C51" s="1461" t="s">
        <v>190</v>
      </c>
      <c r="D51" s="170" t="s">
        <v>191</v>
      </c>
      <c r="E51" s="171"/>
      <c r="F51" s="171"/>
      <c r="G51" s="171"/>
      <c r="H51" s="172"/>
      <c r="I51" s="171" t="s">
        <v>192</v>
      </c>
      <c r="J51" s="173"/>
      <c r="K51" s="173"/>
      <c r="L51" s="173"/>
      <c r="M51" s="172"/>
      <c r="N51" s="148"/>
      <c r="O51" s="148"/>
      <c r="P51" s="148"/>
      <c r="Q51" s="148"/>
      <c r="R51" s="148"/>
      <c r="S51" s="148"/>
      <c r="T51" s="148"/>
    </row>
    <row r="52" spans="1:20" s="119" customFormat="1" ht="14.25">
      <c r="A52" s="120"/>
      <c r="B52" s="1460"/>
      <c r="C52" s="1462"/>
      <c r="D52" s="174" t="s">
        <v>79</v>
      </c>
      <c r="E52" s="175" t="s">
        <v>80</v>
      </c>
      <c r="F52" s="175" t="s">
        <v>81</v>
      </c>
      <c r="G52" s="175" t="s">
        <v>82</v>
      </c>
      <c r="H52" s="176" t="s">
        <v>44</v>
      </c>
      <c r="I52" s="177" t="s">
        <v>193</v>
      </c>
      <c r="J52" s="175" t="s">
        <v>194</v>
      </c>
      <c r="K52" s="175" t="s">
        <v>195</v>
      </c>
      <c r="L52" s="175" t="s">
        <v>196</v>
      </c>
      <c r="M52" s="176" t="s">
        <v>197</v>
      </c>
      <c r="N52" s="148"/>
      <c r="O52" s="148"/>
      <c r="P52" s="148"/>
      <c r="Q52" s="148"/>
      <c r="R52" s="148"/>
      <c r="S52" s="148"/>
      <c r="T52" s="148"/>
    </row>
    <row r="53" spans="1:20" s="119" customFormat="1" ht="15">
      <c r="A53" s="120"/>
      <c r="B53" s="204" t="s">
        <v>230</v>
      </c>
      <c r="C53" s="205"/>
      <c r="D53" s="206"/>
      <c r="E53" s="207"/>
      <c r="F53" s="207"/>
      <c r="G53" s="207"/>
      <c r="H53" s="208"/>
      <c r="I53" s="192"/>
      <c r="J53" s="192"/>
      <c r="K53" s="192"/>
      <c r="L53" s="192"/>
      <c r="M53" s="193"/>
      <c r="N53" s="209"/>
      <c r="O53" s="148"/>
      <c r="P53" s="148"/>
      <c r="Q53" s="148"/>
      <c r="R53" s="148"/>
      <c r="S53" s="148"/>
      <c r="T53" s="148"/>
    </row>
    <row r="54" spans="1:20" s="119" customFormat="1" ht="30">
      <c r="A54" s="120"/>
      <c r="B54" s="183" t="s">
        <v>231</v>
      </c>
      <c r="C54" s="210"/>
      <c r="D54" s="211"/>
      <c r="E54" s="212"/>
      <c r="F54" s="212"/>
      <c r="G54" s="212"/>
      <c r="H54" s="213"/>
      <c r="I54" s="197"/>
      <c r="J54" s="197"/>
      <c r="K54" s="197"/>
      <c r="L54" s="197"/>
      <c r="M54" s="198"/>
      <c r="N54" s="209"/>
      <c r="O54" s="148"/>
      <c r="P54" s="148"/>
      <c r="Q54" s="148"/>
      <c r="R54" s="148"/>
      <c r="S54" s="148"/>
      <c r="T54" s="148"/>
    </row>
    <row r="55" spans="1:20" s="119" customFormat="1" ht="14.25">
      <c r="A55" s="120"/>
      <c r="B55" s="185" t="s">
        <v>232</v>
      </c>
      <c r="C55" s="210" t="s">
        <v>233</v>
      </c>
      <c r="D55" s="214">
        <v>1</v>
      </c>
      <c r="E55" s="215">
        <v>1</v>
      </c>
      <c r="F55" s="215">
        <v>2</v>
      </c>
      <c r="G55" s="215">
        <v>5</v>
      </c>
      <c r="H55" s="216">
        <v>5</v>
      </c>
      <c r="I55" s="215">
        <v>9</v>
      </c>
      <c r="J55" s="217">
        <v>12</v>
      </c>
      <c r="K55" s="217">
        <v>12</v>
      </c>
      <c r="L55" s="217">
        <v>12</v>
      </c>
      <c r="M55" s="216">
        <v>12</v>
      </c>
      <c r="N55" s="148"/>
      <c r="O55" s="148"/>
      <c r="P55" s="148"/>
      <c r="Q55" s="148"/>
      <c r="R55" s="148"/>
      <c r="S55" s="148"/>
      <c r="T55" s="148"/>
    </row>
    <row r="56" spans="1:20" s="119" customFormat="1" ht="14.25">
      <c r="A56" s="120"/>
      <c r="B56" s="185" t="s">
        <v>234</v>
      </c>
      <c r="C56" s="210" t="s">
        <v>233</v>
      </c>
      <c r="D56" s="214">
        <v>17154</v>
      </c>
      <c r="E56" s="215">
        <v>17587</v>
      </c>
      <c r="F56" s="215">
        <v>19636</v>
      </c>
      <c r="G56" s="215">
        <v>15850</v>
      </c>
      <c r="H56" s="216">
        <v>15050</v>
      </c>
      <c r="I56" s="215">
        <v>14600</v>
      </c>
      <c r="J56" s="217">
        <v>14800</v>
      </c>
      <c r="K56" s="217">
        <v>14300</v>
      </c>
      <c r="L56" s="217">
        <v>14300</v>
      </c>
      <c r="M56" s="216">
        <v>14300</v>
      </c>
      <c r="N56" s="148"/>
      <c r="O56" s="148"/>
      <c r="P56" s="148"/>
      <c r="Q56" s="148"/>
      <c r="R56" s="148"/>
      <c r="S56" s="148"/>
      <c r="T56" s="148"/>
    </row>
    <row r="57" spans="1:20" s="119" customFormat="1" ht="14.25">
      <c r="A57" s="120"/>
      <c r="B57" s="185" t="s">
        <v>235</v>
      </c>
      <c r="C57" s="210" t="s">
        <v>233</v>
      </c>
      <c r="D57" s="214" t="s">
        <v>936</v>
      </c>
      <c r="E57" s="215">
        <v>556</v>
      </c>
      <c r="F57" s="215">
        <v>604</v>
      </c>
      <c r="G57" s="215">
        <v>550</v>
      </c>
      <c r="H57" s="216">
        <v>500</v>
      </c>
      <c r="I57" s="215">
        <v>550</v>
      </c>
      <c r="J57" s="217">
        <v>580</v>
      </c>
      <c r="K57" s="217">
        <v>580</v>
      </c>
      <c r="L57" s="217">
        <v>580</v>
      </c>
      <c r="M57" s="216">
        <v>580</v>
      </c>
      <c r="N57" s="148"/>
      <c r="O57" s="148"/>
      <c r="P57" s="148"/>
      <c r="Q57" s="148"/>
      <c r="R57" s="148"/>
      <c r="S57" s="148"/>
      <c r="T57" s="148"/>
    </row>
    <row r="58" spans="1:20" s="119" customFormat="1" ht="30">
      <c r="A58" s="120"/>
      <c r="B58" s="183" t="s">
        <v>236</v>
      </c>
      <c r="C58" s="210"/>
      <c r="D58" s="218"/>
      <c r="E58" s="219"/>
      <c r="F58" s="219"/>
      <c r="G58" s="219"/>
      <c r="H58" s="220"/>
      <c r="I58" s="221"/>
      <c r="J58" s="221"/>
      <c r="K58" s="221"/>
      <c r="L58" s="221"/>
      <c r="M58" s="222"/>
      <c r="N58" s="209"/>
      <c r="O58" s="148"/>
      <c r="P58" s="148"/>
      <c r="Q58" s="148"/>
      <c r="R58" s="148"/>
      <c r="S58" s="148"/>
      <c r="T58" s="148"/>
    </row>
    <row r="59" spans="1:20" s="119" customFormat="1" ht="14.25">
      <c r="A59" s="120"/>
      <c r="B59" s="185" t="s">
        <v>232</v>
      </c>
      <c r="C59" s="210" t="s">
        <v>233</v>
      </c>
      <c r="D59" s="214">
        <v>0</v>
      </c>
      <c r="E59" s="215">
        <v>1</v>
      </c>
      <c r="F59" s="215">
        <v>3</v>
      </c>
      <c r="G59" s="215">
        <v>1</v>
      </c>
      <c r="H59" s="216">
        <v>3</v>
      </c>
      <c r="I59" s="215">
        <v>6</v>
      </c>
      <c r="J59" s="217">
        <v>8</v>
      </c>
      <c r="K59" s="217">
        <v>10</v>
      </c>
      <c r="L59" s="217">
        <v>10</v>
      </c>
      <c r="M59" s="216">
        <v>10</v>
      </c>
      <c r="N59" s="148"/>
      <c r="O59" s="148"/>
      <c r="P59" s="148"/>
      <c r="Q59" s="148"/>
      <c r="R59" s="148"/>
      <c r="S59" s="148"/>
      <c r="T59" s="148"/>
    </row>
    <row r="60" spans="1:20" s="119" customFormat="1" ht="14.25">
      <c r="A60" s="120"/>
      <c r="B60" s="185" t="s">
        <v>234</v>
      </c>
      <c r="C60" s="210" t="s">
        <v>233</v>
      </c>
      <c r="D60" s="214">
        <v>20</v>
      </c>
      <c r="E60" s="215">
        <v>21</v>
      </c>
      <c r="F60" s="215">
        <v>22</v>
      </c>
      <c r="G60" s="215">
        <v>20</v>
      </c>
      <c r="H60" s="216">
        <v>20</v>
      </c>
      <c r="I60" s="215">
        <v>22</v>
      </c>
      <c r="J60" s="217">
        <v>25</v>
      </c>
      <c r="K60" s="217">
        <v>25</v>
      </c>
      <c r="L60" s="217">
        <v>25</v>
      </c>
      <c r="M60" s="216">
        <v>25</v>
      </c>
      <c r="N60" s="148"/>
      <c r="O60" s="148"/>
      <c r="P60" s="148"/>
      <c r="Q60" s="148"/>
      <c r="R60" s="148"/>
      <c r="S60" s="148"/>
      <c r="T60" s="148"/>
    </row>
    <row r="61" spans="1:20" s="119" customFormat="1" ht="14.25">
      <c r="A61" s="120"/>
      <c r="B61" s="185" t="s">
        <v>235</v>
      </c>
      <c r="C61" s="210" t="s">
        <v>233</v>
      </c>
      <c r="D61" s="214" t="s">
        <v>936</v>
      </c>
      <c r="E61" s="215">
        <v>4</v>
      </c>
      <c r="F61" s="215">
        <v>6</v>
      </c>
      <c r="G61" s="215">
        <v>4</v>
      </c>
      <c r="H61" s="216">
        <v>4</v>
      </c>
      <c r="I61" s="215">
        <v>6</v>
      </c>
      <c r="J61" s="217">
        <v>8</v>
      </c>
      <c r="K61" s="217">
        <v>8</v>
      </c>
      <c r="L61" s="217">
        <v>8</v>
      </c>
      <c r="M61" s="216">
        <v>8</v>
      </c>
      <c r="N61" s="148"/>
      <c r="O61" s="148"/>
      <c r="P61" s="148"/>
      <c r="Q61" s="148"/>
      <c r="R61" s="148"/>
      <c r="S61" s="148"/>
      <c r="T61" s="148"/>
    </row>
    <row r="62" spans="1:20" s="119" customFormat="1" ht="30">
      <c r="A62" s="120"/>
      <c r="B62" s="183" t="s">
        <v>237</v>
      </c>
      <c r="C62" s="210"/>
      <c r="D62" s="218"/>
      <c r="E62" s="219"/>
      <c r="F62" s="219"/>
      <c r="G62" s="219"/>
      <c r="H62" s="220"/>
      <c r="I62" s="221"/>
      <c r="J62" s="221"/>
      <c r="K62" s="221"/>
      <c r="L62" s="221"/>
      <c r="M62" s="222"/>
      <c r="N62" s="209"/>
      <c r="O62" s="148"/>
      <c r="P62" s="148"/>
      <c r="Q62" s="148"/>
      <c r="R62" s="148"/>
      <c r="S62" s="148"/>
      <c r="T62" s="148"/>
    </row>
    <row r="63" spans="1:20" s="119" customFormat="1" ht="14.25">
      <c r="A63" s="120"/>
      <c r="B63" s="185" t="s">
        <v>232</v>
      </c>
      <c r="C63" s="210" t="s">
        <v>233</v>
      </c>
      <c r="D63" s="214">
        <v>0</v>
      </c>
      <c r="E63" s="215">
        <v>0</v>
      </c>
      <c r="F63" s="215">
        <v>0</v>
      </c>
      <c r="G63" s="215">
        <v>0</v>
      </c>
      <c r="H63" s="216">
        <v>0</v>
      </c>
      <c r="I63" s="215">
        <v>0</v>
      </c>
      <c r="J63" s="217">
        <v>0</v>
      </c>
      <c r="K63" s="217">
        <v>0</v>
      </c>
      <c r="L63" s="217">
        <v>0</v>
      </c>
      <c r="M63" s="216">
        <v>0</v>
      </c>
      <c r="N63" s="148"/>
      <c r="O63" s="148"/>
      <c r="P63" s="148"/>
      <c r="Q63" s="148"/>
      <c r="R63" s="148"/>
      <c r="S63" s="148"/>
      <c r="T63" s="148"/>
    </row>
    <row r="64" spans="1:20" s="119" customFormat="1" ht="14.25">
      <c r="A64" s="120"/>
      <c r="B64" s="185" t="s">
        <v>234</v>
      </c>
      <c r="C64" s="210" t="s">
        <v>233</v>
      </c>
      <c r="D64" s="214">
        <v>0</v>
      </c>
      <c r="E64" s="215">
        <v>0</v>
      </c>
      <c r="F64" s="215">
        <v>0</v>
      </c>
      <c r="G64" s="215">
        <v>0</v>
      </c>
      <c r="H64" s="216">
        <v>0</v>
      </c>
      <c r="I64" s="215">
        <v>0</v>
      </c>
      <c r="J64" s="217">
        <v>0</v>
      </c>
      <c r="K64" s="217">
        <v>0</v>
      </c>
      <c r="L64" s="217">
        <v>0</v>
      </c>
      <c r="M64" s="216">
        <v>0</v>
      </c>
      <c r="N64" s="148"/>
      <c r="O64" s="148"/>
      <c r="P64" s="148"/>
      <c r="Q64" s="148"/>
      <c r="R64" s="148"/>
      <c r="S64" s="148"/>
      <c r="T64" s="148"/>
    </row>
    <row r="65" spans="1:20" s="119" customFormat="1" ht="14.25">
      <c r="A65" s="120"/>
      <c r="B65" s="185" t="s">
        <v>235</v>
      </c>
      <c r="C65" s="210" t="s">
        <v>233</v>
      </c>
      <c r="D65" s="214" t="s">
        <v>936</v>
      </c>
      <c r="E65" s="215">
        <v>0</v>
      </c>
      <c r="F65" s="215">
        <v>0</v>
      </c>
      <c r="G65" s="215">
        <v>0</v>
      </c>
      <c r="H65" s="216">
        <v>0</v>
      </c>
      <c r="I65" s="215">
        <v>0</v>
      </c>
      <c r="J65" s="217">
        <v>0</v>
      </c>
      <c r="K65" s="217">
        <v>0</v>
      </c>
      <c r="L65" s="217">
        <v>0</v>
      </c>
      <c r="M65" s="216">
        <v>0</v>
      </c>
      <c r="N65" s="148"/>
      <c r="O65" s="148"/>
      <c r="P65" s="148"/>
      <c r="Q65" s="148"/>
      <c r="R65" s="148"/>
      <c r="S65" s="148"/>
      <c r="T65" s="148"/>
    </row>
    <row r="66" spans="1:20" s="119" customFormat="1" ht="30">
      <c r="A66" s="120"/>
      <c r="B66" s="183" t="s">
        <v>238</v>
      </c>
      <c r="C66" s="210"/>
      <c r="D66" s="218"/>
      <c r="E66" s="219"/>
      <c r="F66" s="219"/>
      <c r="G66" s="219"/>
      <c r="H66" s="220"/>
      <c r="I66" s="221"/>
      <c r="J66" s="221"/>
      <c r="K66" s="221"/>
      <c r="L66" s="221"/>
      <c r="M66" s="222"/>
      <c r="N66" s="209"/>
      <c r="O66" s="148"/>
      <c r="P66" s="148"/>
      <c r="Q66" s="148"/>
      <c r="R66" s="148"/>
      <c r="S66" s="148"/>
      <c r="T66" s="148"/>
    </row>
    <row r="67" spans="1:20" s="119" customFormat="1" ht="14.25">
      <c r="A67" s="120"/>
      <c r="B67" s="223" t="s">
        <v>232</v>
      </c>
      <c r="C67" s="210" t="s">
        <v>233</v>
      </c>
      <c r="D67" s="224">
        <v>0</v>
      </c>
      <c r="E67" s="225">
        <v>0</v>
      </c>
      <c r="F67" s="225">
        <v>0</v>
      </c>
      <c r="G67" s="225">
        <v>0</v>
      </c>
      <c r="H67" s="226">
        <v>0</v>
      </c>
      <c r="I67" s="225">
        <v>0</v>
      </c>
      <c r="J67" s="227">
        <v>0</v>
      </c>
      <c r="K67" s="227">
        <v>0</v>
      </c>
      <c r="L67" s="227">
        <v>0</v>
      </c>
      <c r="M67" s="226">
        <v>0</v>
      </c>
      <c r="N67" s="148"/>
      <c r="O67" s="148"/>
      <c r="P67" s="148"/>
      <c r="Q67" s="148"/>
      <c r="R67" s="148"/>
      <c r="S67" s="148"/>
      <c r="T67" s="148"/>
    </row>
    <row r="68" spans="1:20" s="119" customFormat="1" ht="14.25">
      <c r="A68" s="120"/>
      <c r="B68" s="223" t="s">
        <v>234</v>
      </c>
      <c r="C68" s="210" t="s">
        <v>233</v>
      </c>
      <c r="D68" s="224">
        <v>0</v>
      </c>
      <c r="E68" s="225">
        <v>0</v>
      </c>
      <c r="F68" s="225">
        <v>0</v>
      </c>
      <c r="G68" s="225">
        <v>0</v>
      </c>
      <c r="H68" s="226">
        <v>0</v>
      </c>
      <c r="I68" s="225">
        <v>0</v>
      </c>
      <c r="J68" s="227">
        <v>0</v>
      </c>
      <c r="K68" s="227">
        <v>0</v>
      </c>
      <c r="L68" s="227">
        <v>0</v>
      </c>
      <c r="M68" s="226">
        <v>0</v>
      </c>
      <c r="N68" s="148"/>
      <c r="O68" s="148"/>
      <c r="P68" s="148"/>
      <c r="Q68" s="148"/>
      <c r="R68" s="148"/>
      <c r="S68" s="148"/>
      <c r="T68" s="148"/>
    </row>
    <row r="69" spans="1:20" s="119" customFormat="1" ht="14.25">
      <c r="A69" s="120"/>
      <c r="B69" s="223" t="s">
        <v>235</v>
      </c>
      <c r="C69" s="210" t="s">
        <v>233</v>
      </c>
      <c r="D69" s="214" t="s">
        <v>936</v>
      </c>
      <c r="E69" s="215">
        <v>0</v>
      </c>
      <c r="F69" s="215">
        <v>0</v>
      </c>
      <c r="G69" s="215">
        <v>0</v>
      </c>
      <c r="H69" s="216">
        <v>0</v>
      </c>
      <c r="I69" s="215">
        <v>0</v>
      </c>
      <c r="J69" s="217">
        <v>0</v>
      </c>
      <c r="K69" s="217">
        <v>0</v>
      </c>
      <c r="L69" s="217">
        <v>0</v>
      </c>
      <c r="M69" s="216">
        <v>0</v>
      </c>
      <c r="N69" s="148"/>
      <c r="O69" s="148"/>
      <c r="P69" s="148"/>
      <c r="Q69" s="148"/>
      <c r="R69" s="148"/>
      <c r="S69" s="148"/>
      <c r="T69" s="148"/>
    </row>
    <row r="70" spans="1:20" s="119" customFormat="1" ht="15">
      <c r="A70" s="120"/>
      <c r="B70" s="183" t="s">
        <v>239</v>
      </c>
      <c r="C70" s="210" t="s">
        <v>233</v>
      </c>
      <c r="D70" s="228">
        <v>17175</v>
      </c>
      <c r="E70" s="229">
        <v>17610</v>
      </c>
      <c r="F70" s="229">
        <v>19663</v>
      </c>
      <c r="G70" s="229">
        <v>15876</v>
      </c>
      <c r="H70" s="230">
        <v>15078</v>
      </c>
      <c r="I70" s="231">
        <v>14637</v>
      </c>
      <c r="J70" s="229">
        <v>14845</v>
      </c>
      <c r="K70" s="229">
        <v>14347</v>
      </c>
      <c r="L70" s="229">
        <v>14347</v>
      </c>
      <c r="M70" s="230">
        <v>14347</v>
      </c>
      <c r="N70" s="232"/>
      <c r="O70" s="148"/>
      <c r="P70" s="148"/>
      <c r="Q70" s="148"/>
      <c r="R70" s="148"/>
      <c r="S70" s="148"/>
      <c r="T70" s="148"/>
    </row>
    <row r="71" spans="1:20" s="119" customFormat="1" ht="15" customHeight="1" thickBot="1">
      <c r="A71" s="120"/>
      <c r="B71" s="233" t="s">
        <v>240</v>
      </c>
      <c r="C71" s="234" t="s">
        <v>233</v>
      </c>
      <c r="D71" s="235">
        <v>0</v>
      </c>
      <c r="E71" s="236">
        <v>560</v>
      </c>
      <c r="F71" s="236">
        <v>610</v>
      </c>
      <c r="G71" s="236">
        <v>554</v>
      </c>
      <c r="H71" s="237">
        <v>504</v>
      </c>
      <c r="I71" s="238">
        <v>556</v>
      </c>
      <c r="J71" s="236">
        <v>588</v>
      </c>
      <c r="K71" s="236">
        <v>588</v>
      </c>
      <c r="L71" s="236">
        <v>588</v>
      </c>
      <c r="M71" s="237">
        <v>588</v>
      </c>
      <c r="N71" s="232"/>
      <c r="O71" s="148"/>
      <c r="P71" s="148"/>
      <c r="Q71" s="148"/>
      <c r="R71" s="148"/>
      <c r="S71" s="148"/>
      <c r="T71" s="148"/>
    </row>
    <row r="72" spans="1:20" s="119" customFormat="1" ht="15">
      <c r="A72" s="120"/>
      <c r="B72" s="239"/>
      <c r="C72" s="240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</row>
    <row r="73" spans="1:20" s="119" customFormat="1" ht="15">
      <c r="A73" s="120"/>
      <c r="B73" s="241"/>
      <c r="C73" s="242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148"/>
      <c r="O73" s="243"/>
      <c r="P73" s="243"/>
      <c r="Q73" s="243"/>
      <c r="R73" s="148"/>
      <c r="S73" s="243"/>
      <c r="T73" s="243"/>
    </row>
    <row r="74" spans="1:20" s="119" customFormat="1" ht="15">
      <c r="A74" s="120"/>
      <c r="B74" s="121" t="s">
        <v>241</v>
      </c>
      <c r="C74" s="242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148"/>
      <c r="O74" s="243"/>
      <c r="P74" s="243"/>
      <c r="Q74" s="243"/>
      <c r="R74" s="148"/>
      <c r="S74" s="243"/>
      <c r="T74" s="243"/>
    </row>
    <row r="75" spans="1:20" s="119" customFormat="1" ht="15.75" thickBot="1">
      <c r="A75" s="120"/>
      <c r="B75" s="121"/>
      <c r="C75" s="242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148"/>
      <c r="O75" s="243"/>
      <c r="P75" s="243"/>
      <c r="Q75" s="243"/>
      <c r="R75" s="148"/>
      <c r="S75" s="243"/>
      <c r="T75" s="243"/>
    </row>
    <row r="76" spans="1:20" s="119" customFormat="1" ht="14.25">
      <c r="A76" s="120"/>
      <c r="B76" s="1459"/>
      <c r="C76" s="1461" t="s">
        <v>190</v>
      </c>
      <c r="D76" s="170" t="s">
        <v>191</v>
      </c>
      <c r="E76" s="171"/>
      <c r="F76" s="171"/>
      <c r="G76" s="171"/>
      <c r="H76" s="172"/>
      <c r="I76" s="171" t="s">
        <v>192</v>
      </c>
      <c r="J76" s="173"/>
      <c r="K76" s="173"/>
      <c r="L76" s="173"/>
      <c r="M76" s="172"/>
      <c r="N76" s="148"/>
      <c r="O76" s="244" t="s">
        <v>191</v>
      </c>
      <c r="P76" s="245"/>
      <c r="Q76" s="246"/>
      <c r="R76" s="148"/>
      <c r="S76" s="244" t="s">
        <v>192</v>
      </c>
      <c r="T76" s="246"/>
    </row>
    <row r="77" spans="1:20" s="119" customFormat="1" ht="14.25">
      <c r="A77" s="120"/>
      <c r="B77" s="1460"/>
      <c r="C77" s="1462"/>
      <c r="D77" s="174" t="s">
        <v>79</v>
      </c>
      <c r="E77" s="175" t="s">
        <v>80</v>
      </c>
      <c r="F77" s="175" t="s">
        <v>81</v>
      </c>
      <c r="G77" s="175" t="s">
        <v>82</v>
      </c>
      <c r="H77" s="176" t="s">
        <v>44</v>
      </c>
      <c r="I77" s="177" t="s">
        <v>193</v>
      </c>
      <c r="J77" s="175" t="s">
        <v>194</v>
      </c>
      <c r="K77" s="175" t="s">
        <v>195</v>
      </c>
      <c r="L77" s="175" t="s">
        <v>196</v>
      </c>
      <c r="M77" s="176" t="s">
        <v>197</v>
      </c>
      <c r="N77" s="148"/>
      <c r="O77" s="247" t="s">
        <v>198</v>
      </c>
      <c r="P77" s="248" t="s">
        <v>199</v>
      </c>
      <c r="Q77" s="249" t="s">
        <v>200</v>
      </c>
      <c r="R77" s="148"/>
      <c r="S77" s="247" t="s">
        <v>199</v>
      </c>
      <c r="T77" s="249" t="s">
        <v>201</v>
      </c>
    </row>
    <row r="78" spans="1:20" s="119" customFormat="1" ht="30">
      <c r="A78" s="120"/>
      <c r="B78" s="250" t="s">
        <v>242</v>
      </c>
      <c r="C78" s="251"/>
      <c r="D78" s="206"/>
      <c r="E78" s="207"/>
      <c r="F78" s="207"/>
      <c r="G78" s="207"/>
      <c r="H78" s="208"/>
      <c r="I78" s="192"/>
      <c r="J78" s="192"/>
      <c r="K78" s="192"/>
      <c r="L78" s="192"/>
      <c r="M78" s="193"/>
      <c r="N78" s="148"/>
      <c r="O78" s="191"/>
      <c r="P78" s="192"/>
      <c r="Q78" s="193"/>
      <c r="R78" s="148"/>
      <c r="S78" s="191"/>
      <c r="T78" s="193"/>
    </row>
    <row r="79" spans="1:20" s="119" customFormat="1" ht="15">
      <c r="A79" s="120"/>
      <c r="B79" s="252" t="s">
        <v>243</v>
      </c>
      <c r="C79" s="253"/>
      <c r="D79" s="180"/>
      <c r="E79" s="181"/>
      <c r="F79" s="181"/>
      <c r="G79" s="181"/>
      <c r="H79" s="182"/>
      <c r="I79" s="181"/>
      <c r="J79" s="181"/>
      <c r="K79" s="181"/>
      <c r="L79" s="181"/>
      <c r="M79" s="182"/>
      <c r="N79" s="148"/>
      <c r="O79" s="254"/>
      <c r="P79" s="255"/>
      <c r="Q79" s="256"/>
      <c r="R79" s="148"/>
      <c r="S79" s="180"/>
      <c r="T79" s="182"/>
    </row>
    <row r="80" spans="1:20" s="119" customFormat="1" ht="14.25">
      <c r="A80" s="120"/>
      <c r="B80" s="195" t="s">
        <v>244</v>
      </c>
      <c r="C80" s="210" t="s">
        <v>203</v>
      </c>
      <c r="D80" s="186">
        <v>20.7</v>
      </c>
      <c r="E80" s="187">
        <v>18.8</v>
      </c>
      <c r="F80" s="187">
        <v>19.100000000000001</v>
      </c>
      <c r="G80" s="187">
        <v>17</v>
      </c>
      <c r="H80" s="188">
        <v>16.2</v>
      </c>
      <c r="I80" s="187">
        <v>12.3</v>
      </c>
      <c r="J80" s="189">
        <v>12.5</v>
      </c>
      <c r="K80" s="189">
        <v>12</v>
      </c>
      <c r="L80" s="189">
        <v>12</v>
      </c>
      <c r="M80" s="188">
        <v>12</v>
      </c>
      <c r="N80" s="148"/>
      <c r="O80" s="145">
        <v>58.6</v>
      </c>
      <c r="P80" s="146">
        <v>33.200000000000003</v>
      </c>
      <c r="Q80" s="147">
        <v>91.8</v>
      </c>
      <c r="R80" s="148"/>
      <c r="S80" s="145">
        <v>77.8</v>
      </c>
      <c r="T80" s="149">
        <v>-0.15250544662309368</v>
      </c>
    </row>
    <row r="81" spans="1:20" s="119" customFormat="1" ht="14.25">
      <c r="A81" s="120"/>
      <c r="B81" s="195" t="s">
        <v>245</v>
      </c>
      <c r="C81" s="210" t="s">
        <v>203</v>
      </c>
      <c r="D81" s="186">
        <v>1.2</v>
      </c>
      <c r="E81" s="187">
        <v>1.4</v>
      </c>
      <c r="F81" s="187">
        <v>0.8</v>
      </c>
      <c r="G81" s="187">
        <v>1.6</v>
      </c>
      <c r="H81" s="188">
        <v>1.5</v>
      </c>
      <c r="I81" s="187">
        <v>0.8</v>
      </c>
      <c r="J81" s="189">
        <v>0.8</v>
      </c>
      <c r="K81" s="189">
        <v>0.8</v>
      </c>
      <c r="L81" s="189">
        <v>0.8</v>
      </c>
      <c r="M81" s="188">
        <v>0.8</v>
      </c>
      <c r="N81" s="148"/>
      <c r="O81" s="145">
        <v>3.3999999999999995</v>
      </c>
      <c r="P81" s="146">
        <v>3.1</v>
      </c>
      <c r="Q81" s="147">
        <v>6.5</v>
      </c>
      <c r="R81" s="148"/>
      <c r="S81" s="145">
        <v>7.2000000000000011</v>
      </c>
      <c r="T81" s="149">
        <v>0.10769230769230785</v>
      </c>
    </row>
    <row r="82" spans="1:20" s="119" customFormat="1" ht="15">
      <c r="A82" s="120"/>
      <c r="B82" s="194" t="s">
        <v>246</v>
      </c>
      <c r="C82" s="210" t="s">
        <v>203</v>
      </c>
      <c r="D82" s="145">
        <v>21.9</v>
      </c>
      <c r="E82" s="257">
        <v>20.2</v>
      </c>
      <c r="F82" s="257">
        <v>19.900000000000002</v>
      </c>
      <c r="G82" s="257">
        <v>18.600000000000001</v>
      </c>
      <c r="H82" s="147">
        <v>17.7</v>
      </c>
      <c r="I82" s="257">
        <f>SUM(I80:I81)</f>
        <v>13.100000000000001</v>
      </c>
      <c r="J82" s="257">
        <f>SUM(J80:J81)</f>
        <v>13.3</v>
      </c>
      <c r="K82" s="257">
        <f>SUM(K80:K81)</f>
        <v>12.8</v>
      </c>
      <c r="L82" s="257">
        <f>SUM(L80:L81)</f>
        <v>12.8</v>
      </c>
      <c r="M82" s="257">
        <f>SUM(M80:M81)</f>
        <v>12.8</v>
      </c>
      <c r="N82" s="148"/>
      <c r="O82" s="145">
        <v>62</v>
      </c>
      <c r="P82" s="146">
        <v>36.299999999999997</v>
      </c>
      <c r="Q82" s="147">
        <v>98.3</v>
      </c>
      <c r="R82" s="148"/>
      <c r="S82" s="145">
        <v>84.999999999999986</v>
      </c>
      <c r="T82" s="149">
        <v>-0.13530010172939991</v>
      </c>
    </row>
    <row r="83" spans="1:20" s="119" customFormat="1" ht="15">
      <c r="A83" s="120"/>
      <c r="B83" s="252" t="s">
        <v>247</v>
      </c>
      <c r="C83" s="258"/>
      <c r="D83" s="259"/>
      <c r="E83" s="260"/>
      <c r="F83" s="260"/>
      <c r="G83" s="260"/>
      <c r="H83" s="261"/>
      <c r="I83" s="260"/>
      <c r="J83" s="260"/>
      <c r="K83" s="260"/>
      <c r="L83" s="260"/>
      <c r="M83" s="261"/>
      <c r="N83" s="148"/>
      <c r="O83" s="262"/>
      <c r="P83" s="260"/>
      <c r="Q83" s="261"/>
      <c r="R83" s="148"/>
      <c r="S83" s="259"/>
      <c r="T83" s="261"/>
    </row>
    <row r="84" spans="1:20" s="119" customFormat="1" ht="14.25">
      <c r="A84" s="120"/>
      <c r="B84" s="195" t="s">
        <v>244</v>
      </c>
      <c r="C84" s="210" t="s">
        <v>203</v>
      </c>
      <c r="D84" s="186">
        <v>0.9</v>
      </c>
      <c r="E84" s="187">
        <v>1.6</v>
      </c>
      <c r="F84" s="187">
        <v>1.1000000000000001</v>
      </c>
      <c r="G84" s="187">
        <v>3.2</v>
      </c>
      <c r="H84" s="188">
        <v>2.2000000000000002</v>
      </c>
      <c r="I84" s="187">
        <v>4.0999999999999996</v>
      </c>
      <c r="J84" s="189">
        <v>4.0999999999999996</v>
      </c>
      <c r="K84" s="189">
        <v>4.0999999999999996</v>
      </c>
      <c r="L84" s="189">
        <v>4.0999999999999996</v>
      </c>
      <c r="M84" s="188">
        <v>4.0999999999999996</v>
      </c>
      <c r="N84" s="148"/>
      <c r="O84" s="145">
        <v>3.6</v>
      </c>
      <c r="P84" s="146">
        <v>5.4</v>
      </c>
      <c r="Q84" s="147">
        <v>9</v>
      </c>
      <c r="R84" s="148"/>
      <c r="S84" s="145">
        <v>7.3</v>
      </c>
      <c r="T84" s="149">
        <v>-0.18888888888888891</v>
      </c>
    </row>
    <row r="85" spans="1:20" s="119" customFormat="1" ht="14.25">
      <c r="A85" s="120"/>
      <c r="B85" s="195" t="s">
        <v>245</v>
      </c>
      <c r="C85" s="210" t="s">
        <v>203</v>
      </c>
      <c r="D85" s="186">
        <v>0</v>
      </c>
      <c r="E85" s="187">
        <v>0</v>
      </c>
      <c r="F85" s="187">
        <v>2.5</v>
      </c>
      <c r="G85" s="187">
        <v>2.6</v>
      </c>
      <c r="H85" s="188">
        <v>4.4000000000000004</v>
      </c>
      <c r="I85" s="187">
        <v>2.2999999999999998</v>
      </c>
      <c r="J85" s="189">
        <v>1.1000000000000001</v>
      </c>
      <c r="K85" s="189">
        <v>1.1000000000000001</v>
      </c>
      <c r="L85" s="189">
        <v>1.1000000000000001</v>
      </c>
      <c r="M85" s="188">
        <v>1.1000000000000001</v>
      </c>
      <c r="N85" s="148"/>
      <c r="O85" s="145">
        <v>2.5</v>
      </c>
      <c r="P85" s="146">
        <v>7</v>
      </c>
      <c r="Q85" s="147">
        <v>9.5</v>
      </c>
      <c r="R85" s="148"/>
      <c r="S85" s="145">
        <v>3.8999999999999995</v>
      </c>
      <c r="T85" s="149">
        <v>-0.58947368421052637</v>
      </c>
    </row>
    <row r="86" spans="1:20" s="119" customFormat="1" ht="15">
      <c r="A86" s="120"/>
      <c r="B86" s="194" t="s">
        <v>248</v>
      </c>
      <c r="C86" s="210" t="s">
        <v>203</v>
      </c>
      <c r="D86" s="145">
        <v>0.9</v>
      </c>
      <c r="E86" s="257">
        <v>1.6</v>
      </c>
      <c r="F86" s="257">
        <v>3.6</v>
      </c>
      <c r="G86" s="257">
        <v>5.8000000000000007</v>
      </c>
      <c r="H86" s="147">
        <v>6.6000000000000005</v>
      </c>
      <c r="I86" s="257">
        <f>SUM(I84:I85)</f>
        <v>6.3999999999999995</v>
      </c>
      <c r="J86" s="257">
        <f>SUM(J84:J85)</f>
        <v>5.1999999999999993</v>
      </c>
      <c r="K86" s="257">
        <f>SUM(K84:K85)</f>
        <v>5.1999999999999993</v>
      </c>
      <c r="L86" s="257">
        <f>SUM(L84:L85)</f>
        <v>5.1999999999999993</v>
      </c>
      <c r="M86" s="257">
        <f>SUM(M84:M85)</f>
        <v>5.1999999999999993</v>
      </c>
      <c r="N86" s="148"/>
      <c r="O86" s="145">
        <v>6.1</v>
      </c>
      <c r="P86" s="146">
        <v>12.400000000000002</v>
      </c>
      <c r="Q86" s="147">
        <v>18.5</v>
      </c>
      <c r="R86" s="148"/>
      <c r="S86" s="145">
        <v>11.2</v>
      </c>
      <c r="T86" s="149">
        <v>-0.39459459459459462</v>
      </c>
    </row>
    <row r="87" spans="1:20" s="119" customFormat="1" ht="15">
      <c r="A87" s="120"/>
      <c r="B87" s="252" t="s">
        <v>249</v>
      </c>
      <c r="C87" s="258"/>
      <c r="D87" s="259"/>
      <c r="E87" s="260"/>
      <c r="F87" s="260"/>
      <c r="G87" s="260"/>
      <c r="H87" s="261"/>
      <c r="I87" s="260"/>
      <c r="J87" s="260"/>
      <c r="K87" s="260"/>
      <c r="L87" s="260"/>
      <c r="M87" s="261"/>
      <c r="N87" s="148"/>
      <c r="O87" s="259"/>
      <c r="P87" s="260"/>
      <c r="Q87" s="261"/>
      <c r="R87" s="148"/>
      <c r="S87" s="259"/>
      <c r="T87" s="261"/>
    </row>
    <row r="88" spans="1:20" s="119" customFormat="1" ht="14.25">
      <c r="A88" s="120"/>
      <c r="B88" s="195" t="s">
        <v>244</v>
      </c>
      <c r="C88" s="210" t="s">
        <v>203</v>
      </c>
      <c r="D88" s="186">
        <v>0</v>
      </c>
      <c r="E88" s="187">
        <v>0</v>
      </c>
      <c r="F88" s="187">
        <v>0</v>
      </c>
      <c r="G88" s="187">
        <v>0</v>
      </c>
      <c r="H88" s="188">
        <v>0</v>
      </c>
      <c r="I88" s="187">
        <v>0</v>
      </c>
      <c r="J88" s="189">
        <v>0</v>
      </c>
      <c r="K88" s="189">
        <v>0</v>
      </c>
      <c r="L88" s="189">
        <v>0</v>
      </c>
      <c r="M88" s="188">
        <v>0</v>
      </c>
      <c r="N88" s="148"/>
      <c r="O88" s="145">
        <v>0</v>
      </c>
      <c r="P88" s="146">
        <v>0</v>
      </c>
      <c r="Q88" s="147">
        <v>0</v>
      </c>
      <c r="R88" s="148"/>
      <c r="S88" s="145">
        <v>0</v>
      </c>
      <c r="T88" s="149" t="s">
        <v>987</v>
      </c>
    </row>
    <row r="89" spans="1:20" s="119" customFormat="1" ht="14.25">
      <c r="A89" s="120"/>
      <c r="B89" s="195" t="s">
        <v>245</v>
      </c>
      <c r="C89" s="210" t="s">
        <v>203</v>
      </c>
      <c r="D89" s="186">
        <v>0</v>
      </c>
      <c r="E89" s="187">
        <v>0</v>
      </c>
      <c r="F89" s="187">
        <v>0</v>
      </c>
      <c r="G89" s="187">
        <v>0</v>
      </c>
      <c r="H89" s="188">
        <v>0</v>
      </c>
      <c r="I89" s="187">
        <v>0</v>
      </c>
      <c r="J89" s="189">
        <v>0</v>
      </c>
      <c r="K89" s="189">
        <v>0</v>
      </c>
      <c r="L89" s="189">
        <v>0</v>
      </c>
      <c r="M89" s="188">
        <v>0</v>
      </c>
      <c r="N89" s="148"/>
      <c r="O89" s="145">
        <v>0</v>
      </c>
      <c r="P89" s="146">
        <v>0</v>
      </c>
      <c r="Q89" s="147">
        <v>0</v>
      </c>
      <c r="R89" s="148"/>
      <c r="S89" s="145">
        <v>0</v>
      </c>
      <c r="T89" s="149" t="s">
        <v>987</v>
      </c>
    </row>
    <row r="90" spans="1:20" s="119" customFormat="1" ht="15">
      <c r="A90" s="120"/>
      <c r="B90" s="194" t="s">
        <v>250</v>
      </c>
      <c r="C90" s="210" t="s">
        <v>203</v>
      </c>
      <c r="D90" s="145">
        <v>0</v>
      </c>
      <c r="E90" s="257">
        <v>0</v>
      </c>
      <c r="F90" s="257">
        <v>0</v>
      </c>
      <c r="G90" s="257">
        <v>0</v>
      </c>
      <c r="H90" s="147">
        <v>0</v>
      </c>
      <c r="I90" s="257">
        <v>0</v>
      </c>
      <c r="J90" s="146">
        <v>0</v>
      </c>
      <c r="K90" s="146">
        <v>0</v>
      </c>
      <c r="L90" s="146">
        <v>0</v>
      </c>
      <c r="M90" s="147">
        <v>0</v>
      </c>
      <c r="N90" s="148"/>
      <c r="O90" s="145">
        <v>0</v>
      </c>
      <c r="P90" s="146">
        <v>0</v>
      </c>
      <c r="Q90" s="147">
        <v>0</v>
      </c>
      <c r="R90" s="148"/>
      <c r="S90" s="145">
        <v>0</v>
      </c>
      <c r="T90" s="149" t="s">
        <v>987</v>
      </c>
    </row>
    <row r="91" spans="1:20" s="119" customFormat="1" ht="15">
      <c r="A91" s="120"/>
      <c r="B91" s="252" t="s">
        <v>251</v>
      </c>
      <c r="C91" s="258"/>
      <c r="D91" s="259"/>
      <c r="E91" s="260"/>
      <c r="F91" s="260"/>
      <c r="G91" s="260"/>
      <c r="H91" s="261"/>
      <c r="I91" s="260"/>
      <c r="J91" s="260"/>
      <c r="K91" s="260"/>
      <c r="L91" s="260"/>
      <c r="M91" s="261"/>
      <c r="N91" s="148"/>
      <c r="O91" s="259"/>
      <c r="P91" s="260"/>
      <c r="Q91" s="261"/>
      <c r="R91" s="148"/>
      <c r="S91" s="259"/>
      <c r="T91" s="261"/>
    </row>
    <row r="92" spans="1:20" s="119" customFormat="1" ht="14.25">
      <c r="A92" s="120"/>
      <c r="B92" s="195" t="s">
        <v>244</v>
      </c>
      <c r="C92" s="210" t="s">
        <v>203</v>
      </c>
      <c r="D92" s="186">
        <v>0</v>
      </c>
      <c r="E92" s="187">
        <v>0</v>
      </c>
      <c r="F92" s="187">
        <v>0</v>
      </c>
      <c r="G92" s="187">
        <v>0</v>
      </c>
      <c r="H92" s="188">
        <v>0</v>
      </c>
      <c r="I92" s="187">
        <v>0</v>
      </c>
      <c r="J92" s="189">
        <v>0</v>
      </c>
      <c r="K92" s="189">
        <v>0</v>
      </c>
      <c r="L92" s="189">
        <v>0</v>
      </c>
      <c r="M92" s="188">
        <v>0</v>
      </c>
      <c r="N92" s="148"/>
      <c r="O92" s="145">
        <v>0</v>
      </c>
      <c r="P92" s="146">
        <v>0</v>
      </c>
      <c r="Q92" s="147">
        <v>0</v>
      </c>
      <c r="R92" s="148"/>
      <c r="S92" s="145">
        <v>0</v>
      </c>
      <c r="T92" s="149" t="s">
        <v>987</v>
      </c>
    </row>
    <row r="93" spans="1:20" s="119" customFormat="1" ht="14.25">
      <c r="A93" s="120"/>
      <c r="B93" s="195" t="s">
        <v>245</v>
      </c>
      <c r="C93" s="210" t="s">
        <v>203</v>
      </c>
      <c r="D93" s="186">
        <v>0</v>
      </c>
      <c r="E93" s="187">
        <v>0</v>
      </c>
      <c r="F93" s="187">
        <v>0</v>
      </c>
      <c r="G93" s="187">
        <v>0</v>
      </c>
      <c r="H93" s="188">
        <v>0</v>
      </c>
      <c r="I93" s="187">
        <v>0</v>
      </c>
      <c r="J93" s="189">
        <v>0</v>
      </c>
      <c r="K93" s="189">
        <v>0</v>
      </c>
      <c r="L93" s="189">
        <v>0</v>
      </c>
      <c r="M93" s="188">
        <v>0</v>
      </c>
      <c r="N93" s="148"/>
      <c r="O93" s="145">
        <v>0</v>
      </c>
      <c r="P93" s="146">
        <v>0</v>
      </c>
      <c r="Q93" s="147">
        <v>0</v>
      </c>
      <c r="R93" s="148"/>
      <c r="S93" s="145">
        <v>0</v>
      </c>
      <c r="T93" s="149" t="s">
        <v>987</v>
      </c>
    </row>
    <row r="94" spans="1:20" s="119" customFormat="1" ht="15">
      <c r="A94" s="120"/>
      <c r="B94" s="194" t="s">
        <v>252</v>
      </c>
      <c r="C94" s="210" t="s">
        <v>203</v>
      </c>
      <c r="D94" s="145">
        <v>0</v>
      </c>
      <c r="E94" s="257">
        <v>0</v>
      </c>
      <c r="F94" s="257">
        <v>0</v>
      </c>
      <c r="G94" s="257">
        <v>0</v>
      </c>
      <c r="H94" s="147">
        <v>0</v>
      </c>
      <c r="I94" s="257">
        <v>0</v>
      </c>
      <c r="J94" s="146">
        <v>0</v>
      </c>
      <c r="K94" s="146">
        <v>0</v>
      </c>
      <c r="L94" s="146">
        <v>0</v>
      </c>
      <c r="M94" s="147">
        <v>0</v>
      </c>
      <c r="N94" s="148"/>
      <c r="O94" s="145">
        <v>0</v>
      </c>
      <c r="P94" s="146">
        <v>0</v>
      </c>
      <c r="Q94" s="147">
        <v>0</v>
      </c>
      <c r="R94" s="148"/>
      <c r="S94" s="145">
        <v>0</v>
      </c>
      <c r="T94" s="149" t="s">
        <v>987</v>
      </c>
    </row>
    <row r="95" spans="1:20" s="119" customFormat="1" ht="15">
      <c r="A95" s="120"/>
      <c r="B95" s="194"/>
      <c r="C95" s="210"/>
      <c r="D95" s="259"/>
      <c r="E95" s="260"/>
      <c r="F95" s="260"/>
      <c r="G95" s="260"/>
      <c r="H95" s="261"/>
      <c r="I95" s="260"/>
      <c r="J95" s="260"/>
      <c r="K95" s="260"/>
      <c r="L95" s="260"/>
      <c r="M95" s="261"/>
      <c r="N95" s="148"/>
      <c r="O95" s="259"/>
      <c r="P95" s="260"/>
      <c r="Q95" s="261"/>
      <c r="R95" s="148"/>
      <c r="S95" s="259"/>
      <c r="T95" s="261"/>
    </row>
    <row r="96" spans="1:20" s="119" customFormat="1" ht="30">
      <c r="A96" s="120"/>
      <c r="B96" s="194" t="s">
        <v>253</v>
      </c>
      <c r="C96" s="210" t="s">
        <v>203</v>
      </c>
      <c r="D96" s="263"/>
      <c r="E96" s="264"/>
      <c r="F96" s="264"/>
      <c r="G96" s="187">
        <v>0</v>
      </c>
      <c r="H96" s="188">
        <v>0</v>
      </c>
      <c r="I96" s="187">
        <v>0</v>
      </c>
      <c r="J96" s="189">
        <v>0</v>
      </c>
      <c r="K96" s="189">
        <v>0</v>
      </c>
      <c r="L96" s="189">
        <v>0</v>
      </c>
      <c r="M96" s="188">
        <v>0</v>
      </c>
      <c r="N96" s="148"/>
      <c r="O96" s="145">
        <v>0</v>
      </c>
      <c r="P96" s="146">
        <v>0</v>
      </c>
      <c r="Q96" s="147">
        <v>0</v>
      </c>
      <c r="R96" s="148"/>
      <c r="S96" s="145">
        <v>0</v>
      </c>
      <c r="T96" s="149" t="s">
        <v>987</v>
      </c>
    </row>
    <row r="97" spans="1:20" s="119" customFormat="1" ht="30">
      <c r="A97" s="120"/>
      <c r="B97" s="194" t="s">
        <v>254</v>
      </c>
      <c r="C97" s="210" t="s">
        <v>203</v>
      </c>
      <c r="D97" s="155">
        <v>22.799999999999997</v>
      </c>
      <c r="E97" s="158">
        <v>21.8</v>
      </c>
      <c r="F97" s="158">
        <v>23.500000000000004</v>
      </c>
      <c r="G97" s="158">
        <v>24.400000000000002</v>
      </c>
      <c r="H97" s="157">
        <v>24.3</v>
      </c>
      <c r="I97" s="158">
        <v>19.2</v>
      </c>
      <c r="J97" s="156">
        <v>19.7</v>
      </c>
      <c r="K97" s="156">
        <v>19.100000000000001</v>
      </c>
      <c r="L97" s="156">
        <v>19.100000000000001</v>
      </c>
      <c r="M97" s="157">
        <v>19.100000000000001</v>
      </c>
      <c r="N97" s="203"/>
      <c r="O97" s="155">
        <v>68.099999999999994</v>
      </c>
      <c r="P97" s="156">
        <v>48.7</v>
      </c>
      <c r="Q97" s="157">
        <v>116.8</v>
      </c>
      <c r="R97" s="203"/>
      <c r="S97" s="155">
        <v>96.199999999999989</v>
      </c>
      <c r="T97" s="265">
        <v>-0.1763698630136987</v>
      </c>
    </row>
    <row r="98" spans="1:20" s="119" customFormat="1" ht="15">
      <c r="A98" s="120"/>
      <c r="B98" s="194"/>
      <c r="C98" s="210"/>
      <c r="D98" s="259"/>
      <c r="E98" s="260"/>
      <c r="F98" s="260"/>
      <c r="G98" s="260"/>
      <c r="H98" s="261"/>
      <c r="I98" s="260"/>
      <c r="J98" s="260"/>
      <c r="K98" s="260"/>
      <c r="L98" s="260"/>
      <c r="M98" s="261"/>
      <c r="N98" s="148"/>
      <c r="O98" s="259"/>
      <c r="P98" s="260"/>
      <c r="Q98" s="261"/>
      <c r="R98" s="148"/>
      <c r="S98" s="259"/>
      <c r="T98" s="261"/>
    </row>
    <row r="99" spans="1:20" s="119" customFormat="1" ht="15">
      <c r="A99" s="120"/>
      <c r="B99" s="194" t="s">
        <v>255</v>
      </c>
      <c r="C99" s="139" t="s">
        <v>203</v>
      </c>
      <c r="D99" s="263"/>
      <c r="E99" s="264"/>
      <c r="F99" s="264"/>
      <c r="G99" s="187">
        <v>0</v>
      </c>
      <c r="H99" s="188">
        <v>0</v>
      </c>
      <c r="I99" s="187">
        <v>0</v>
      </c>
      <c r="J99" s="189">
        <v>0</v>
      </c>
      <c r="K99" s="189">
        <v>0</v>
      </c>
      <c r="L99" s="189">
        <v>0</v>
      </c>
      <c r="M99" s="188">
        <v>0</v>
      </c>
      <c r="N99" s="148"/>
      <c r="O99" s="145">
        <v>0</v>
      </c>
      <c r="P99" s="146">
        <v>0</v>
      </c>
      <c r="Q99" s="147">
        <v>0</v>
      </c>
      <c r="R99" s="148"/>
      <c r="S99" s="145">
        <v>0</v>
      </c>
      <c r="T99" s="149" t="s">
        <v>987</v>
      </c>
    </row>
    <row r="100" spans="1:20" s="119" customFormat="1" ht="15.75" thickBot="1">
      <c r="A100" s="120"/>
      <c r="B100" s="202" t="s">
        <v>256</v>
      </c>
      <c r="C100" s="234" t="s">
        <v>203</v>
      </c>
      <c r="D100" s="266"/>
      <c r="E100" s="267"/>
      <c r="F100" s="267"/>
      <c r="G100" s="268">
        <v>0</v>
      </c>
      <c r="H100" s="269">
        <v>0</v>
      </c>
      <c r="I100" s="268">
        <v>0</v>
      </c>
      <c r="J100" s="270">
        <v>0</v>
      </c>
      <c r="K100" s="270">
        <v>0</v>
      </c>
      <c r="L100" s="270">
        <v>0</v>
      </c>
      <c r="M100" s="269">
        <v>0</v>
      </c>
      <c r="N100" s="148"/>
      <c r="O100" s="165">
        <v>0</v>
      </c>
      <c r="P100" s="166">
        <v>0</v>
      </c>
      <c r="Q100" s="167">
        <v>0</v>
      </c>
      <c r="R100" s="148"/>
      <c r="S100" s="165">
        <v>0</v>
      </c>
      <c r="T100" s="168" t="s">
        <v>987</v>
      </c>
    </row>
    <row r="101" spans="1:20" s="119" customFormat="1" ht="14.25">
      <c r="A101" s="120"/>
      <c r="B101" s="120"/>
      <c r="C101" s="120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</row>
    <row r="102" spans="1:20" s="119" customFormat="1" ht="14.25">
      <c r="A102" s="120"/>
      <c r="B102" s="120"/>
      <c r="C102" s="122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48"/>
      <c r="O102" s="169"/>
      <c r="P102" s="169"/>
      <c r="Q102" s="169"/>
      <c r="R102" s="148"/>
      <c r="S102" s="169"/>
      <c r="T102" s="169"/>
    </row>
    <row r="103" spans="1:20" s="119" customFormat="1" ht="15">
      <c r="A103" s="120"/>
      <c r="B103" s="121" t="s">
        <v>257</v>
      </c>
      <c r="C103" s="242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148"/>
      <c r="O103" s="243"/>
      <c r="P103" s="243"/>
      <c r="Q103" s="243"/>
      <c r="R103" s="148"/>
      <c r="S103" s="243"/>
      <c r="T103" s="243"/>
    </row>
    <row r="104" spans="1:20" s="119" customFormat="1" ht="15.75" thickBot="1">
      <c r="A104" s="120"/>
      <c r="B104" s="121"/>
      <c r="C104" s="242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148"/>
      <c r="O104" s="243"/>
      <c r="P104" s="243"/>
      <c r="Q104" s="243"/>
      <c r="R104" s="148"/>
      <c r="S104" s="243"/>
      <c r="T104" s="243"/>
    </row>
    <row r="105" spans="1:20" s="119" customFormat="1" ht="14.25">
      <c r="A105" s="120"/>
      <c r="B105" s="1463"/>
      <c r="C105" s="1461" t="s">
        <v>190</v>
      </c>
      <c r="D105" s="170" t="s">
        <v>191</v>
      </c>
      <c r="E105" s="171"/>
      <c r="F105" s="171"/>
      <c r="G105" s="171"/>
      <c r="H105" s="172"/>
      <c r="I105" s="171" t="s">
        <v>192</v>
      </c>
      <c r="J105" s="173"/>
      <c r="K105" s="173"/>
      <c r="L105" s="173"/>
      <c r="M105" s="172"/>
      <c r="N105" s="148"/>
      <c r="O105" s="244" t="s">
        <v>191</v>
      </c>
      <c r="P105" s="245"/>
      <c r="Q105" s="246"/>
      <c r="R105" s="148"/>
      <c r="S105" s="244" t="s">
        <v>192</v>
      </c>
      <c r="T105" s="246"/>
    </row>
    <row r="106" spans="1:20" s="119" customFormat="1" ht="14.25">
      <c r="A106" s="120"/>
      <c r="B106" s="1464"/>
      <c r="C106" s="1462"/>
      <c r="D106" s="174" t="s">
        <v>79</v>
      </c>
      <c r="E106" s="175" t="s">
        <v>80</v>
      </c>
      <c r="F106" s="175" t="s">
        <v>81</v>
      </c>
      <c r="G106" s="175" t="s">
        <v>82</v>
      </c>
      <c r="H106" s="176" t="s">
        <v>44</v>
      </c>
      <c r="I106" s="177" t="s">
        <v>193</v>
      </c>
      <c r="J106" s="175" t="s">
        <v>194</v>
      </c>
      <c r="K106" s="175" t="s">
        <v>195</v>
      </c>
      <c r="L106" s="175" t="s">
        <v>196</v>
      </c>
      <c r="M106" s="176" t="s">
        <v>197</v>
      </c>
      <c r="N106" s="148"/>
      <c r="O106" s="247" t="s">
        <v>198</v>
      </c>
      <c r="P106" s="248" t="s">
        <v>199</v>
      </c>
      <c r="Q106" s="249" t="s">
        <v>200</v>
      </c>
      <c r="R106" s="148"/>
      <c r="S106" s="247" t="s">
        <v>199</v>
      </c>
      <c r="T106" s="249" t="s">
        <v>201</v>
      </c>
    </row>
    <row r="107" spans="1:20" s="119" customFormat="1" ht="30">
      <c r="A107" s="120"/>
      <c r="B107" s="194" t="s">
        <v>258</v>
      </c>
      <c r="C107" s="253"/>
      <c r="D107" s="180"/>
      <c r="E107" s="181"/>
      <c r="F107" s="181"/>
      <c r="G107" s="181"/>
      <c r="H107" s="182"/>
      <c r="I107" s="181"/>
      <c r="J107" s="181"/>
      <c r="K107" s="181"/>
      <c r="L107" s="181"/>
      <c r="M107" s="182"/>
      <c r="N107" s="148"/>
      <c r="O107" s="254"/>
      <c r="P107" s="255"/>
      <c r="Q107" s="256"/>
      <c r="R107" s="148"/>
      <c r="S107" s="180"/>
      <c r="T107" s="182"/>
    </row>
    <row r="108" spans="1:20" s="119" customFormat="1" ht="14.25">
      <c r="A108" s="120"/>
      <c r="B108" s="195" t="s">
        <v>244</v>
      </c>
      <c r="C108" s="210" t="s">
        <v>203</v>
      </c>
      <c r="D108" s="186">
        <v>19</v>
      </c>
      <c r="E108" s="187">
        <v>18.8</v>
      </c>
      <c r="F108" s="187">
        <v>19.100000000000001</v>
      </c>
      <c r="G108" s="187">
        <v>17</v>
      </c>
      <c r="H108" s="188">
        <v>16.2</v>
      </c>
      <c r="I108" s="187">
        <v>12.3</v>
      </c>
      <c r="J108" s="189">
        <v>12.5</v>
      </c>
      <c r="K108" s="189">
        <v>12</v>
      </c>
      <c r="L108" s="189">
        <v>12</v>
      </c>
      <c r="M108" s="188">
        <v>12</v>
      </c>
      <c r="N108" s="148"/>
      <c r="O108" s="145">
        <v>56.9</v>
      </c>
      <c r="P108" s="146">
        <v>33.200000000000003</v>
      </c>
      <c r="Q108" s="147">
        <v>90.100000000000009</v>
      </c>
      <c r="R108" s="148"/>
      <c r="S108" s="145">
        <v>77.8</v>
      </c>
      <c r="T108" s="149">
        <v>-0.1365149833518314</v>
      </c>
    </row>
    <row r="109" spans="1:20" s="119" customFormat="1" ht="14.25">
      <c r="A109" s="120"/>
      <c r="B109" s="195" t="s">
        <v>259</v>
      </c>
      <c r="C109" s="210" t="s">
        <v>203</v>
      </c>
      <c r="D109" s="186">
        <v>0.2</v>
      </c>
      <c r="E109" s="187">
        <v>0.6</v>
      </c>
      <c r="F109" s="187">
        <v>0.3</v>
      </c>
      <c r="G109" s="187">
        <v>0.6</v>
      </c>
      <c r="H109" s="188">
        <v>0.6</v>
      </c>
      <c r="I109" s="187">
        <v>0.8</v>
      </c>
      <c r="J109" s="189">
        <v>0.8</v>
      </c>
      <c r="K109" s="189">
        <v>0.8</v>
      </c>
      <c r="L109" s="189">
        <v>0.8</v>
      </c>
      <c r="M109" s="188">
        <v>0.8</v>
      </c>
      <c r="N109" s="148"/>
      <c r="O109" s="145">
        <v>1.1000000000000001</v>
      </c>
      <c r="P109" s="146">
        <v>1.2</v>
      </c>
      <c r="Q109" s="147">
        <v>2.3000000000000003</v>
      </c>
      <c r="R109" s="148"/>
      <c r="S109" s="145">
        <v>3</v>
      </c>
      <c r="T109" s="149">
        <v>0.30434782608695637</v>
      </c>
    </row>
    <row r="110" spans="1:20" s="119" customFormat="1" ht="15">
      <c r="A110" s="120"/>
      <c r="B110" s="194" t="s">
        <v>246</v>
      </c>
      <c r="C110" s="210" t="s">
        <v>203</v>
      </c>
      <c r="D110" s="145">
        <v>19.2</v>
      </c>
      <c r="E110" s="257">
        <v>19.400000000000002</v>
      </c>
      <c r="F110" s="257">
        <v>19.400000000000002</v>
      </c>
      <c r="G110" s="257">
        <v>17.600000000000001</v>
      </c>
      <c r="H110" s="147">
        <v>16.8</v>
      </c>
      <c r="I110" s="257">
        <v>13.1</v>
      </c>
      <c r="J110" s="146">
        <v>13.3</v>
      </c>
      <c r="K110" s="146">
        <v>12.8</v>
      </c>
      <c r="L110" s="146">
        <v>12.8</v>
      </c>
      <c r="M110" s="147">
        <v>12.8</v>
      </c>
      <c r="N110" s="148"/>
      <c r="O110" s="145">
        <v>58</v>
      </c>
      <c r="P110" s="146">
        <v>34.400000000000006</v>
      </c>
      <c r="Q110" s="147">
        <v>92.399999999999991</v>
      </c>
      <c r="R110" s="148"/>
      <c r="S110" s="145">
        <v>80.8</v>
      </c>
      <c r="T110" s="149">
        <v>-0.12554112554112548</v>
      </c>
    </row>
    <row r="111" spans="1:20" s="119" customFormat="1" ht="30">
      <c r="A111" s="120"/>
      <c r="B111" s="194" t="s">
        <v>260</v>
      </c>
      <c r="C111" s="258"/>
      <c r="D111" s="259"/>
      <c r="E111" s="260"/>
      <c r="F111" s="260"/>
      <c r="G111" s="260"/>
      <c r="H111" s="261"/>
      <c r="I111" s="260"/>
      <c r="J111" s="260"/>
      <c r="K111" s="260"/>
      <c r="L111" s="260"/>
      <c r="M111" s="261"/>
      <c r="N111" s="148"/>
      <c r="O111" s="262"/>
      <c r="P111" s="260"/>
      <c r="Q111" s="261"/>
      <c r="R111" s="148"/>
      <c r="S111" s="259"/>
      <c r="T111" s="261"/>
    </row>
    <row r="112" spans="1:20" s="119" customFormat="1" ht="14.25">
      <c r="A112" s="120"/>
      <c r="B112" s="195" t="s">
        <v>244</v>
      </c>
      <c r="C112" s="210" t="s">
        <v>203</v>
      </c>
      <c r="D112" s="186">
        <v>0.9</v>
      </c>
      <c r="E112" s="187">
        <v>1.6</v>
      </c>
      <c r="F112" s="187">
        <v>1.1000000000000001</v>
      </c>
      <c r="G112" s="187">
        <v>3.2</v>
      </c>
      <c r="H112" s="188">
        <v>2.2000000000000002</v>
      </c>
      <c r="I112" s="187">
        <v>4.0999999999999996</v>
      </c>
      <c r="J112" s="189">
        <v>4.0999999999999996</v>
      </c>
      <c r="K112" s="189">
        <v>4.0999999999999996</v>
      </c>
      <c r="L112" s="189">
        <v>4.0999999999999996</v>
      </c>
      <c r="M112" s="188">
        <v>4.0999999999999996</v>
      </c>
      <c r="N112" s="148"/>
      <c r="O112" s="145">
        <v>3.6</v>
      </c>
      <c r="P112" s="146">
        <v>5.4</v>
      </c>
      <c r="Q112" s="147">
        <v>9</v>
      </c>
      <c r="R112" s="148"/>
      <c r="S112" s="145">
        <v>7.3</v>
      </c>
      <c r="T112" s="149">
        <v>-0.18888888888888891</v>
      </c>
    </row>
    <row r="113" spans="1:20" s="119" customFormat="1" ht="14.25">
      <c r="A113" s="120"/>
      <c r="B113" s="195" t="s">
        <v>259</v>
      </c>
      <c r="C113" s="210" t="s">
        <v>203</v>
      </c>
      <c r="D113" s="186">
        <v>0</v>
      </c>
      <c r="E113" s="187">
        <v>0</v>
      </c>
      <c r="F113" s="187">
        <v>0.5</v>
      </c>
      <c r="G113" s="187">
        <v>1</v>
      </c>
      <c r="H113" s="188">
        <v>1.4</v>
      </c>
      <c r="I113" s="187">
        <v>2.2999999999999998</v>
      </c>
      <c r="J113" s="189">
        <v>1.1000000000000001</v>
      </c>
      <c r="K113" s="189">
        <v>1.1000000000000001</v>
      </c>
      <c r="L113" s="189">
        <v>1.1000000000000001</v>
      </c>
      <c r="M113" s="188">
        <v>1.1000000000000001</v>
      </c>
      <c r="N113" s="148"/>
      <c r="O113" s="145">
        <v>0.5</v>
      </c>
      <c r="P113" s="146">
        <v>2.4</v>
      </c>
      <c r="Q113" s="147">
        <v>2.9</v>
      </c>
      <c r="R113" s="148"/>
      <c r="S113" s="145">
        <v>1.9</v>
      </c>
      <c r="T113" s="149">
        <v>-0.34482758620689657</v>
      </c>
    </row>
    <row r="114" spans="1:20" s="119" customFormat="1" ht="15">
      <c r="A114" s="120"/>
      <c r="B114" s="194" t="s">
        <v>248</v>
      </c>
      <c r="C114" s="210" t="s">
        <v>203</v>
      </c>
      <c r="D114" s="145">
        <v>0.9</v>
      </c>
      <c r="E114" s="257">
        <v>1.6</v>
      </c>
      <c r="F114" s="257">
        <v>1.6</v>
      </c>
      <c r="G114" s="257">
        <v>4.2</v>
      </c>
      <c r="H114" s="147">
        <v>3.6</v>
      </c>
      <c r="I114" s="257">
        <v>6.4</v>
      </c>
      <c r="J114" s="146">
        <v>5.2</v>
      </c>
      <c r="K114" s="146">
        <v>5.2</v>
      </c>
      <c r="L114" s="146">
        <v>5.2</v>
      </c>
      <c r="M114" s="147">
        <v>5.2</v>
      </c>
      <c r="N114" s="148"/>
      <c r="O114" s="145">
        <v>4.0999999999999996</v>
      </c>
      <c r="P114" s="146">
        <v>7.8000000000000007</v>
      </c>
      <c r="Q114" s="147">
        <v>11.9</v>
      </c>
      <c r="R114" s="148"/>
      <c r="S114" s="145">
        <v>9.2000000000000011</v>
      </c>
      <c r="T114" s="149">
        <v>-0.22689075630252095</v>
      </c>
    </row>
    <row r="115" spans="1:20" s="119" customFormat="1" ht="30">
      <c r="A115" s="120"/>
      <c r="B115" s="194" t="s">
        <v>261</v>
      </c>
      <c r="C115" s="258"/>
      <c r="D115" s="259"/>
      <c r="E115" s="260"/>
      <c r="F115" s="260"/>
      <c r="G115" s="260"/>
      <c r="H115" s="261"/>
      <c r="I115" s="260"/>
      <c r="J115" s="260"/>
      <c r="K115" s="260"/>
      <c r="L115" s="260"/>
      <c r="M115" s="261"/>
      <c r="N115" s="148"/>
      <c r="O115" s="259"/>
      <c r="P115" s="260"/>
      <c r="Q115" s="261"/>
      <c r="R115" s="148"/>
      <c r="S115" s="259"/>
      <c r="T115" s="261"/>
    </row>
    <row r="116" spans="1:20" s="119" customFormat="1" ht="14.25">
      <c r="A116" s="120"/>
      <c r="B116" s="195" t="s">
        <v>244</v>
      </c>
      <c r="C116" s="210" t="s">
        <v>203</v>
      </c>
      <c r="D116" s="186">
        <v>0</v>
      </c>
      <c r="E116" s="187">
        <v>0</v>
      </c>
      <c r="F116" s="187">
        <v>0</v>
      </c>
      <c r="G116" s="187">
        <v>0</v>
      </c>
      <c r="H116" s="188">
        <v>0</v>
      </c>
      <c r="I116" s="187">
        <v>0</v>
      </c>
      <c r="J116" s="189">
        <v>0</v>
      </c>
      <c r="K116" s="189">
        <v>0</v>
      </c>
      <c r="L116" s="189">
        <v>0</v>
      </c>
      <c r="M116" s="188">
        <v>0</v>
      </c>
      <c r="N116" s="148"/>
      <c r="O116" s="145">
        <v>0</v>
      </c>
      <c r="P116" s="146">
        <v>0</v>
      </c>
      <c r="Q116" s="147">
        <v>0</v>
      </c>
      <c r="R116" s="148"/>
      <c r="S116" s="145">
        <v>0</v>
      </c>
      <c r="T116" s="149" t="s">
        <v>987</v>
      </c>
    </row>
    <row r="117" spans="1:20" s="119" customFormat="1" ht="14.25">
      <c r="A117" s="120"/>
      <c r="B117" s="195" t="s">
        <v>259</v>
      </c>
      <c r="C117" s="210" t="s">
        <v>203</v>
      </c>
      <c r="D117" s="186">
        <v>0</v>
      </c>
      <c r="E117" s="187">
        <v>0</v>
      </c>
      <c r="F117" s="187">
        <v>0</v>
      </c>
      <c r="G117" s="187">
        <v>0</v>
      </c>
      <c r="H117" s="188">
        <v>0</v>
      </c>
      <c r="I117" s="187">
        <v>0</v>
      </c>
      <c r="J117" s="189">
        <v>0</v>
      </c>
      <c r="K117" s="189">
        <v>0</v>
      </c>
      <c r="L117" s="189">
        <v>0</v>
      </c>
      <c r="M117" s="188">
        <v>0</v>
      </c>
      <c r="N117" s="148"/>
      <c r="O117" s="145">
        <v>0</v>
      </c>
      <c r="P117" s="146">
        <v>0</v>
      </c>
      <c r="Q117" s="147">
        <v>0</v>
      </c>
      <c r="R117" s="148"/>
      <c r="S117" s="145">
        <v>0</v>
      </c>
      <c r="T117" s="149" t="s">
        <v>987</v>
      </c>
    </row>
    <row r="118" spans="1:20" s="119" customFormat="1" ht="15">
      <c r="A118" s="120"/>
      <c r="B118" s="194" t="s">
        <v>250</v>
      </c>
      <c r="C118" s="210" t="s">
        <v>203</v>
      </c>
      <c r="D118" s="145">
        <v>0</v>
      </c>
      <c r="E118" s="257">
        <v>0</v>
      </c>
      <c r="F118" s="257">
        <v>0</v>
      </c>
      <c r="G118" s="257">
        <v>0</v>
      </c>
      <c r="H118" s="147">
        <v>0</v>
      </c>
      <c r="I118" s="257">
        <v>0</v>
      </c>
      <c r="J118" s="146">
        <v>0</v>
      </c>
      <c r="K118" s="146">
        <v>0</v>
      </c>
      <c r="L118" s="146">
        <v>0</v>
      </c>
      <c r="M118" s="147">
        <v>0</v>
      </c>
      <c r="N118" s="148"/>
      <c r="O118" s="145">
        <v>0</v>
      </c>
      <c r="P118" s="146">
        <v>0</v>
      </c>
      <c r="Q118" s="147">
        <v>0</v>
      </c>
      <c r="R118" s="148"/>
      <c r="S118" s="145">
        <v>0</v>
      </c>
      <c r="T118" s="149" t="s">
        <v>987</v>
      </c>
    </row>
    <row r="119" spans="1:20" s="119" customFormat="1" ht="30">
      <c r="A119" s="120"/>
      <c r="B119" s="194" t="s">
        <v>262</v>
      </c>
      <c r="C119" s="258"/>
      <c r="D119" s="259"/>
      <c r="E119" s="260"/>
      <c r="F119" s="260"/>
      <c r="G119" s="260"/>
      <c r="H119" s="261"/>
      <c r="I119" s="260"/>
      <c r="J119" s="260"/>
      <c r="K119" s="260"/>
      <c r="L119" s="260"/>
      <c r="M119" s="261"/>
      <c r="N119" s="148"/>
      <c r="O119" s="259"/>
      <c r="P119" s="260"/>
      <c r="Q119" s="261"/>
      <c r="R119" s="148"/>
      <c r="S119" s="259"/>
      <c r="T119" s="261"/>
    </row>
    <row r="120" spans="1:20" s="119" customFormat="1" ht="14.25">
      <c r="A120" s="120"/>
      <c r="B120" s="195" t="s">
        <v>244</v>
      </c>
      <c r="C120" s="210" t="s">
        <v>203</v>
      </c>
      <c r="D120" s="186">
        <v>0</v>
      </c>
      <c r="E120" s="187">
        <v>0</v>
      </c>
      <c r="F120" s="187">
        <v>0</v>
      </c>
      <c r="G120" s="187">
        <v>0</v>
      </c>
      <c r="H120" s="188">
        <v>0</v>
      </c>
      <c r="I120" s="187">
        <v>0</v>
      </c>
      <c r="J120" s="189">
        <v>0</v>
      </c>
      <c r="K120" s="189">
        <v>0</v>
      </c>
      <c r="L120" s="189">
        <v>0</v>
      </c>
      <c r="M120" s="188">
        <v>0</v>
      </c>
      <c r="N120" s="148"/>
      <c r="O120" s="145">
        <v>0</v>
      </c>
      <c r="P120" s="146">
        <v>0</v>
      </c>
      <c r="Q120" s="147">
        <v>0</v>
      </c>
      <c r="R120" s="148"/>
      <c r="S120" s="145">
        <v>0</v>
      </c>
      <c r="T120" s="149" t="s">
        <v>987</v>
      </c>
    </row>
    <row r="121" spans="1:20" s="119" customFormat="1" ht="14.25">
      <c r="A121" s="120"/>
      <c r="B121" s="195" t="s">
        <v>259</v>
      </c>
      <c r="C121" s="210" t="s">
        <v>203</v>
      </c>
      <c r="D121" s="186">
        <v>0</v>
      </c>
      <c r="E121" s="187">
        <v>0</v>
      </c>
      <c r="F121" s="187">
        <v>0</v>
      </c>
      <c r="G121" s="187">
        <v>0</v>
      </c>
      <c r="H121" s="188">
        <v>0</v>
      </c>
      <c r="I121" s="187">
        <v>0</v>
      </c>
      <c r="J121" s="189">
        <v>0</v>
      </c>
      <c r="K121" s="189">
        <v>0</v>
      </c>
      <c r="L121" s="189">
        <v>0</v>
      </c>
      <c r="M121" s="188">
        <v>0</v>
      </c>
      <c r="N121" s="148"/>
      <c r="O121" s="145">
        <v>0</v>
      </c>
      <c r="P121" s="146">
        <v>0</v>
      </c>
      <c r="Q121" s="147">
        <v>0</v>
      </c>
      <c r="R121" s="148"/>
      <c r="S121" s="145">
        <v>0</v>
      </c>
      <c r="T121" s="149" t="s">
        <v>987</v>
      </c>
    </row>
    <row r="122" spans="1:20" s="119" customFormat="1" ht="15">
      <c r="A122" s="120"/>
      <c r="B122" s="194" t="s">
        <v>252</v>
      </c>
      <c r="C122" s="210" t="s">
        <v>203</v>
      </c>
      <c r="D122" s="145">
        <v>0</v>
      </c>
      <c r="E122" s="257">
        <v>0</v>
      </c>
      <c r="F122" s="257">
        <v>0</v>
      </c>
      <c r="G122" s="257">
        <v>0</v>
      </c>
      <c r="H122" s="147">
        <v>0</v>
      </c>
      <c r="I122" s="257">
        <v>0</v>
      </c>
      <c r="J122" s="146">
        <v>0</v>
      </c>
      <c r="K122" s="146">
        <v>0</v>
      </c>
      <c r="L122" s="146">
        <v>0</v>
      </c>
      <c r="M122" s="147">
        <v>0</v>
      </c>
      <c r="N122" s="148"/>
      <c r="O122" s="145">
        <v>0</v>
      </c>
      <c r="P122" s="146">
        <v>0</v>
      </c>
      <c r="Q122" s="147">
        <v>0</v>
      </c>
      <c r="R122" s="148"/>
      <c r="S122" s="145">
        <v>0</v>
      </c>
      <c r="T122" s="149" t="s">
        <v>987</v>
      </c>
    </row>
    <row r="123" spans="1:20" s="119" customFormat="1" ht="15">
      <c r="A123" s="120"/>
      <c r="B123" s="194"/>
      <c r="C123" s="210"/>
      <c r="D123" s="259"/>
      <c r="E123" s="260"/>
      <c r="F123" s="260"/>
      <c r="G123" s="260"/>
      <c r="H123" s="261"/>
      <c r="I123" s="260"/>
      <c r="J123" s="260"/>
      <c r="K123" s="260"/>
      <c r="L123" s="260"/>
      <c r="M123" s="261"/>
      <c r="N123" s="148"/>
      <c r="O123" s="259"/>
      <c r="P123" s="260"/>
      <c r="Q123" s="261"/>
      <c r="R123" s="148"/>
      <c r="S123" s="259"/>
      <c r="T123" s="261"/>
    </row>
    <row r="124" spans="1:20" s="119" customFormat="1" ht="15">
      <c r="A124" s="120"/>
      <c r="B124" s="252" t="s">
        <v>263</v>
      </c>
      <c r="C124" s="139" t="s">
        <v>203</v>
      </c>
      <c r="D124" s="158">
        <v>20.099999999999998</v>
      </c>
      <c r="E124" s="158">
        <v>21.000000000000004</v>
      </c>
      <c r="F124" s="158">
        <v>21.000000000000004</v>
      </c>
      <c r="G124" s="158">
        <v>21.8</v>
      </c>
      <c r="H124" s="157">
        <v>20.400000000000002</v>
      </c>
      <c r="I124" s="158">
        <v>19.5</v>
      </c>
      <c r="J124" s="156">
        <v>18.5</v>
      </c>
      <c r="K124" s="156">
        <v>18</v>
      </c>
      <c r="L124" s="156">
        <v>18</v>
      </c>
      <c r="M124" s="157">
        <v>18</v>
      </c>
      <c r="N124" s="203"/>
      <c r="O124" s="155">
        <v>62.100000000000009</v>
      </c>
      <c r="P124" s="156">
        <v>42.2</v>
      </c>
      <c r="Q124" s="157">
        <v>104.30000000000001</v>
      </c>
      <c r="R124" s="203"/>
      <c r="S124" s="155">
        <v>90</v>
      </c>
      <c r="T124" s="265">
        <v>-0.13710450623202311</v>
      </c>
    </row>
    <row r="125" spans="1:20" s="119" customFormat="1" ht="15">
      <c r="A125" s="120"/>
      <c r="B125" s="252" t="s">
        <v>264</v>
      </c>
      <c r="C125" s="139" t="s">
        <v>203</v>
      </c>
      <c r="D125" s="186">
        <v>1.3</v>
      </c>
      <c r="E125" s="187">
        <v>2.9</v>
      </c>
      <c r="F125" s="187">
        <v>6.8</v>
      </c>
      <c r="G125" s="187">
        <v>8.3000000000000007</v>
      </c>
      <c r="H125" s="188">
        <v>7.8</v>
      </c>
      <c r="I125" s="187">
        <v>6.8</v>
      </c>
      <c r="J125" s="189">
        <v>7</v>
      </c>
      <c r="K125" s="189">
        <v>6.8</v>
      </c>
      <c r="L125" s="189">
        <v>6.8</v>
      </c>
      <c r="M125" s="188">
        <v>6.8</v>
      </c>
      <c r="N125" s="203"/>
      <c r="O125" s="155">
        <v>11</v>
      </c>
      <c r="P125" s="156">
        <v>16.100000000000001</v>
      </c>
      <c r="Q125" s="157">
        <v>27.1</v>
      </c>
      <c r="R125" s="203"/>
      <c r="S125" s="155">
        <v>34.200000000000003</v>
      </c>
      <c r="T125" s="265">
        <v>0.26199261992619932</v>
      </c>
    </row>
    <row r="126" spans="1:20" s="119" customFormat="1" ht="15">
      <c r="A126" s="120"/>
      <c r="B126" s="252" t="s">
        <v>265</v>
      </c>
      <c r="C126" s="139" t="s">
        <v>203</v>
      </c>
      <c r="D126" s="155">
        <v>21.4</v>
      </c>
      <c r="E126" s="158">
        <v>23.900000000000002</v>
      </c>
      <c r="F126" s="158">
        <v>27.800000000000004</v>
      </c>
      <c r="G126" s="158">
        <v>30.1</v>
      </c>
      <c r="H126" s="157">
        <v>28.200000000000003</v>
      </c>
      <c r="I126" s="158">
        <f>+I125+I124</f>
        <v>26.3</v>
      </c>
      <c r="J126" s="158">
        <f>+J125+J124</f>
        <v>25.5</v>
      </c>
      <c r="K126" s="158">
        <f>+K125+K124</f>
        <v>24.8</v>
      </c>
      <c r="L126" s="158">
        <f>+L125+L124</f>
        <v>24.8</v>
      </c>
      <c r="M126" s="158">
        <f>+M125+M124</f>
        <v>24.8</v>
      </c>
      <c r="N126" s="203"/>
      <c r="O126" s="155">
        <v>73.099999999999994</v>
      </c>
      <c r="P126" s="156">
        <v>58.300000000000004</v>
      </c>
      <c r="Q126" s="157">
        <v>131.39999999999998</v>
      </c>
      <c r="R126" s="203"/>
      <c r="S126" s="155">
        <v>124.2</v>
      </c>
      <c r="T126" s="265">
        <v>-5.4794520547945022E-2</v>
      </c>
    </row>
    <row r="127" spans="1:20" s="119" customFormat="1" ht="15">
      <c r="A127" s="120"/>
      <c r="B127" s="252"/>
      <c r="C127" s="190"/>
      <c r="D127" s="254"/>
      <c r="E127" s="255"/>
      <c r="F127" s="255"/>
      <c r="G127" s="255"/>
      <c r="H127" s="256"/>
      <c r="I127" s="255"/>
      <c r="J127" s="255"/>
      <c r="K127" s="255"/>
      <c r="L127" s="255"/>
      <c r="M127" s="256"/>
      <c r="N127" s="148"/>
      <c r="O127" s="259"/>
      <c r="P127" s="260"/>
      <c r="Q127" s="261"/>
      <c r="R127" s="148"/>
      <c r="S127" s="259"/>
      <c r="T127" s="261"/>
    </row>
    <row r="128" spans="1:20" s="119" customFormat="1" ht="45.75" thickBot="1">
      <c r="A128" s="120"/>
      <c r="B128" s="202" t="s">
        <v>266</v>
      </c>
      <c r="C128" s="160" t="s">
        <v>203</v>
      </c>
      <c r="D128" s="164">
        <v>1.3999999999999986</v>
      </c>
      <c r="E128" s="164">
        <v>-2.1000000000000014</v>
      </c>
      <c r="F128" s="164">
        <v>-4.3000000000000007</v>
      </c>
      <c r="G128" s="164">
        <v>-5.6999999999999993</v>
      </c>
      <c r="H128" s="163">
        <v>-3.9000000000000021</v>
      </c>
      <c r="I128" s="164">
        <v>-5.5000000000000036</v>
      </c>
      <c r="J128" s="162">
        <v>-5.6999999999999993</v>
      </c>
      <c r="K128" s="162">
        <v>-5.5999999999999979</v>
      </c>
      <c r="L128" s="162">
        <v>-5.5999999999999979</v>
      </c>
      <c r="M128" s="163">
        <v>-5.5999999999999979</v>
      </c>
      <c r="N128" s="203"/>
      <c r="O128" s="161">
        <v>-5.0000000000000036</v>
      </c>
      <c r="P128" s="162">
        <v>-9.6000000000000014</v>
      </c>
      <c r="Q128" s="163">
        <v>-14.600000000000005</v>
      </c>
      <c r="R128" s="203"/>
      <c r="S128" s="161">
        <v>-27.999999999999996</v>
      </c>
      <c r="T128" s="271">
        <v>0.91780821917808131</v>
      </c>
    </row>
    <row r="129" spans="1:20" s="119" customFormat="1" ht="14.25">
      <c r="A129" s="120"/>
      <c r="B129" s="120"/>
      <c r="C129" s="122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</row>
    <row r="130" spans="1:20" s="119" customFormat="1" ht="15" thickBot="1">
      <c r="A130" s="120"/>
      <c r="B130" s="120"/>
      <c r="C130" s="122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</row>
    <row r="131" spans="1:20" s="119" customFormat="1" ht="14.25">
      <c r="A131" s="120"/>
      <c r="B131" s="1465"/>
      <c r="C131" s="1461" t="s">
        <v>190</v>
      </c>
      <c r="D131" s="170" t="s">
        <v>191</v>
      </c>
      <c r="E131" s="171"/>
      <c r="F131" s="171"/>
      <c r="G131" s="171"/>
      <c r="H131" s="172"/>
      <c r="I131" s="171" t="s">
        <v>192</v>
      </c>
      <c r="J131" s="173"/>
      <c r="K131" s="173"/>
      <c r="L131" s="173"/>
      <c r="M131" s="172"/>
      <c r="N131" s="148"/>
      <c r="O131" s="244" t="s">
        <v>191</v>
      </c>
      <c r="P131" s="245"/>
      <c r="Q131" s="246"/>
      <c r="R131" s="148"/>
      <c r="S131" s="244" t="s">
        <v>192</v>
      </c>
      <c r="T131" s="246"/>
    </row>
    <row r="132" spans="1:20" s="119" customFormat="1" ht="14.25">
      <c r="A132" s="120"/>
      <c r="B132" s="1466"/>
      <c r="C132" s="1462"/>
      <c r="D132" s="174" t="s">
        <v>79</v>
      </c>
      <c r="E132" s="175" t="s">
        <v>80</v>
      </c>
      <c r="F132" s="175" t="s">
        <v>81</v>
      </c>
      <c r="G132" s="175" t="s">
        <v>82</v>
      </c>
      <c r="H132" s="176" t="s">
        <v>44</v>
      </c>
      <c r="I132" s="177" t="s">
        <v>193</v>
      </c>
      <c r="J132" s="175" t="s">
        <v>194</v>
      </c>
      <c r="K132" s="175" t="s">
        <v>195</v>
      </c>
      <c r="L132" s="175" t="s">
        <v>196</v>
      </c>
      <c r="M132" s="176" t="s">
        <v>197</v>
      </c>
      <c r="N132" s="148"/>
      <c r="O132" s="247" t="s">
        <v>198</v>
      </c>
      <c r="P132" s="248" t="s">
        <v>199</v>
      </c>
      <c r="Q132" s="249" t="s">
        <v>200</v>
      </c>
      <c r="R132" s="148"/>
      <c r="S132" s="247" t="s">
        <v>199</v>
      </c>
      <c r="T132" s="249" t="s">
        <v>201</v>
      </c>
    </row>
    <row r="133" spans="1:20" s="119" customFormat="1" ht="15" customHeight="1">
      <c r="A133" s="120"/>
      <c r="B133" s="195" t="s">
        <v>267</v>
      </c>
      <c r="C133" s="272" t="s">
        <v>203</v>
      </c>
      <c r="D133" s="140">
        <v>1</v>
      </c>
      <c r="E133" s="141">
        <v>0.79999999999999993</v>
      </c>
      <c r="F133" s="141">
        <v>0.5</v>
      </c>
      <c r="G133" s="141">
        <v>1</v>
      </c>
      <c r="H133" s="142">
        <v>0.9</v>
      </c>
      <c r="I133" s="141">
        <v>0.9</v>
      </c>
      <c r="J133" s="143">
        <v>0.9</v>
      </c>
      <c r="K133" s="143">
        <v>0.79999999999999993</v>
      </c>
      <c r="L133" s="143">
        <v>0.79999999999999993</v>
      </c>
      <c r="M133" s="142">
        <v>0.79999999999999993</v>
      </c>
      <c r="N133" s="169"/>
      <c r="O133" s="273">
        <v>2.2999999999999998</v>
      </c>
      <c r="P133" s="274">
        <v>1.9</v>
      </c>
      <c r="Q133" s="275">
        <v>4.2</v>
      </c>
      <c r="R133" s="148"/>
      <c r="S133" s="273">
        <v>4.2</v>
      </c>
      <c r="T133" s="276">
        <v>0</v>
      </c>
    </row>
    <row r="134" spans="1:20" s="119" customFormat="1" ht="15" customHeight="1">
      <c r="A134" s="120"/>
      <c r="B134" s="195" t="s">
        <v>268</v>
      </c>
      <c r="C134" s="272" t="s">
        <v>203</v>
      </c>
      <c r="D134" s="150">
        <v>0</v>
      </c>
      <c r="E134" s="151">
        <v>0</v>
      </c>
      <c r="F134" s="151">
        <v>2</v>
      </c>
      <c r="G134" s="151">
        <v>1.6</v>
      </c>
      <c r="H134" s="152">
        <v>3.0000000000000004</v>
      </c>
      <c r="I134" s="151">
        <v>0.39999999999999997</v>
      </c>
      <c r="J134" s="153">
        <v>0.4</v>
      </c>
      <c r="K134" s="153">
        <v>0.4</v>
      </c>
      <c r="L134" s="153">
        <v>0.4</v>
      </c>
      <c r="M134" s="152">
        <v>0.4</v>
      </c>
      <c r="N134" s="169"/>
      <c r="O134" s="145">
        <v>2</v>
      </c>
      <c r="P134" s="146">
        <v>4.6000000000000005</v>
      </c>
      <c r="Q134" s="147">
        <v>6.6000000000000005</v>
      </c>
      <c r="R134" s="148"/>
      <c r="S134" s="145">
        <v>2</v>
      </c>
      <c r="T134" s="149">
        <v>-0.69696969696969702</v>
      </c>
    </row>
    <row r="135" spans="1:20" s="119" customFormat="1" ht="15" customHeight="1">
      <c r="A135" s="120"/>
      <c r="B135" s="195" t="s">
        <v>269</v>
      </c>
      <c r="C135" s="272" t="s">
        <v>203</v>
      </c>
      <c r="D135" s="150">
        <v>0</v>
      </c>
      <c r="E135" s="151">
        <v>0</v>
      </c>
      <c r="F135" s="151">
        <v>0</v>
      </c>
      <c r="G135" s="151">
        <v>0</v>
      </c>
      <c r="H135" s="152">
        <v>0</v>
      </c>
      <c r="I135" s="151">
        <v>0</v>
      </c>
      <c r="J135" s="153">
        <v>0</v>
      </c>
      <c r="K135" s="153">
        <v>0</v>
      </c>
      <c r="L135" s="153">
        <v>0</v>
      </c>
      <c r="M135" s="152">
        <v>0</v>
      </c>
      <c r="N135" s="169"/>
      <c r="O135" s="145">
        <v>0</v>
      </c>
      <c r="P135" s="146">
        <v>0</v>
      </c>
      <c r="Q135" s="147">
        <v>0</v>
      </c>
      <c r="R135" s="148"/>
      <c r="S135" s="145">
        <v>0</v>
      </c>
      <c r="T135" s="149" t="s">
        <v>987</v>
      </c>
    </row>
    <row r="136" spans="1:20" s="119" customFormat="1" ht="15" customHeight="1" thickBot="1">
      <c r="A136" s="120"/>
      <c r="B136" s="277" t="s">
        <v>270</v>
      </c>
      <c r="C136" s="278" t="s">
        <v>203</v>
      </c>
      <c r="D136" s="279">
        <v>0</v>
      </c>
      <c r="E136" s="280">
        <v>0</v>
      </c>
      <c r="F136" s="280">
        <v>0</v>
      </c>
      <c r="G136" s="280">
        <v>0</v>
      </c>
      <c r="H136" s="281">
        <v>0</v>
      </c>
      <c r="I136" s="280">
        <v>0</v>
      </c>
      <c r="J136" s="282">
        <v>0</v>
      </c>
      <c r="K136" s="282">
        <v>0</v>
      </c>
      <c r="L136" s="282">
        <v>0</v>
      </c>
      <c r="M136" s="281">
        <v>0</v>
      </c>
      <c r="N136" s="169"/>
      <c r="O136" s="165">
        <v>0</v>
      </c>
      <c r="P136" s="166">
        <v>0</v>
      </c>
      <c r="Q136" s="167">
        <v>0</v>
      </c>
      <c r="R136" s="148"/>
      <c r="S136" s="165">
        <v>0</v>
      </c>
      <c r="T136" s="168" t="s">
        <v>987</v>
      </c>
    </row>
    <row r="137" spans="1:20" s="119" customFormat="1" ht="14.25">
      <c r="A137" s="283"/>
      <c r="B137" s="283"/>
      <c r="C137" s="284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122"/>
      <c r="P137" s="122"/>
      <c r="Q137" s="122"/>
      <c r="R137" s="122"/>
      <c r="S137" s="122"/>
      <c r="T137" s="122"/>
    </row>
    <row r="138" spans="1:20" s="119" customFormat="1" ht="14.25">
      <c r="A138" s="120"/>
      <c r="B138" s="120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</row>
    <row r="139" spans="1:20" s="119" customFormat="1" ht="14.25">
      <c r="A139" s="120"/>
      <c r="B139" s="120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</row>
    <row r="140" spans="1:20" s="119" customFormat="1" ht="14.25">
      <c r="A140" s="120"/>
      <c r="B140" s="120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</row>
    <row r="141" spans="1:20" s="119" customFormat="1" ht="14.25">
      <c r="A141" s="120"/>
      <c r="B141" s="120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</row>
    <row r="142" spans="1:20" s="119" customFormat="1" ht="14.25">
      <c r="A142" s="120"/>
      <c r="B142" s="120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</row>
    <row r="143" spans="1:20" s="119" customFormat="1" ht="14.25">
      <c r="A143" s="120"/>
      <c r="B143" s="120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</row>
    <row r="144" spans="1:20" s="119" customFormat="1" ht="14.25">
      <c r="A144" s="120"/>
      <c r="B144" s="120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</row>
  </sheetData>
  <mergeCells count="12">
    <mergeCell ref="B8:B9"/>
    <mergeCell ref="C8:C9"/>
    <mergeCell ref="B18:B19"/>
    <mergeCell ref="C18:C19"/>
    <mergeCell ref="B51:B52"/>
    <mergeCell ref="C51:C52"/>
    <mergeCell ref="B76:B77"/>
    <mergeCell ref="C76:C77"/>
    <mergeCell ref="B105:B106"/>
    <mergeCell ref="C105:C106"/>
    <mergeCell ref="B131:B132"/>
    <mergeCell ref="C131:C132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5FFFF"/>
    <pageSetUpPr fitToPage="1"/>
  </sheetPr>
  <dimension ref="A1:AD267"/>
  <sheetViews>
    <sheetView zoomScaleSheetLayoutView="85" workbookViewId="0">
      <selection sqref="A1:XFD1048576"/>
    </sheetView>
  </sheetViews>
  <sheetFormatPr defaultColWidth="10.28515625" defaultRowHeight="12.75"/>
  <cols>
    <col min="1" max="1" width="3.7109375" style="300" customWidth="1"/>
    <col min="2" max="2" width="105.28515625" style="300" customWidth="1"/>
    <col min="3" max="3" width="7.42578125" style="301" customWidth="1"/>
    <col min="4" max="8" width="10" style="302" customWidth="1"/>
    <col min="9" max="13" width="10.28515625" style="302" customWidth="1"/>
    <col min="14" max="14" width="3.140625" style="302" customWidth="1"/>
    <col min="15" max="17" width="10.28515625" style="302" customWidth="1"/>
    <col min="18" max="18" width="3.140625" style="302" customWidth="1"/>
    <col min="19" max="19" width="10.28515625" style="302" customWidth="1"/>
    <col min="20" max="20" width="13" style="302" customWidth="1"/>
    <col min="21" max="16384" width="10.28515625" style="300"/>
  </cols>
  <sheetData>
    <row r="1" spans="1:30" s="291" customFormat="1" ht="26.25">
      <c r="A1" s="285" t="s">
        <v>74</v>
      </c>
      <c r="B1" s="286"/>
      <c r="C1" s="287"/>
      <c r="D1" s="288"/>
      <c r="E1" s="288"/>
      <c r="F1" s="288"/>
      <c r="G1" s="288"/>
      <c r="H1" s="288"/>
      <c r="I1" s="288"/>
      <c r="J1" s="289"/>
      <c r="K1" s="290"/>
      <c r="L1" s="290"/>
      <c r="M1" s="289"/>
      <c r="N1" s="289"/>
      <c r="O1" s="290"/>
      <c r="P1" s="289"/>
      <c r="Q1" s="289"/>
      <c r="R1" s="289"/>
      <c r="S1" s="289"/>
      <c r="T1" s="289"/>
      <c r="Y1" s="292"/>
      <c r="Z1" s="292"/>
      <c r="AA1" s="292"/>
      <c r="AB1" s="292"/>
      <c r="AC1" s="292"/>
      <c r="AD1" s="292"/>
    </row>
    <row r="2" spans="1:30" s="291" customFormat="1" ht="18">
      <c r="A2" s="293"/>
      <c r="C2" s="294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Y2" s="292"/>
      <c r="Z2" s="292"/>
      <c r="AA2" s="292"/>
      <c r="AB2" s="292"/>
      <c r="AC2" s="292"/>
      <c r="AD2" s="292"/>
    </row>
    <row r="3" spans="1:30" s="296" customFormat="1" ht="18.75" thickBot="1">
      <c r="A3" s="295" t="s">
        <v>271</v>
      </c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Y3" s="299"/>
      <c r="Z3" s="299"/>
      <c r="AA3" s="299"/>
      <c r="AB3" s="299"/>
      <c r="AC3" s="299"/>
      <c r="AD3" s="299"/>
    </row>
    <row r="4" spans="1:30">
      <c r="R4" s="303"/>
    </row>
    <row r="5" spans="1:30"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3"/>
      <c r="S5" s="300"/>
      <c r="T5" s="300"/>
    </row>
    <row r="6" spans="1:30">
      <c r="B6" s="304" t="s">
        <v>272</v>
      </c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3"/>
      <c r="S6" s="300"/>
      <c r="T6" s="300"/>
    </row>
    <row r="7" spans="1:30" ht="13.5" thickBot="1"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3"/>
      <c r="S7" s="300"/>
      <c r="T7" s="300"/>
    </row>
    <row r="8" spans="1:30">
      <c r="B8" s="1467"/>
      <c r="C8" s="1469" t="s">
        <v>190</v>
      </c>
      <c r="D8" s="305" t="s">
        <v>191</v>
      </c>
      <c r="E8" s="306"/>
      <c r="F8" s="306"/>
      <c r="G8" s="306"/>
      <c r="H8" s="307"/>
      <c r="I8" s="306" t="s">
        <v>192</v>
      </c>
      <c r="J8" s="308"/>
      <c r="K8" s="308"/>
      <c r="L8" s="308"/>
      <c r="M8" s="307"/>
      <c r="N8" s="300"/>
      <c r="O8" s="309" t="s">
        <v>191</v>
      </c>
      <c r="P8" s="310"/>
      <c r="Q8" s="311"/>
      <c r="R8" s="303"/>
      <c r="S8" s="309" t="s">
        <v>192</v>
      </c>
      <c r="T8" s="311"/>
    </row>
    <row r="9" spans="1:30">
      <c r="B9" s="1468"/>
      <c r="C9" s="1470"/>
      <c r="D9" s="312" t="s">
        <v>79</v>
      </c>
      <c r="E9" s="313" t="s">
        <v>80</v>
      </c>
      <c r="F9" s="313" t="s">
        <v>81</v>
      </c>
      <c r="G9" s="313" t="s">
        <v>82</v>
      </c>
      <c r="H9" s="314" t="s">
        <v>44</v>
      </c>
      <c r="I9" s="315" t="s">
        <v>193</v>
      </c>
      <c r="J9" s="313" t="s">
        <v>194</v>
      </c>
      <c r="K9" s="313" t="s">
        <v>195</v>
      </c>
      <c r="L9" s="313" t="s">
        <v>196</v>
      </c>
      <c r="M9" s="314" t="s">
        <v>197</v>
      </c>
      <c r="N9" s="300"/>
      <c r="O9" s="316" t="s">
        <v>198</v>
      </c>
      <c r="P9" s="317" t="s">
        <v>199</v>
      </c>
      <c r="Q9" s="318" t="s">
        <v>200</v>
      </c>
      <c r="R9" s="303"/>
      <c r="S9" s="316" t="s">
        <v>199</v>
      </c>
      <c r="T9" s="318" t="s">
        <v>201</v>
      </c>
    </row>
    <row r="10" spans="1:30">
      <c r="B10" s="319" t="s">
        <v>273</v>
      </c>
      <c r="C10" s="320" t="s">
        <v>203</v>
      </c>
      <c r="D10" s="321">
        <f t="shared" ref="D10:M10" si="0">SUM(D178,D217,D240)</f>
        <v>0</v>
      </c>
      <c r="E10" s="321">
        <f t="shared" si="0"/>
        <v>0</v>
      </c>
      <c r="F10" s="321">
        <f t="shared" si="0"/>
        <v>0</v>
      </c>
      <c r="G10" s="321">
        <f t="shared" si="0"/>
        <v>0</v>
      </c>
      <c r="H10" s="322">
        <f t="shared" si="0"/>
        <v>0</v>
      </c>
      <c r="I10" s="321">
        <f t="shared" si="0"/>
        <v>0</v>
      </c>
      <c r="J10" s="323">
        <f t="shared" si="0"/>
        <v>0</v>
      </c>
      <c r="K10" s="323">
        <f t="shared" si="0"/>
        <v>0</v>
      </c>
      <c r="L10" s="323">
        <f t="shared" si="0"/>
        <v>0</v>
      </c>
      <c r="M10" s="322">
        <f t="shared" si="0"/>
        <v>0</v>
      </c>
      <c r="N10" s="300"/>
      <c r="O10" s="324">
        <f t="shared" ref="O10:O15" si="1">SUM(D10:G10)</f>
        <v>0</v>
      </c>
      <c r="P10" s="325">
        <f t="shared" ref="P10:P15" si="2">SUM(H10)</f>
        <v>0</v>
      </c>
      <c r="Q10" s="326">
        <f t="shared" ref="Q10:Q15" si="3">SUM(D10:H10)</f>
        <v>0</v>
      </c>
      <c r="R10" s="303"/>
      <c r="S10" s="324">
        <f t="shared" ref="S10:S15" si="4">SUM(I10:M10)</f>
        <v>0</v>
      </c>
      <c r="T10" s="149" t="str">
        <f t="shared" ref="T10:T15" si="5">IF(Q10&lt;&gt;0,(S10-Q10)/Q10,"0")</f>
        <v>0</v>
      </c>
    </row>
    <row r="11" spans="1:30">
      <c r="B11" s="319" t="s">
        <v>274</v>
      </c>
      <c r="C11" s="320" t="s">
        <v>203</v>
      </c>
      <c r="D11" s="327">
        <f t="shared" ref="D11:M11" si="6">D240</f>
        <v>0</v>
      </c>
      <c r="E11" s="321">
        <f t="shared" si="6"/>
        <v>0</v>
      </c>
      <c r="F11" s="321">
        <f t="shared" si="6"/>
        <v>0</v>
      </c>
      <c r="G11" s="321">
        <f t="shared" si="6"/>
        <v>0</v>
      </c>
      <c r="H11" s="322">
        <f t="shared" si="6"/>
        <v>0</v>
      </c>
      <c r="I11" s="321">
        <f t="shared" si="6"/>
        <v>0</v>
      </c>
      <c r="J11" s="323">
        <f t="shared" si="6"/>
        <v>0</v>
      </c>
      <c r="K11" s="323">
        <f t="shared" si="6"/>
        <v>0</v>
      </c>
      <c r="L11" s="323">
        <f t="shared" si="6"/>
        <v>0</v>
      </c>
      <c r="M11" s="322">
        <f t="shared" si="6"/>
        <v>0</v>
      </c>
      <c r="N11" s="300"/>
      <c r="O11" s="324">
        <f t="shared" si="1"/>
        <v>0</v>
      </c>
      <c r="P11" s="325">
        <f t="shared" si="2"/>
        <v>0</v>
      </c>
      <c r="Q11" s="326">
        <f t="shared" si="3"/>
        <v>0</v>
      </c>
      <c r="R11" s="303"/>
      <c r="S11" s="324">
        <f t="shared" si="4"/>
        <v>0</v>
      </c>
      <c r="T11" s="149" t="str">
        <f t="shared" si="5"/>
        <v>0</v>
      </c>
    </row>
    <row r="12" spans="1:30">
      <c r="B12" s="328" t="s">
        <v>275</v>
      </c>
      <c r="C12" s="320" t="s">
        <v>203</v>
      </c>
      <c r="D12" s="327">
        <f t="shared" ref="D12:M12" si="7">D263</f>
        <v>0</v>
      </c>
      <c r="E12" s="321">
        <f t="shared" si="7"/>
        <v>0</v>
      </c>
      <c r="F12" s="321">
        <f t="shared" si="7"/>
        <v>0</v>
      </c>
      <c r="G12" s="321">
        <f t="shared" si="7"/>
        <v>0</v>
      </c>
      <c r="H12" s="322">
        <f t="shared" si="7"/>
        <v>0</v>
      </c>
      <c r="I12" s="321">
        <f t="shared" si="7"/>
        <v>0</v>
      </c>
      <c r="J12" s="323">
        <f t="shared" si="7"/>
        <v>0</v>
      </c>
      <c r="K12" s="323">
        <f t="shared" si="7"/>
        <v>0</v>
      </c>
      <c r="L12" s="323">
        <f t="shared" si="7"/>
        <v>0</v>
      </c>
      <c r="M12" s="322">
        <f t="shared" si="7"/>
        <v>0</v>
      </c>
      <c r="N12" s="300"/>
      <c r="O12" s="324">
        <f t="shared" si="1"/>
        <v>0</v>
      </c>
      <c r="P12" s="325">
        <f t="shared" si="2"/>
        <v>0</v>
      </c>
      <c r="Q12" s="326">
        <f t="shared" si="3"/>
        <v>0</v>
      </c>
      <c r="R12" s="303"/>
      <c r="S12" s="324">
        <f t="shared" si="4"/>
        <v>0</v>
      </c>
      <c r="T12" s="149" t="str">
        <f t="shared" si="5"/>
        <v>0</v>
      </c>
    </row>
    <row r="13" spans="1:30">
      <c r="B13" s="319" t="s">
        <v>276</v>
      </c>
      <c r="C13" s="320" t="s">
        <v>203</v>
      </c>
      <c r="D13" s="329">
        <f t="shared" ref="D13:M13" si="8">D11-D12</f>
        <v>0</v>
      </c>
      <c r="E13" s="330">
        <f t="shared" si="8"/>
        <v>0</v>
      </c>
      <c r="F13" s="330">
        <f t="shared" si="8"/>
        <v>0</v>
      </c>
      <c r="G13" s="330">
        <f t="shared" si="8"/>
        <v>0</v>
      </c>
      <c r="H13" s="331">
        <f t="shared" si="8"/>
        <v>0</v>
      </c>
      <c r="I13" s="332">
        <f t="shared" si="8"/>
        <v>0</v>
      </c>
      <c r="J13" s="330">
        <f t="shared" si="8"/>
        <v>0</v>
      </c>
      <c r="K13" s="330">
        <f t="shared" si="8"/>
        <v>0</v>
      </c>
      <c r="L13" s="330">
        <f t="shared" si="8"/>
        <v>0</v>
      </c>
      <c r="M13" s="331">
        <f t="shared" si="8"/>
        <v>0</v>
      </c>
      <c r="N13" s="300"/>
      <c r="O13" s="324">
        <f t="shared" si="1"/>
        <v>0</v>
      </c>
      <c r="P13" s="325">
        <f t="shared" si="2"/>
        <v>0</v>
      </c>
      <c r="Q13" s="326">
        <f t="shared" si="3"/>
        <v>0</v>
      </c>
      <c r="R13" s="303"/>
      <c r="S13" s="324">
        <f t="shared" si="4"/>
        <v>0</v>
      </c>
      <c r="T13" s="149" t="str">
        <f t="shared" si="5"/>
        <v>0</v>
      </c>
    </row>
    <row r="14" spans="1:30">
      <c r="B14" s="319" t="s">
        <v>277</v>
      </c>
      <c r="C14" s="320" t="s">
        <v>203</v>
      </c>
      <c r="D14" s="333"/>
      <c r="E14" s="333"/>
      <c r="F14" s="333"/>
      <c r="G14" s="333"/>
      <c r="H14" s="333"/>
      <c r="I14" s="333"/>
      <c r="J14" s="333"/>
      <c r="K14" s="333"/>
      <c r="L14" s="333"/>
      <c r="M14" s="333">
        <v>0.3</v>
      </c>
      <c r="N14" s="300"/>
      <c r="O14" s="324">
        <f t="shared" si="1"/>
        <v>0</v>
      </c>
      <c r="P14" s="325">
        <f t="shared" si="2"/>
        <v>0</v>
      </c>
      <c r="Q14" s="326">
        <f t="shared" si="3"/>
        <v>0</v>
      </c>
      <c r="R14" s="303"/>
      <c r="S14" s="324">
        <f t="shared" si="4"/>
        <v>0.3</v>
      </c>
      <c r="T14" s="149" t="str">
        <f t="shared" si="5"/>
        <v>0</v>
      </c>
    </row>
    <row r="15" spans="1:30">
      <c r="B15" s="319" t="s">
        <v>278</v>
      </c>
      <c r="C15" s="320" t="s">
        <v>203</v>
      </c>
      <c r="D15" s="334">
        <f t="shared" ref="D15:M15" si="9">D13+D14</f>
        <v>0</v>
      </c>
      <c r="E15" s="335">
        <f t="shared" si="9"/>
        <v>0</v>
      </c>
      <c r="F15" s="335">
        <f t="shared" si="9"/>
        <v>0</v>
      </c>
      <c r="G15" s="335">
        <f t="shared" si="9"/>
        <v>0</v>
      </c>
      <c r="H15" s="336">
        <f t="shared" si="9"/>
        <v>0</v>
      </c>
      <c r="I15" s="335">
        <f t="shared" si="9"/>
        <v>0</v>
      </c>
      <c r="J15" s="337">
        <f t="shared" si="9"/>
        <v>0</v>
      </c>
      <c r="K15" s="337">
        <f t="shared" si="9"/>
        <v>0</v>
      </c>
      <c r="L15" s="337">
        <f t="shared" si="9"/>
        <v>0</v>
      </c>
      <c r="M15" s="336">
        <f t="shared" si="9"/>
        <v>0.3</v>
      </c>
      <c r="N15" s="300"/>
      <c r="O15" s="324">
        <f t="shared" si="1"/>
        <v>0</v>
      </c>
      <c r="P15" s="325">
        <f t="shared" si="2"/>
        <v>0</v>
      </c>
      <c r="Q15" s="326">
        <f t="shared" si="3"/>
        <v>0</v>
      </c>
      <c r="R15" s="303"/>
      <c r="S15" s="324">
        <f t="shared" si="4"/>
        <v>0.3</v>
      </c>
      <c r="T15" s="149" t="str">
        <f t="shared" si="5"/>
        <v>0</v>
      </c>
    </row>
    <row r="16" spans="1:30" ht="13.5" thickBot="1">
      <c r="B16" s="338" t="s">
        <v>279</v>
      </c>
      <c r="C16" s="339"/>
      <c r="D16" s="340" t="str">
        <f t="shared" ref="D16:M16" si="10">IF(D13-SUM(D31,D35,D39,D43)=0,"OK","ERROR")</f>
        <v>OK</v>
      </c>
      <c r="E16" s="341" t="str">
        <f t="shared" si="10"/>
        <v>OK</v>
      </c>
      <c r="F16" s="341" t="str">
        <f t="shared" si="10"/>
        <v>OK</v>
      </c>
      <c r="G16" s="341" t="str">
        <f t="shared" si="10"/>
        <v>OK</v>
      </c>
      <c r="H16" s="342" t="str">
        <f t="shared" si="10"/>
        <v>OK</v>
      </c>
      <c r="I16" s="341" t="str">
        <f t="shared" si="10"/>
        <v>OK</v>
      </c>
      <c r="J16" s="343" t="str">
        <f t="shared" si="10"/>
        <v>OK</v>
      </c>
      <c r="K16" s="343" t="str">
        <f t="shared" si="10"/>
        <v>OK</v>
      </c>
      <c r="L16" s="343" t="str">
        <f t="shared" si="10"/>
        <v>OK</v>
      </c>
      <c r="M16" s="342" t="str">
        <f t="shared" si="10"/>
        <v>OK</v>
      </c>
      <c r="N16" s="300"/>
      <c r="O16" s="344"/>
      <c r="P16" s="345"/>
      <c r="Q16" s="346"/>
      <c r="R16" s="303"/>
      <c r="S16" s="344"/>
      <c r="T16" s="347"/>
    </row>
    <row r="17" spans="2:20" ht="13.5" thickBot="1"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3"/>
      <c r="S17" s="300"/>
      <c r="T17" s="300"/>
    </row>
    <row r="18" spans="2:20">
      <c r="B18" s="348"/>
      <c r="C18" s="349"/>
      <c r="D18" s="305" t="s">
        <v>191</v>
      </c>
      <c r="E18" s="306"/>
      <c r="F18" s="306"/>
      <c r="G18" s="306"/>
      <c r="H18" s="307"/>
      <c r="I18" s="306" t="s">
        <v>192</v>
      </c>
      <c r="J18" s="308"/>
      <c r="K18" s="308"/>
      <c r="L18" s="308"/>
      <c r="M18" s="307"/>
      <c r="N18" s="300"/>
      <c r="O18" s="309" t="s">
        <v>191</v>
      </c>
      <c r="P18" s="310"/>
      <c r="Q18" s="311"/>
      <c r="R18" s="303"/>
      <c r="S18" s="309" t="s">
        <v>192</v>
      </c>
      <c r="T18" s="311"/>
    </row>
    <row r="19" spans="2:20">
      <c r="B19" s="350"/>
      <c r="C19" s="351" t="s">
        <v>190</v>
      </c>
      <c r="D19" s="312" t="s">
        <v>79</v>
      </c>
      <c r="E19" s="313" t="s">
        <v>80</v>
      </c>
      <c r="F19" s="313" t="s">
        <v>81</v>
      </c>
      <c r="G19" s="313" t="s">
        <v>82</v>
      </c>
      <c r="H19" s="314" t="s">
        <v>44</v>
      </c>
      <c r="I19" s="315" t="s">
        <v>193</v>
      </c>
      <c r="J19" s="313" t="s">
        <v>194</v>
      </c>
      <c r="K19" s="313" t="s">
        <v>195</v>
      </c>
      <c r="L19" s="313" t="s">
        <v>196</v>
      </c>
      <c r="M19" s="314" t="s">
        <v>197</v>
      </c>
      <c r="N19" s="300"/>
      <c r="O19" s="316" t="s">
        <v>198</v>
      </c>
      <c r="P19" s="317" t="s">
        <v>199</v>
      </c>
      <c r="Q19" s="318" t="s">
        <v>200</v>
      </c>
      <c r="R19" s="303"/>
      <c r="S19" s="316" t="s">
        <v>199</v>
      </c>
      <c r="T19" s="318" t="s">
        <v>201</v>
      </c>
    </row>
    <row r="20" spans="2:20">
      <c r="B20" s="319" t="s">
        <v>280</v>
      </c>
      <c r="C20" s="320" t="s">
        <v>203</v>
      </c>
      <c r="D20" s="333"/>
      <c r="E20" s="352"/>
      <c r="F20" s="352"/>
      <c r="G20" s="352"/>
      <c r="H20" s="353"/>
      <c r="I20" s="352"/>
      <c r="J20" s="354"/>
      <c r="K20" s="354"/>
      <c r="L20" s="354"/>
      <c r="M20" s="353"/>
      <c r="N20" s="300"/>
      <c r="O20" s="324">
        <f>SUM(D20:G20)</f>
        <v>0</v>
      </c>
      <c r="P20" s="325">
        <f>SUM(H20)</f>
        <v>0</v>
      </c>
      <c r="Q20" s="326">
        <f>SUM(D20:H20)</f>
        <v>0</v>
      </c>
      <c r="R20" s="303"/>
      <c r="S20" s="324">
        <f>SUM(I20:M20)</f>
        <v>0</v>
      </c>
      <c r="T20" s="149" t="str">
        <f>IF(Q20&lt;&gt;0,(S20-Q20)/Q20,"0")</f>
        <v>0</v>
      </c>
    </row>
    <row r="21" spans="2:20">
      <c r="B21" s="319" t="s">
        <v>281</v>
      </c>
      <c r="C21" s="320" t="s">
        <v>203</v>
      </c>
      <c r="D21" s="333"/>
      <c r="E21" s="352"/>
      <c r="F21" s="352"/>
      <c r="G21" s="352"/>
      <c r="H21" s="353"/>
      <c r="I21" s="352"/>
      <c r="J21" s="354"/>
      <c r="K21" s="354"/>
      <c r="L21" s="354"/>
      <c r="M21" s="353"/>
      <c r="N21" s="300"/>
      <c r="O21" s="324">
        <f>SUM(D21:G21)</f>
        <v>0</v>
      </c>
      <c r="P21" s="325">
        <f>SUM(H21)</f>
        <v>0</v>
      </c>
      <c r="Q21" s="326">
        <f>SUM(D21:H21)</f>
        <v>0</v>
      </c>
      <c r="R21" s="303"/>
      <c r="S21" s="324">
        <f>SUM(I21:M21)</f>
        <v>0</v>
      </c>
      <c r="T21" s="149" t="str">
        <f>IF(Q21&lt;&gt;0,(S21-Q21)/Q21,"0")</f>
        <v>0</v>
      </c>
    </row>
    <row r="22" spans="2:20" ht="13.5" thickBot="1">
      <c r="B22" s="338" t="s">
        <v>200</v>
      </c>
      <c r="C22" s="339" t="s">
        <v>203</v>
      </c>
      <c r="D22" s="355">
        <f t="shared" ref="D22:M22" si="11">D20+D21</f>
        <v>0</v>
      </c>
      <c r="E22" s="356">
        <f t="shared" si="11"/>
        <v>0</v>
      </c>
      <c r="F22" s="356">
        <f t="shared" si="11"/>
        <v>0</v>
      </c>
      <c r="G22" s="356">
        <f t="shared" si="11"/>
        <v>0</v>
      </c>
      <c r="H22" s="357">
        <f t="shared" si="11"/>
        <v>0</v>
      </c>
      <c r="I22" s="356">
        <f t="shared" si="11"/>
        <v>0</v>
      </c>
      <c r="J22" s="358">
        <f t="shared" si="11"/>
        <v>0</v>
      </c>
      <c r="K22" s="358">
        <f t="shared" si="11"/>
        <v>0</v>
      </c>
      <c r="L22" s="358">
        <f t="shared" si="11"/>
        <v>0</v>
      </c>
      <c r="M22" s="357">
        <f t="shared" si="11"/>
        <v>0</v>
      </c>
      <c r="N22" s="300"/>
      <c r="O22" s="359">
        <f>SUM(D22:G22)</f>
        <v>0</v>
      </c>
      <c r="P22" s="360">
        <f>SUM(H22)</f>
        <v>0</v>
      </c>
      <c r="Q22" s="361">
        <f>SUM(D22:H22)</f>
        <v>0</v>
      </c>
      <c r="R22" s="303"/>
      <c r="S22" s="359">
        <f>SUM(I22:M22)</f>
        <v>0</v>
      </c>
      <c r="T22" s="168" t="str">
        <f>IF(Q22&lt;&gt;0,(S22-Q22)/Q22,"0")</f>
        <v>0</v>
      </c>
    </row>
    <row r="23" spans="2:20"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3"/>
      <c r="S23" s="300"/>
      <c r="T23" s="300"/>
    </row>
    <row r="24" spans="2:20">
      <c r="B24" s="362" t="s">
        <v>282</v>
      </c>
      <c r="C24" s="363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03"/>
      <c r="O24" s="364"/>
      <c r="P24" s="364"/>
      <c r="Q24" s="364"/>
      <c r="R24" s="303"/>
      <c r="S24" s="364"/>
      <c r="T24" s="364"/>
    </row>
    <row r="25" spans="2:20" ht="13.5" thickBot="1">
      <c r="B25" s="362"/>
      <c r="C25" s="363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03"/>
      <c r="O25" s="364"/>
      <c r="P25" s="364"/>
      <c r="Q25" s="364"/>
      <c r="R25" s="303"/>
      <c r="S25" s="364"/>
      <c r="T25" s="364"/>
    </row>
    <row r="26" spans="2:20">
      <c r="B26" s="1471"/>
      <c r="C26" s="1469" t="s">
        <v>190</v>
      </c>
      <c r="D26" s="305" t="s">
        <v>191</v>
      </c>
      <c r="E26" s="306"/>
      <c r="F26" s="306"/>
      <c r="G26" s="306"/>
      <c r="H26" s="307"/>
      <c r="I26" s="306" t="s">
        <v>192</v>
      </c>
      <c r="J26" s="308"/>
      <c r="K26" s="308"/>
      <c r="L26" s="308"/>
      <c r="M26" s="307"/>
      <c r="N26" s="303"/>
      <c r="O26" s="309" t="s">
        <v>191</v>
      </c>
      <c r="P26" s="310"/>
      <c r="Q26" s="311"/>
      <c r="R26" s="303"/>
      <c r="S26" s="309" t="s">
        <v>192</v>
      </c>
      <c r="T26" s="311"/>
    </row>
    <row r="27" spans="2:20">
      <c r="B27" s="1472"/>
      <c r="C27" s="1470"/>
      <c r="D27" s="312" t="s">
        <v>79</v>
      </c>
      <c r="E27" s="313" t="s">
        <v>80</v>
      </c>
      <c r="F27" s="313" t="s">
        <v>81</v>
      </c>
      <c r="G27" s="313" t="s">
        <v>82</v>
      </c>
      <c r="H27" s="314" t="s">
        <v>44</v>
      </c>
      <c r="I27" s="315" t="s">
        <v>193</v>
      </c>
      <c r="J27" s="313" t="s">
        <v>194</v>
      </c>
      <c r="K27" s="313" t="s">
        <v>195</v>
      </c>
      <c r="L27" s="313" t="s">
        <v>196</v>
      </c>
      <c r="M27" s="314" t="s">
        <v>197</v>
      </c>
      <c r="N27" s="303"/>
      <c r="O27" s="316" t="s">
        <v>198</v>
      </c>
      <c r="P27" s="317" t="s">
        <v>199</v>
      </c>
      <c r="Q27" s="318" t="s">
        <v>200</v>
      </c>
      <c r="R27" s="303"/>
      <c r="S27" s="316" t="s">
        <v>199</v>
      </c>
      <c r="T27" s="318" t="s">
        <v>201</v>
      </c>
    </row>
    <row r="28" spans="2:20">
      <c r="B28" s="365" t="s">
        <v>258</v>
      </c>
      <c r="C28" s="366"/>
      <c r="D28" s="367"/>
      <c r="E28" s="368"/>
      <c r="F28" s="368"/>
      <c r="G28" s="368"/>
      <c r="H28" s="369"/>
      <c r="I28" s="368"/>
      <c r="J28" s="368"/>
      <c r="K28" s="368"/>
      <c r="L28" s="368"/>
      <c r="M28" s="369"/>
      <c r="N28" s="303"/>
      <c r="O28" s="370"/>
      <c r="P28" s="371"/>
      <c r="Q28" s="372"/>
      <c r="R28" s="303"/>
      <c r="S28" s="367"/>
      <c r="T28" s="369"/>
    </row>
    <row r="29" spans="2:20">
      <c r="B29" s="373" t="s">
        <v>283</v>
      </c>
      <c r="C29" s="374" t="s">
        <v>203</v>
      </c>
      <c r="D29" s="375"/>
      <c r="E29" s="376"/>
      <c r="F29" s="376"/>
      <c r="G29" s="376"/>
      <c r="H29" s="377"/>
      <c r="I29" s="378">
        <f t="shared" ref="I29:M30" si="12">I225-I248</f>
        <v>0</v>
      </c>
      <c r="J29" s="379">
        <f t="shared" si="12"/>
        <v>0</v>
      </c>
      <c r="K29" s="379">
        <f t="shared" si="12"/>
        <v>0</v>
      </c>
      <c r="L29" s="379">
        <f t="shared" si="12"/>
        <v>0</v>
      </c>
      <c r="M29" s="380">
        <f t="shared" si="12"/>
        <v>0</v>
      </c>
      <c r="N29" s="303"/>
      <c r="O29" s="344"/>
      <c r="P29" s="345"/>
      <c r="Q29" s="346"/>
      <c r="R29" s="303"/>
      <c r="S29" s="344"/>
      <c r="T29" s="347"/>
    </row>
    <row r="30" spans="2:20">
      <c r="B30" s="373" t="s">
        <v>284</v>
      </c>
      <c r="C30" s="374" t="s">
        <v>203</v>
      </c>
      <c r="D30" s="375"/>
      <c r="E30" s="376"/>
      <c r="F30" s="376"/>
      <c r="G30" s="376"/>
      <c r="H30" s="377"/>
      <c r="I30" s="378">
        <f t="shared" si="12"/>
        <v>0</v>
      </c>
      <c r="J30" s="379">
        <f t="shared" si="12"/>
        <v>0</v>
      </c>
      <c r="K30" s="379">
        <f t="shared" si="12"/>
        <v>0</v>
      </c>
      <c r="L30" s="379">
        <f t="shared" si="12"/>
        <v>0</v>
      </c>
      <c r="M30" s="380">
        <f t="shared" si="12"/>
        <v>0</v>
      </c>
      <c r="N30" s="303"/>
      <c r="O30" s="344"/>
      <c r="P30" s="345"/>
      <c r="Q30" s="346"/>
      <c r="R30" s="303"/>
      <c r="S30" s="344"/>
      <c r="T30" s="347"/>
    </row>
    <row r="31" spans="2:20">
      <c r="B31" s="381" t="s">
        <v>246</v>
      </c>
      <c r="C31" s="374" t="s">
        <v>203</v>
      </c>
      <c r="D31" s="324">
        <f>D227-D250</f>
        <v>0</v>
      </c>
      <c r="E31" s="382">
        <f>E227-E250</f>
        <v>0</v>
      </c>
      <c r="F31" s="382">
        <f>F227-F250</f>
        <v>0</v>
      </c>
      <c r="G31" s="382">
        <f>G227-G250</f>
        <v>0</v>
      </c>
      <c r="H31" s="326">
        <f>H227-H250</f>
        <v>0</v>
      </c>
      <c r="I31" s="382">
        <f>SUM(I29:I30)</f>
        <v>0</v>
      </c>
      <c r="J31" s="325">
        <f>SUM(J29:J30)</f>
        <v>0</v>
      </c>
      <c r="K31" s="325">
        <f>SUM(K29:K30)</f>
        <v>0</v>
      </c>
      <c r="L31" s="325">
        <f>SUM(L29:L30)</f>
        <v>0</v>
      </c>
      <c r="M31" s="326">
        <f>SUM(M29:M30)</f>
        <v>0</v>
      </c>
      <c r="N31" s="303"/>
      <c r="O31" s="324">
        <f>SUM(D31:G31)</f>
        <v>0</v>
      </c>
      <c r="P31" s="325">
        <f>SUM(H31)</f>
        <v>0</v>
      </c>
      <c r="Q31" s="326">
        <f>SUM(D31:H31)</f>
        <v>0</v>
      </c>
      <c r="R31" s="303"/>
      <c r="S31" s="324">
        <f>SUM(I31:M31)</f>
        <v>0</v>
      </c>
      <c r="T31" s="149" t="str">
        <f>IF(Q31&lt;&gt;0,(S31-Q31)/Q31,"0")</f>
        <v>0</v>
      </c>
    </row>
    <row r="32" spans="2:20">
      <c r="B32" s="365" t="s">
        <v>260</v>
      </c>
      <c r="C32" s="383"/>
      <c r="D32" s="384"/>
      <c r="E32" s="385"/>
      <c r="F32" s="385"/>
      <c r="G32" s="385"/>
      <c r="H32" s="386"/>
      <c r="I32" s="385"/>
      <c r="J32" s="385"/>
      <c r="K32" s="385"/>
      <c r="L32" s="385"/>
      <c r="M32" s="386"/>
      <c r="N32" s="303"/>
      <c r="O32" s="387"/>
      <c r="P32" s="385"/>
      <c r="Q32" s="386"/>
      <c r="R32" s="303"/>
      <c r="S32" s="384"/>
      <c r="T32" s="386"/>
    </row>
    <row r="33" spans="2:20">
      <c r="B33" s="373" t="s">
        <v>285</v>
      </c>
      <c r="C33" s="374" t="s">
        <v>203</v>
      </c>
      <c r="D33" s="375"/>
      <c r="E33" s="376"/>
      <c r="F33" s="376"/>
      <c r="G33" s="376"/>
      <c r="H33" s="377"/>
      <c r="I33" s="378">
        <f t="shared" ref="I33:M34" si="13">I229-I252</f>
        <v>0</v>
      </c>
      <c r="J33" s="379">
        <f t="shared" si="13"/>
        <v>0</v>
      </c>
      <c r="K33" s="379">
        <f t="shared" si="13"/>
        <v>0</v>
      </c>
      <c r="L33" s="379">
        <f t="shared" si="13"/>
        <v>0</v>
      </c>
      <c r="M33" s="380">
        <f t="shared" si="13"/>
        <v>0</v>
      </c>
      <c r="N33" s="303"/>
      <c r="O33" s="344"/>
      <c r="P33" s="345"/>
      <c r="Q33" s="346"/>
      <c r="R33" s="303"/>
      <c r="S33" s="344"/>
      <c r="T33" s="347"/>
    </row>
    <row r="34" spans="2:20">
      <c r="B34" s="373" t="s">
        <v>286</v>
      </c>
      <c r="C34" s="374" t="s">
        <v>203</v>
      </c>
      <c r="D34" s="375"/>
      <c r="E34" s="376"/>
      <c r="F34" s="376"/>
      <c r="G34" s="376"/>
      <c r="H34" s="377"/>
      <c r="I34" s="378">
        <f t="shared" si="13"/>
        <v>0</v>
      </c>
      <c r="J34" s="379">
        <f t="shared" si="13"/>
        <v>0</v>
      </c>
      <c r="K34" s="379">
        <f t="shared" si="13"/>
        <v>0</v>
      </c>
      <c r="L34" s="379">
        <f t="shared" si="13"/>
        <v>0</v>
      </c>
      <c r="M34" s="380">
        <f t="shared" si="13"/>
        <v>0</v>
      </c>
      <c r="N34" s="303"/>
      <c r="O34" s="344"/>
      <c r="P34" s="345"/>
      <c r="Q34" s="346"/>
      <c r="R34" s="303"/>
      <c r="S34" s="344"/>
      <c r="T34" s="347"/>
    </row>
    <row r="35" spans="2:20">
      <c r="B35" s="381" t="s">
        <v>248</v>
      </c>
      <c r="C35" s="374" t="s">
        <v>203</v>
      </c>
      <c r="D35" s="324">
        <f>D231-D254</f>
        <v>0</v>
      </c>
      <c r="E35" s="382">
        <f>E231-E254</f>
        <v>0</v>
      </c>
      <c r="F35" s="382">
        <f>F231-F254</f>
        <v>0</v>
      </c>
      <c r="G35" s="382">
        <f>G231-G254</f>
        <v>0</v>
      </c>
      <c r="H35" s="326">
        <f>H231-H254</f>
        <v>0</v>
      </c>
      <c r="I35" s="382">
        <f>SUM(I33:I34)</f>
        <v>0</v>
      </c>
      <c r="J35" s="325">
        <f>SUM(J33:J34)</f>
        <v>0</v>
      </c>
      <c r="K35" s="325">
        <f>SUM(K33:K34)</f>
        <v>0</v>
      </c>
      <c r="L35" s="325">
        <f>SUM(L33:L34)</f>
        <v>0</v>
      </c>
      <c r="M35" s="326">
        <f>SUM(M33:M34)</f>
        <v>0</v>
      </c>
      <c r="N35" s="303"/>
      <c r="O35" s="324">
        <f>SUM(D35:G35)</f>
        <v>0</v>
      </c>
      <c r="P35" s="325">
        <f>SUM(H35)</f>
        <v>0</v>
      </c>
      <c r="Q35" s="326">
        <f>SUM(D35:H35)</f>
        <v>0</v>
      </c>
      <c r="R35" s="303"/>
      <c r="S35" s="324">
        <f>SUM(I35:M35)</f>
        <v>0</v>
      </c>
      <c r="T35" s="149" t="str">
        <f>IF(Q35&lt;&gt;0,(S35-Q35)/Q35,"0")</f>
        <v>0</v>
      </c>
    </row>
    <row r="36" spans="2:20">
      <c r="B36" s="365" t="s">
        <v>261</v>
      </c>
      <c r="C36" s="383"/>
      <c r="D36" s="384"/>
      <c r="E36" s="385"/>
      <c r="F36" s="385"/>
      <c r="G36" s="385"/>
      <c r="H36" s="386"/>
      <c r="I36" s="385"/>
      <c r="J36" s="385"/>
      <c r="K36" s="385"/>
      <c r="L36" s="385"/>
      <c r="M36" s="386"/>
      <c r="N36" s="303"/>
      <c r="O36" s="384"/>
      <c r="P36" s="385"/>
      <c r="Q36" s="386"/>
      <c r="R36" s="303"/>
      <c r="S36" s="384"/>
      <c r="T36" s="386"/>
    </row>
    <row r="37" spans="2:20">
      <c r="B37" s="373" t="s">
        <v>287</v>
      </c>
      <c r="C37" s="374" t="s">
        <v>203</v>
      </c>
      <c r="D37" s="375"/>
      <c r="E37" s="376"/>
      <c r="F37" s="376"/>
      <c r="G37" s="376"/>
      <c r="H37" s="377"/>
      <c r="I37" s="378">
        <f t="shared" ref="I37:M38" si="14">I233-I256</f>
        <v>0</v>
      </c>
      <c r="J37" s="379">
        <f t="shared" si="14"/>
        <v>0</v>
      </c>
      <c r="K37" s="379">
        <f t="shared" si="14"/>
        <v>0</v>
      </c>
      <c r="L37" s="379">
        <f t="shared" si="14"/>
        <v>0</v>
      </c>
      <c r="M37" s="380">
        <f t="shared" si="14"/>
        <v>0</v>
      </c>
      <c r="N37" s="303"/>
      <c r="O37" s="344"/>
      <c r="P37" s="345"/>
      <c r="Q37" s="346"/>
      <c r="R37" s="303"/>
      <c r="S37" s="344"/>
      <c r="T37" s="347"/>
    </row>
    <row r="38" spans="2:20">
      <c r="B38" s="373" t="s">
        <v>288</v>
      </c>
      <c r="C38" s="374" t="s">
        <v>203</v>
      </c>
      <c r="D38" s="375"/>
      <c r="E38" s="376"/>
      <c r="F38" s="376"/>
      <c r="G38" s="376"/>
      <c r="H38" s="377"/>
      <c r="I38" s="378">
        <f t="shared" si="14"/>
        <v>0</v>
      </c>
      <c r="J38" s="379">
        <f t="shared" si="14"/>
        <v>0</v>
      </c>
      <c r="K38" s="379">
        <f t="shared" si="14"/>
        <v>0</v>
      </c>
      <c r="L38" s="379">
        <f t="shared" si="14"/>
        <v>0</v>
      </c>
      <c r="M38" s="380">
        <f t="shared" si="14"/>
        <v>0</v>
      </c>
      <c r="N38" s="303"/>
      <c r="O38" s="344"/>
      <c r="P38" s="345"/>
      <c r="Q38" s="346"/>
      <c r="R38" s="303"/>
      <c r="S38" s="344"/>
      <c r="T38" s="347"/>
    </row>
    <row r="39" spans="2:20">
      <c r="B39" s="381" t="s">
        <v>250</v>
      </c>
      <c r="C39" s="374" t="s">
        <v>203</v>
      </c>
      <c r="D39" s="324">
        <f>D235-D258</f>
        <v>0</v>
      </c>
      <c r="E39" s="382">
        <f>E235-E258</f>
        <v>0</v>
      </c>
      <c r="F39" s="382">
        <f>F235-F258</f>
        <v>0</v>
      </c>
      <c r="G39" s="382">
        <f>G235-G258</f>
        <v>0</v>
      </c>
      <c r="H39" s="326">
        <f>H235-H258</f>
        <v>0</v>
      </c>
      <c r="I39" s="382">
        <f>SUM(I37:I38)</f>
        <v>0</v>
      </c>
      <c r="J39" s="325">
        <f>SUM(J37:J38)</f>
        <v>0</v>
      </c>
      <c r="K39" s="325">
        <f>SUM(K37:K38)</f>
        <v>0</v>
      </c>
      <c r="L39" s="325">
        <f>SUM(L37:L38)</f>
        <v>0</v>
      </c>
      <c r="M39" s="326">
        <f>SUM(M37:M38)</f>
        <v>0</v>
      </c>
      <c r="N39" s="303"/>
      <c r="O39" s="324">
        <f>SUM(D39:G39)</f>
        <v>0</v>
      </c>
      <c r="P39" s="325">
        <f>SUM(H39)</f>
        <v>0</v>
      </c>
      <c r="Q39" s="326">
        <f>SUM(D39:H39)</f>
        <v>0</v>
      </c>
      <c r="R39" s="303"/>
      <c r="S39" s="324">
        <f>SUM(I39:M39)</f>
        <v>0</v>
      </c>
      <c r="T39" s="149" t="str">
        <f>IF(Q39&lt;&gt;0,(S39-Q39)/Q39,"0")</f>
        <v>0</v>
      </c>
    </row>
    <row r="40" spans="2:20">
      <c r="B40" s="365" t="s">
        <v>262</v>
      </c>
      <c r="C40" s="383"/>
      <c r="D40" s="384"/>
      <c r="E40" s="385"/>
      <c r="F40" s="385"/>
      <c r="G40" s="385"/>
      <c r="H40" s="386"/>
      <c r="I40" s="385"/>
      <c r="J40" s="385"/>
      <c r="K40" s="385"/>
      <c r="L40" s="385"/>
      <c r="M40" s="386"/>
      <c r="N40" s="303"/>
      <c r="O40" s="384"/>
      <c r="P40" s="385"/>
      <c r="Q40" s="386"/>
      <c r="R40" s="303"/>
      <c r="S40" s="384"/>
      <c r="T40" s="386"/>
    </row>
    <row r="41" spans="2:20">
      <c r="B41" s="373" t="s">
        <v>289</v>
      </c>
      <c r="C41" s="374" t="s">
        <v>203</v>
      </c>
      <c r="D41" s="375"/>
      <c r="E41" s="376"/>
      <c r="F41" s="376"/>
      <c r="G41" s="376"/>
      <c r="H41" s="377"/>
      <c r="I41" s="378">
        <f t="shared" ref="I41:M42" si="15">I237-I260</f>
        <v>0</v>
      </c>
      <c r="J41" s="379">
        <f t="shared" si="15"/>
        <v>0</v>
      </c>
      <c r="K41" s="379">
        <f t="shared" si="15"/>
        <v>0</v>
      </c>
      <c r="L41" s="379">
        <f t="shared" si="15"/>
        <v>0</v>
      </c>
      <c r="M41" s="380">
        <f t="shared" si="15"/>
        <v>0</v>
      </c>
      <c r="N41" s="303"/>
      <c r="O41" s="344"/>
      <c r="P41" s="345"/>
      <c r="Q41" s="346"/>
      <c r="R41" s="303"/>
      <c r="S41" s="344"/>
      <c r="T41" s="347"/>
    </row>
    <row r="42" spans="2:20">
      <c r="B42" s="373" t="s">
        <v>290</v>
      </c>
      <c r="C42" s="374" t="s">
        <v>203</v>
      </c>
      <c r="D42" s="375"/>
      <c r="E42" s="376"/>
      <c r="F42" s="376"/>
      <c r="G42" s="376"/>
      <c r="H42" s="377"/>
      <c r="I42" s="378">
        <f t="shared" si="15"/>
        <v>0</v>
      </c>
      <c r="J42" s="379">
        <f t="shared" si="15"/>
        <v>0</v>
      </c>
      <c r="K42" s="379">
        <f t="shared" si="15"/>
        <v>0</v>
      </c>
      <c r="L42" s="379">
        <f t="shared" si="15"/>
        <v>0</v>
      </c>
      <c r="M42" s="380">
        <f t="shared" si="15"/>
        <v>0</v>
      </c>
      <c r="N42" s="303"/>
      <c r="O42" s="344"/>
      <c r="P42" s="345"/>
      <c r="Q42" s="346"/>
      <c r="R42" s="303"/>
      <c r="S42" s="344"/>
      <c r="T42" s="347"/>
    </row>
    <row r="43" spans="2:20" ht="13.5" thickBot="1">
      <c r="B43" s="388" t="s">
        <v>252</v>
      </c>
      <c r="C43" s="389" t="s">
        <v>203</v>
      </c>
      <c r="D43" s="359">
        <f>D239-D262</f>
        <v>0</v>
      </c>
      <c r="E43" s="390">
        <f>E239-E262</f>
        <v>0</v>
      </c>
      <c r="F43" s="390">
        <f>F239-F262</f>
        <v>0</v>
      </c>
      <c r="G43" s="390">
        <f>G239-G262</f>
        <v>0</v>
      </c>
      <c r="H43" s="361">
        <f>H239-H262</f>
        <v>0</v>
      </c>
      <c r="I43" s="390">
        <f>SUM(I41:I42)</f>
        <v>0</v>
      </c>
      <c r="J43" s="360">
        <f>SUM(J41:J42)</f>
        <v>0</v>
      </c>
      <c r="K43" s="360">
        <f>SUM(K41:K42)</f>
        <v>0</v>
      </c>
      <c r="L43" s="360">
        <f>SUM(L41:L42)</f>
        <v>0</v>
      </c>
      <c r="M43" s="361">
        <f>SUM(M41:M42)</f>
        <v>0</v>
      </c>
      <c r="N43" s="303"/>
      <c r="O43" s="324">
        <f>SUM(D43:G43)</f>
        <v>0</v>
      </c>
      <c r="P43" s="325">
        <f>SUM(H43)</f>
        <v>0</v>
      </c>
      <c r="Q43" s="326">
        <f>SUM(D43:H43)</f>
        <v>0</v>
      </c>
      <c r="R43" s="303"/>
      <c r="S43" s="324">
        <f>SUM(I43:M43)</f>
        <v>0</v>
      </c>
      <c r="T43" s="149" t="str">
        <f>IF(Q43&lt;&gt;0,(S43-Q43)/Q43,"0")</f>
        <v>0</v>
      </c>
    </row>
    <row r="44" spans="2:20"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3"/>
      <c r="S44" s="300"/>
      <c r="T44" s="300"/>
    </row>
    <row r="45" spans="2:20">
      <c r="N45" s="303"/>
      <c r="O45" s="303"/>
      <c r="P45" s="303"/>
      <c r="Q45" s="303"/>
      <c r="R45" s="303"/>
      <c r="S45" s="303"/>
      <c r="T45" s="303"/>
    </row>
    <row r="46" spans="2:20">
      <c r="B46" s="304" t="s">
        <v>291</v>
      </c>
      <c r="N46" s="303"/>
      <c r="O46" s="303"/>
      <c r="P46" s="303"/>
      <c r="Q46" s="303"/>
      <c r="R46" s="303"/>
      <c r="S46" s="303"/>
      <c r="T46" s="303"/>
    </row>
    <row r="47" spans="2:20" ht="13.5" thickBot="1">
      <c r="B47" s="304"/>
      <c r="N47" s="303"/>
      <c r="O47" s="303"/>
      <c r="P47" s="303"/>
      <c r="Q47" s="303"/>
      <c r="R47" s="303"/>
      <c r="S47" s="303"/>
      <c r="T47" s="303"/>
    </row>
    <row r="48" spans="2:20">
      <c r="B48" s="1467"/>
      <c r="C48" s="1469" t="s">
        <v>190</v>
      </c>
      <c r="D48" s="305" t="s">
        <v>191</v>
      </c>
      <c r="E48" s="306"/>
      <c r="F48" s="306"/>
      <c r="G48" s="306"/>
      <c r="H48" s="307"/>
      <c r="I48" s="305" t="s">
        <v>192</v>
      </c>
      <c r="J48" s="308"/>
      <c r="K48" s="308"/>
      <c r="L48" s="308"/>
      <c r="M48" s="307"/>
      <c r="N48" s="303"/>
      <c r="O48" s="303"/>
      <c r="P48" s="303"/>
      <c r="Q48" s="303"/>
      <c r="R48" s="303"/>
      <c r="S48" s="303"/>
      <c r="T48" s="303"/>
    </row>
    <row r="49" spans="2:20">
      <c r="B49" s="1468"/>
      <c r="C49" s="1470"/>
      <c r="D49" s="312" t="s">
        <v>79</v>
      </c>
      <c r="E49" s="313" t="s">
        <v>80</v>
      </c>
      <c r="F49" s="313" t="s">
        <v>81</v>
      </c>
      <c r="G49" s="313" t="s">
        <v>82</v>
      </c>
      <c r="H49" s="314" t="s">
        <v>44</v>
      </c>
      <c r="I49" s="312" t="s">
        <v>193</v>
      </c>
      <c r="J49" s="313" t="s">
        <v>194</v>
      </c>
      <c r="K49" s="313" t="s">
        <v>195</v>
      </c>
      <c r="L49" s="313" t="s">
        <v>196</v>
      </c>
      <c r="M49" s="314" t="s">
        <v>197</v>
      </c>
      <c r="N49" s="303"/>
      <c r="O49" s="303"/>
      <c r="P49" s="303"/>
      <c r="Q49" s="303"/>
      <c r="R49" s="303"/>
      <c r="S49" s="303"/>
      <c r="T49" s="303"/>
    </row>
    <row r="50" spans="2:20">
      <c r="B50" s="391" t="s">
        <v>292</v>
      </c>
      <c r="C50" s="392"/>
      <c r="D50" s="393"/>
      <c r="E50" s="394"/>
      <c r="F50" s="394"/>
      <c r="G50" s="394"/>
      <c r="H50" s="395"/>
      <c r="I50" s="396"/>
      <c r="J50" s="397"/>
      <c r="K50" s="397"/>
      <c r="L50" s="397"/>
      <c r="M50" s="398"/>
      <c r="N50" s="399"/>
      <c r="O50" s="303"/>
      <c r="P50" s="303"/>
      <c r="Q50" s="303"/>
      <c r="R50" s="303"/>
      <c r="S50" s="303"/>
      <c r="T50" s="303"/>
    </row>
    <row r="51" spans="2:20">
      <c r="B51" s="400" t="s">
        <v>293</v>
      </c>
      <c r="C51" s="374"/>
      <c r="D51" s="401"/>
      <c r="E51" s="402"/>
      <c r="F51" s="402"/>
      <c r="G51" s="402"/>
      <c r="H51" s="403"/>
      <c r="I51" s="404"/>
      <c r="J51" s="405"/>
      <c r="K51" s="405"/>
      <c r="L51" s="405"/>
      <c r="M51" s="406"/>
      <c r="N51" s="399"/>
      <c r="O51" s="303"/>
      <c r="P51" s="303"/>
      <c r="Q51" s="303"/>
      <c r="R51" s="303"/>
      <c r="S51" s="303"/>
      <c r="T51" s="303"/>
    </row>
    <row r="52" spans="2:20">
      <c r="B52" s="407" t="s">
        <v>232</v>
      </c>
      <c r="C52" s="374" t="s">
        <v>233</v>
      </c>
      <c r="D52" s="408">
        <f t="shared" ref="D52:M56" si="16">D83+D114</f>
        <v>0</v>
      </c>
      <c r="E52" s="409">
        <f t="shared" si="16"/>
        <v>0</v>
      </c>
      <c r="F52" s="409">
        <f t="shared" si="16"/>
        <v>0</v>
      </c>
      <c r="G52" s="409">
        <f t="shared" si="16"/>
        <v>0</v>
      </c>
      <c r="H52" s="410">
        <f t="shared" si="16"/>
        <v>0</v>
      </c>
      <c r="I52" s="408">
        <f t="shared" si="16"/>
        <v>0</v>
      </c>
      <c r="J52" s="411">
        <f t="shared" si="16"/>
        <v>0</v>
      </c>
      <c r="K52" s="411">
        <f t="shared" si="16"/>
        <v>0</v>
      </c>
      <c r="L52" s="411">
        <f t="shared" si="16"/>
        <v>0</v>
      </c>
      <c r="M52" s="410">
        <f t="shared" si="16"/>
        <v>0</v>
      </c>
      <c r="N52" s="303"/>
      <c r="O52" s="303"/>
      <c r="P52" s="303"/>
      <c r="Q52" s="303"/>
      <c r="R52" s="303"/>
      <c r="S52" s="303"/>
      <c r="T52" s="303"/>
    </row>
    <row r="53" spans="2:20">
      <c r="B53" s="412" t="s">
        <v>294</v>
      </c>
      <c r="C53" s="374"/>
      <c r="D53" s="408">
        <f t="shared" si="16"/>
        <v>0</v>
      </c>
      <c r="E53" s="409">
        <f t="shared" si="16"/>
        <v>0</v>
      </c>
      <c r="F53" s="409">
        <f t="shared" si="16"/>
        <v>0</v>
      </c>
      <c r="G53" s="409">
        <f t="shared" si="16"/>
        <v>0</v>
      </c>
      <c r="H53" s="410">
        <f t="shared" si="16"/>
        <v>0</v>
      </c>
      <c r="I53" s="408">
        <f t="shared" si="16"/>
        <v>0</v>
      </c>
      <c r="J53" s="411">
        <f t="shared" si="16"/>
        <v>0</v>
      </c>
      <c r="K53" s="411">
        <f t="shared" si="16"/>
        <v>0</v>
      </c>
      <c r="L53" s="411">
        <f t="shared" si="16"/>
        <v>0</v>
      </c>
      <c r="M53" s="410">
        <f t="shared" si="16"/>
        <v>0</v>
      </c>
      <c r="N53" s="303"/>
      <c r="O53" s="303"/>
      <c r="P53" s="303"/>
      <c r="Q53" s="303"/>
      <c r="R53" s="303"/>
      <c r="S53" s="303"/>
      <c r="T53" s="303"/>
    </row>
    <row r="54" spans="2:20">
      <c r="B54" s="373" t="s">
        <v>295</v>
      </c>
      <c r="C54" s="374"/>
      <c r="D54" s="413"/>
      <c r="E54" s="414"/>
      <c r="F54" s="414"/>
      <c r="G54" s="414"/>
      <c r="H54" s="415"/>
      <c r="I54" s="408">
        <f t="shared" si="16"/>
        <v>0</v>
      </c>
      <c r="J54" s="411">
        <f t="shared" si="16"/>
        <v>0</v>
      </c>
      <c r="K54" s="411">
        <f t="shared" si="16"/>
        <v>0</v>
      </c>
      <c r="L54" s="411">
        <f t="shared" si="16"/>
        <v>0</v>
      </c>
      <c r="M54" s="410">
        <f t="shared" si="16"/>
        <v>0</v>
      </c>
      <c r="N54" s="303"/>
      <c r="O54" s="303"/>
      <c r="P54" s="303"/>
      <c r="Q54" s="303"/>
      <c r="R54" s="303"/>
      <c r="S54" s="303"/>
      <c r="T54" s="303"/>
    </row>
    <row r="55" spans="2:20">
      <c r="B55" s="373" t="s">
        <v>296</v>
      </c>
      <c r="C55" s="374" t="s">
        <v>233</v>
      </c>
      <c r="D55" s="413"/>
      <c r="E55" s="414"/>
      <c r="F55" s="414"/>
      <c r="G55" s="414"/>
      <c r="H55" s="415"/>
      <c r="I55" s="408">
        <f t="shared" si="16"/>
        <v>0</v>
      </c>
      <c r="J55" s="411">
        <f t="shared" si="16"/>
        <v>0</v>
      </c>
      <c r="K55" s="411">
        <f t="shared" si="16"/>
        <v>0</v>
      </c>
      <c r="L55" s="411">
        <f t="shared" si="16"/>
        <v>0</v>
      </c>
      <c r="M55" s="410">
        <f t="shared" si="16"/>
        <v>0</v>
      </c>
      <c r="N55" s="303"/>
      <c r="O55" s="303"/>
      <c r="P55" s="303"/>
      <c r="Q55" s="303"/>
      <c r="R55" s="303"/>
      <c r="S55" s="303"/>
      <c r="T55" s="303"/>
    </row>
    <row r="56" spans="2:20">
      <c r="B56" s="373" t="s">
        <v>297</v>
      </c>
      <c r="C56" s="374"/>
      <c r="D56" s="408">
        <f>D87+D118</f>
        <v>0</v>
      </c>
      <c r="E56" s="411">
        <f>E87+E118</f>
        <v>0</v>
      </c>
      <c r="F56" s="411">
        <f>F87+F118</f>
        <v>0</v>
      </c>
      <c r="G56" s="411">
        <f>G87+G118</f>
        <v>0</v>
      </c>
      <c r="H56" s="410">
        <f>H87+H118</f>
        <v>0</v>
      </c>
      <c r="I56" s="408">
        <f t="shared" si="16"/>
        <v>0</v>
      </c>
      <c r="J56" s="411">
        <f t="shared" si="16"/>
        <v>0</v>
      </c>
      <c r="K56" s="411">
        <f t="shared" si="16"/>
        <v>0</v>
      </c>
      <c r="L56" s="411">
        <f t="shared" si="16"/>
        <v>0</v>
      </c>
      <c r="M56" s="410">
        <f t="shared" si="16"/>
        <v>0</v>
      </c>
      <c r="N56" s="303"/>
      <c r="O56" s="303"/>
      <c r="P56" s="303"/>
      <c r="Q56" s="303"/>
      <c r="R56" s="303"/>
      <c r="S56" s="303"/>
      <c r="T56" s="303"/>
    </row>
    <row r="57" spans="2:20">
      <c r="B57" s="416" t="s">
        <v>298</v>
      </c>
      <c r="C57" s="374"/>
      <c r="D57" s="417"/>
      <c r="E57" s="418"/>
      <c r="F57" s="418"/>
      <c r="G57" s="418"/>
      <c r="H57" s="419"/>
      <c r="I57" s="420"/>
      <c r="J57" s="421"/>
      <c r="K57" s="421"/>
      <c r="L57" s="421"/>
      <c r="M57" s="422"/>
      <c r="N57" s="399"/>
      <c r="O57" s="303"/>
      <c r="P57" s="303"/>
      <c r="Q57" s="303"/>
      <c r="R57" s="303"/>
      <c r="S57" s="303"/>
      <c r="T57" s="303"/>
    </row>
    <row r="58" spans="2:20">
      <c r="B58" s="423" t="s">
        <v>232</v>
      </c>
      <c r="C58" s="374" t="s">
        <v>233</v>
      </c>
      <c r="D58" s="408">
        <f t="shared" ref="D58:M62" si="17">D89+D120</f>
        <v>0</v>
      </c>
      <c r="E58" s="409">
        <f t="shared" si="17"/>
        <v>0</v>
      </c>
      <c r="F58" s="409">
        <f t="shared" si="17"/>
        <v>0</v>
      </c>
      <c r="G58" s="409">
        <f t="shared" si="17"/>
        <v>0</v>
      </c>
      <c r="H58" s="410">
        <f t="shared" si="17"/>
        <v>0</v>
      </c>
      <c r="I58" s="408">
        <f t="shared" si="17"/>
        <v>0</v>
      </c>
      <c r="J58" s="411">
        <f t="shared" si="17"/>
        <v>0</v>
      </c>
      <c r="K58" s="411">
        <f t="shared" si="17"/>
        <v>0</v>
      </c>
      <c r="L58" s="411">
        <f t="shared" si="17"/>
        <v>0</v>
      </c>
      <c r="M58" s="410">
        <f t="shared" si="17"/>
        <v>0</v>
      </c>
      <c r="N58" s="303"/>
      <c r="O58" s="303"/>
      <c r="P58" s="303"/>
      <c r="Q58" s="303"/>
      <c r="R58" s="303"/>
      <c r="S58" s="303"/>
      <c r="T58" s="303"/>
    </row>
    <row r="59" spans="2:20">
      <c r="B59" s="424" t="s">
        <v>294</v>
      </c>
      <c r="C59" s="374"/>
      <c r="D59" s="408">
        <f t="shared" si="17"/>
        <v>0</v>
      </c>
      <c r="E59" s="409">
        <f t="shared" si="17"/>
        <v>0</v>
      </c>
      <c r="F59" s="409">
        <f t="shared" si="17"/>
        <v>0</v>
      </c>
      <c r="G59" s="409">
        <f t="shared" si="17"/>
        <v>0</v>
      </c>
      <c r="H59" s="410">
        <f t="shared" si="17"/>
        <v>0</v>
      </c>
      <c r="I59" s="408">
        <f t="shared" si="17"/>
        <v>0</v>
      </c>
      <c r="J59" s="411">
        <f t="shared" si="17"/>
        <v>0</v>
      </c>
      <c r="K59" s="411">
        <f t="shared" si="17"/>
        <v>0</v>
      </c>
      <c r="L59" s="411">
        <f t="shared" si="17"/>
        <v>0</v>
      </c>
      <c r="M59" s="410">
        <f t="shared" si="17"/>
        <v>0</v>
      </c>
      <c r="N59" s="303"/>
      <c r="O59" s="303"/>
      <c r="P59" s="303"/>
      <c r="Q59" s="303"/>
      <c r="R59" s="303"/>
      <c r="S59" s="303"/>
      <c r="T59" s="303"/>
    </row>
    <row r="60" spans="2:20">
      <c r="B60" s="373" t="s">
        <v>285</v>
      </c>
      <c r="C60" s="374"/>
      <c r="D60" s="425"/>
      <c r="E60" s="426"/>
      <c r="F60" s="426"/>
      <c r="G60" s="426"/>
      <c r="H60" s="427"/>
      <c r="I60" s="408">
        <f t="shared" si="17"/>
        <v>0</v>
      </c>
      <c r="J60" s="411">
        <f t="shared" si="17"/>
        <v>0</v>
      </c>
      <c r="K60" s="411">
        <f t="shared" si="17"/>
        <v>0</v>
      </c>
      <c r="L60" s="411">
        <f t="shared" si="17"/>
        <v>0</v>
      </c>
      <c r="M60" s="410">
        <f t="shared" si="17"/>
        <v>0</v>
      </c>
      <c r="N60" s="303"/>
      <c r="O60" s="303"/>
      <c r="P60" s="303"/>
      <c r="Q60" s="303"/>
      <c r="R60" s="303"/>
      <c r="S60" s="303"/>
      <c r="T60" s="303"/>
    </row>
    <row r="61" spans="2:20">
      <c r="B61" s="373" t="s">
        <v>286</v>
      </c>
      <c r="C61" s="374" t="s">
        <v>233</v>
      </c>
      <c r="D61" s="425"/>
      <c r="E61" s="426"/>
      <c r="F61" s="426"/>
      <c r="G61" s="426"/>
      <c r="H61" s="427"/>
      <c r="I61" s="408">
        <f t="shared" si="17"/>
        <v>0</v>
      </c>
      <c r="J61" s="411">
        <f t="shared" si="17"/>
        <v>0</v>
      </c>
      <c r="K61" s="411">
        <f t="shared" si="17"/>
        <v>0</v>
      </c>
      <c r="L61" s="411">
        <f t="shared" si="17"/>
        <v>0</v>
      </c>
      <c r="M61" s="410">
        <f t="shared" si="17"/>
        <v>0</v>
      </c>
      <c r="N61" s="303"/>
      <c r="O61" s="303"/>
      <c r="P61" s="303"/>
      <c r="Q61" s="303"/>
      <c r="R61" s="303"/>
      <c r="S61" s="303"/>
      <c r="T61" s="303"/>
    </row>
    <row r="62" spans="2:20">
      <c r="B62" s="373" t="s">
        <v>299</v>
      </c>
      <c r="C62" s="374"/>
      <c r="D62" s="408">
        <f>D93+D124</f>
        <v>0</v>
      </c>
      <c r="E62" s="411">
        <f>E93+E124</f>
        <v>0</v>
      </c>
      <c r="F62" s="411">
        <f>F93+F124</f>
        <v>0</v>
      </c>
      <c r="G62" s="411">
        <f>G93+G124</f>
        <v>0</v>
      </c>
      <c r="H62" s="410">
        <f>H93+H124</f>
        <v>0</v>
      </c>
      <c r="I62" s="408">
        <f t="shared" si="17"/>
        <v>0</v>
      </c>
      <c r="J62" s="411">
        <f t="shared" si="17"/>
        <v>0</v>
      </c>
      <c r="K62" s="411">
        <f t="shared" si="17"/>
        <v>0</v>
      </c>
      <c r="L62" s="411">
        <f t="shared" si="17"/>
        <v>0</v>
      </c>
      <c r="M62" s="410">
        <f t="shared" si="17"/>
        <v>0</v>
      </c>
      <c r="N62" s="303"/>
      <c r="O62" s="303"/>
      <c r="P62" s="303"/>
      <c r="Q62" s="303"/>
      <c r="R62" s="303"/>
      <c r="S62" s="303"/>
      <c r="T62" s="303"/>
    </row>
    <row r="63" spans="2:20">
      <c r="B63" s="416" t="s">
        <v>300</v>
      </c>
      <c r="C63" s="374"/>
      <c r="D63" s="417"/>
      <c r="E63" s="418"/>
      <c r="F63" s="418"/>
      <c r="G63" s="418"/>
      <c r="H63" s="419"/>
      <c r="I63" s="428"/>
      <c r="J63" s="429"/>
      <c r="K63" s="429"/>
      <c r="L63" s="429"/>
      <c r="M63" s="430"/>
      <c r="N63" s="399"/>
      <c r="O63" s="303"/>
      <c r="P63" s="303"/>
      <c r="Q63" s="303"/>
      <c r="R63" s="303"/>
      <c r="S63" s="303"/>
      <c r="T63" s="303"/>
    </row>
    <row r="64" spans="2:20">
      <c r="B64" s="423" t="s">
        <v>232</v>
      </c>
      <c r="C64" s="374" t="s">
        <v>233</v>
      </c>
      <c r="D64" s="408">
        <f t="shared" ref="D64:M68" si="18">D95+D126</f>
        <v>0</v>
      </c>
      <c r="E64" s="409">
        <f t="shared" si="18"/>
        <v>0</v>
      </c>
      <c r="F64" s="409">
        <f t="shared" si="18"/>
        <v>0</v>
      </c>
      <c r="G64" s="409">
        <f t="shared" si="18"/>
        <v>0</v>
      </c>
      <c r="H64" s="410">
        <f t="shared" si="18"/>
        <v>0</v>
      </c>
      <c r="I64" s="408">
        <f t="shared" si="18"/>
        <v>0</v>
      </c>
      <c r="J64" s="411">
        <f t="shared" si="18"/>
        <v>0</v>
      </c>
      <c r="K64" s="411">
        <f t="shared" si="18"/>
        <v>0</v>
      </c>
      <c r="L64" s="411">
        <f t="shared" si="18"/>
        <v>0</v>
      </c>
      <c r="M64" s="410">
        <f t="shared" si="18"/>
        <v>0</v>
      </c>
      <c r="N64" s="303"/>
      <c r="O64" s="303"/>
      <c r="P64" s="303"/>
      <c r="Q64" s="303"/>
      <c r="R64" s="303"/>
      <c r="S64" s="303"/>
      <c r="T64" s="303"/>
    </row>
    <row r="65" spans="1:20">
      <c r="B65" s="424" t="s">
        <v>294</v>
      </c>
      <c r="C65" s="374"/>
      <c r="D65" s="408">
        <f t="shared" si="18"/>
        <v>0</v>
      </c>
      <c r="E65" s="409">
        <f t="shared" si="18"/>
        <v>0</v>
      </c>
      <c r="F65" s="409">
        <f t="shared" si="18"/>
        <v>0</v>
      </c>
      <c r="G65" s="409">
        <f t="shared" si="18"/>
        <v>0</v>
      </c>
      <c r="H65" s="410">
        <f t="shared" si="18"/>
        <v>0</v>
      </c>
      <c r="I65" s="408">
        <f t="shared" si="18"/>
        <v>0</v>
      </c>
      <c r="J65" s="411">
        <f t="shared" si="18"/>
        <v>0</v>
      </c>
      <c r="K65" s="411">
        <f t="shared" si="18"/>
        <v>0</v>
      </c>
      <c r="L65" s="411">
        <f t="shared" si="18"/>
        <v>0</v>
      </c>
      <c r="M65" s="410">
        <f t="shared" si="18"/>
        <v>0</v>
      </c>
      <c r="N65" s="303"/>
      <c r="O65" s="303"/>
      <c r="P65" s="303"/>
      <c r="Q65" s="303"/>
      <c r="R65" s="303"/>
      <c r="S65" s="303"/>
      <c r="T65" s="303"/>
    </row>
    <row r="66" spans="1:20">
      <c r="B66" s="373" t="s">
        <v>287</v>
      </c>
      <c r="C66" s="374"/>
      <c r="D66" s="425"/>
      <c r="E66" s="426"/>
      <c r="F66" s="426"/>
      <c r="G66" s="426"/>
      <c r="H66" s="427"/>
      <c r="I66" s="408">
        <f t="shared" si="18"/>
        <v>0</v>
      </c>
      <c r="J66" s="411">
        <f t="shared" si="18"/>
        <v>0</v>
      </c>
      <c r="K66" s="411">
        <f t="shared" si="18"/>
        <v>0</v>
      </c>
      <c r="L66" s="411">
        <f t="shared" si="18"/>
        <v>0</v>
      </c>
      <c r="M66" s="410">
        <f t="shared" si="18"/>
        <v>0</v>
      </c>
      <c r="N66" s="303"/>
      <c r="O66" s="303"/>
      <c r="P66" s="303"/>
      <c r="Q66" s="303"/>
      <c r="R66" s="303"/>
      <c r="S66" s="303"/>
      <c r="T66" s="303"/>
    </row>
    <row r="67" spans="1:20">
      <c r="B67" s="373" t="s">
        <v>288</v>
      </c>
      <c r="C67" s="374" t="s">
        <v>233</v>
      </c>
      <c r="D67" s="425"/>
      <c r="E67" s="426"/>
      <c r="F67" s="426"/>
      <c r="G67" s="426"/>
      <c r="H67" s="427"/>
      <c r="I67" s="408">
        <f t="shared" si="18"/>
        <v>0</v>
      </c>
      <c r="J67" s="411">
        <f t="shared" si="18"/>
        <v>0</v>
      </c>
      <c r="K67" s="411">
        <f t="shared" si="18"/>
        <v>0</v>
      </c>
      <c r="L67" s="411">
        <f t="shared" si="18"/>
        <v>0</v>
      </c>
      <c r="M67" s="410">
        <f t="shared" si="18"/>
        <v>0</v>
      </c>
      <c r="N67" s="303"/>
      <c r="O67" s="303"/>
      <c r="P67" s="303"/>
      <c r="Q67" s="303"/>
      <c r="R67" s="303"/>
      <c r="S67" s="303"/>
      <c r="T67" s="303"/>
    </row>
    <row r="68" spans="1:20">
      <c r="B68" s="373" t="s">
        <v>301</v>
      </c>
      <c r="C68" s="374"/>
      <c r="D68" s="408">
        <f>D99+D130</f>
        <v>0</v>
      </c>
      <c r="E68" s="411">
        <f>E99+E130</f>
        <v>0</v>
      </c>
      <c r="F68" s="411">
        <f>F99+F130</f>
        <v>0</v>
      </c>
      <c r="G68" s="411">
        <f>G99+G130</f>
        <v>0</v>
      </c>
      <c r="H68" s="410">
        <f>H99+H130</f>
        <v>0</v>
      </c>
      <c r="I68" s="408">
        <f t="shared" si="18"/>
        <v>0</v>
      </c>
      <c r="J68" s="411">
        <f t="shared" si="18"/>
        <v>0</v>
      </c>
      <c r="K68" s="411">
        <f t="shared" si="18"/>
        <v>0</v>
      </c>
      <c r="L68" s="411">
        <f t="shared" si="18"/>
        <v>0</v>
      </c>
      <c r="M68" s="410">
        <f t="shared" si="18"/>
        <v>0</v>
      </c>
      <c r="N68" s="303"/>
      <c r="O68" s="303"/>
      <c r="P68" s="303"/>
      <c r="Q68" s="303"/>
      <c r="R68" s="303"/>
      <c r="S68" s="303"/>
      <c r="T68" s="303"/>
    </row>
    <row r="69" spans="1:20">
      <c r="B69" s="416" t="s">
        <v>302</v>
      </c>
      <c r="C69" s="374"/>
      <c r="D69" s="417"/>
      <c r="E69" s="418"/>
      <c r="F69" s="418"/>
      <c r="G69" s="418"/>
      <c r="H69" s="419"/>
      <c r="I69" s="428"/>
      <c r="J69" s="429"/>
      <c r="K69" s="429"/>
      <c r="L69" s="429"/>
      <c r="M69" s="430"/>
      <c r="N69" s="399"/>
      <c r="O69" s="303"/>
      <c r="P69" s="303"/>
      <c r="Q69" s="303"/>
      <c r="R69" s="303"/>
      <c r="S69" s="303"/>
      <c r="T69" s="303"/>
    </row>
    <row r="70" spans="1:20">
      <c r="B70" s="423" t="s">
        <v>232</v>
      </c>
      <c r="C70" s="374" t="s">
        <v>233</v>
      </c>
      <c r="D70" s="431">
        <f t="shared" ref="D70:M74" si="19">D101+D132</f>
        <v>0</v>
      </c>
      <c r="E70" s="432">
        <f t="shared" si="19"/>
        <v>0</v>
      </c>
      <c r="F70" s="432">
        <f t="shared" si="19"/>
        <v>0</v>
      </c>
      <c r="G70" s="432">
        <f t="shared" si="19"/>
        <v>0</v>
      </c>
      <c r="H70" s="433">
        <f t="shared" si="19"/>
        <v>0</v>
      </c>
      <c r="I70" s="431">
        <f t="shared" si="19"/>
        <v>0</v>
      </c>
      <c r="J70" s="434">
        <f t="shared" si="19"/>
        <v>0</v>
      </c>
      <c r="K70" s="434">
        <f t="shared" si="19"/>
        <v>0</v>
      </c>
      <c r="L70" s="434">
        <f t="shared" si="19"/>
        <v>0</v>
      </c>
      <c r="M70" s="433">
        <f t="shared" si="19"/>
        <v>0</v>
      </c>
      <c r="N70" s="303"/>
      <c r="O70" s="303"/>
      <c r="P70" s="303"/>
      <c r="Q70" s="303"/>
      <c r="R70" s="303"/>
      <c r="S70" s="303"/>
      <c r="T70" s="303"/>
    </row>
    <row r="71" spans="1:20">
      <c r="B71" s="424" t="s">
        <v>294</v>
      </c>
      <c r="C71" s="374"/>
      <c r="D71" s="431">
        <f t="shared" si="19"/>
        <v>0</v>
      </c>
      <c r="E71" s="432">
        <f t="shared" si="19"/>
        <v>0</v>
      </c>
      <c r="F71" s="432">
        <f t="shared" si="19"/>
        <v>0</v>
      </c>
      <c r="G71" s="432">
        <f t="shared" si="19"/>
        <v>0</v>
      </c>
      <c r="H71" s="433">
        <f t="shared" si="19"/>
        <v>0</v>
      </c>
      <c r="I71" s="431">
        <f t="shared" si="19"/>
        <v>0</v>
      </c>
      <c r="J71" s="434">
        <f t="shared" si="19"/>
        <v>0</v>
      </c>
      <c r="K71" s="434">
        <f t="shared" si="19"/>
        <v>0</v>
      </c>
      <c r="L71" s="434">
        <f t="shared" si="19"/>
        <v>0</v>
      </c>
      <c r="M71" s="433">
        <f t="shared" si="19"/>
        <v>0</v>
      </c>
      <c r="N71" s="303"/>
      <c r="O71" s="303"/>
      <c r="P71" s="303"/>
      <c r="Q71" s="303"/>
      <c r="R71" s="303"/>
      <c r="S71" s="303"/>
      <c r="T71" s="303"/>
    </row>
    <row r="72" spans="1:20">
      <c r="B72" s="373" t="s">
        <v>289</v>
      </c>
      <c r="C72" s="374"/>
      <c r="D72" s="435"/>
      <c r="E72" s="436"/>
      <c r="F72" s="436"/>
      <c r="G72" s="436"/>
      <c r="H72" s="437"/>
      <c r="I72" s="431">
        <f t="shared" si="19"/>
        <v>0</v>
      </c>
      <c r="J72" s="434">
        <f t="shared" si="19"/>
        <v>0</v>
      </c>
      <c r="K72" s="434">
        <f t="shared" si="19"/>
        <v>0</v>
      </c>
      <c r="L72" s="434">
        <f t="shared" si="19"/>
        <v>0</v>
      </c>
      <c r="M72" s="433">
        <f t="shared" si="19"/>
        <v>0</v>
      </c>
      <c r="N72" s="303"/>
      <c r="O72" s="303"/>
      <c r="P72" s="303"/>
      <c r="Q72" s="303"/>
      <c r="R72" s="303"/>
      <c r="S72" s="303"/>
      <c r="T72" s="303"/>
    </row>
    <row r="73" spans="1:20">
      <c r="B73" s="373" t="s">
        <v>290</v>
      </c>
      <c r="C73" s="374" t="s">
        <v>233</v>
      </c>
      <c r="D73" s="435"/>
      <c r="E73" s="436"/>
      <c r="F73" s="436"/>
      <c r="G73" s="436"/>
      <c r="H73" s="437"/>
      <c r="I73" s="431">
        <f t="shared" si="19"/>
        <v>0</v>
      </c>
      <c r="J73" s="434">
        <f t="shared" si="19"/>
        <v>0</v>
      </c>
      <c r="K73" s="434">
        <f t="shared" si="19"/>
        <v>0</v>
      </c>
      <c r="L73" s="434">
        <f t="shared" si="19"/>
        <v>0</v>
      </c>
      <c r="M73" s="433">
        <f t="shared" si="19"/>
        <v>0</v>
      </c>
      <c r="N73" s="303"/>
      <c r="O73" s="303"/>
      <c r="P73" s="303"/>
      <c r="Q73" s="303"/>
      <c r="R73" s="303"/>
      <c r="S73" s="303"/>
      <c r="T73" s="303"/>
    </row>
    <row r="74" spans="1:20">
      <c r="B74" s="373" t="s">
        <v>303</v>
      </c>
      <c r="C74" s="374"/>
      <c r="D74" s="431">
        <f>D105+D136</f>
        <v>0</v>
      </c>
      <c r="E74" s="432">
        <f>E105+E136</f>
        <v>0</v>
      </c>
      <c r="F74" s="432">
        <f>F105+F136</f>
        <v>0</v>
      </c>
      <c r="G74" s="432">
        <f>G105+G136</f>
        <v>0</v>
      </c>
      <c r="H74" s="433">
        <f>H105+H136</f>
        <v>0</v>
      </c>
      <c r="I74" s="431">
        <f t="shared" si="19"/>
        <v>0</v>
      </c>
      <c r="J74" s="434">
        <f t="shared" si="19"/>
        <v>0</v>
      </c>
      <c r="K74" s="434">
        <f t="shared" si="19"/>
        <v>0</v>
      </c>
      <c r="L74" s="434">
        <f t="shared" si="19"/>
        <v>0</v>
      </c>
      <c r="M74" s="433">
        <f t="shared" si="19"/>
        <v>0</v>
      </c>
      <c r="N74" s="303"/>
      <c r="O74" s="303"/>
      <c r="P74" s="303"/>
      <c r="Q74" s="303"/>
      <c r="R74" s="303"/>
      <c r="S74" s="303"/>
      <c r="T74" s="303"/>
    </row>
    <row r="75" spans="1:20" ht="13.5" thickBot="1">
      <c r="B75" s="438" t="s">
        <v>239</v>
      </c>
      <c r="C75" s="389" t="s">
        <v>233</v>
      </c>
      <c r="D75" s="439">
        <f t="shared" ref="D75:M75" si="20">SUM(D52:D55,D58:D61,D64:D67,D70:D73)</f>
        <v>0</v>
      </c>
      <c r="E75" s="440">
        <f t="shared" si="20"/>
        <v>0</v>
      </c>
      <c r="F75" s="440">
        <f t="shared" si="20"/>
        <v>0</v>
      </c>
      <c r="G75" s="440">
        <f t="shared" si="20"/>
        <v>0</v>
      </c>
      <c r="H75" s="441">
        <f t="shared" si="20"/>
        <v>0</v>
      </c>
      <c r="I75" s="439">
        <f t="shared" si="20"/>
        <v>0</v>
      </c>
      <c r="J75" s="440">
        <f t="shared" si="20"/>
        <v>0</v>
      </c>
      <c r="K75" s="440">
        <f t="shared" si="20"/>
        <v>0</v>
      </c>
      <c r="L75" s="440">
        <f t="shared" si="20"/>
        <v>0</v>
      </c>
      <c r="M75" s="441">
        <f t="shared" si="20"/>
        <v>0</v>
      </c>
      <c r="N75" s="442"/>
      <c r="O75" s="303"/>
      <c r="P75" s="303"/>
      <c r="Q75" s="303"/>
      <c r="R75" s="303"/>
      <c r="S75" s="303"/>
      <c r="T75" s="303"/>
    </row>
    <row r="76" spans="1:20">
      <c r="B76" s="443"/>
      <c r="C76" s="444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</row>
    <row r="77" spans="1:20">
      <c r="B77" s="304" t="s">
        <v>304</v>
      </c>
      <c r="N77" s="303"/>
      <c r="O77" s="303"/>
      <c r="P77" s="303"/>
      <c r="Q77" s="303"/>
      <c r="R77" s="303"/>
      <c r="S77" s="303"/>
      <c r="T77" s="303"/>
    </row>
    <row r="78" spans="1:20" ht="13.5" thickBot="1">
      <c r="B78" s="304"/>
      <c r="N78" s="303"/>
      <c r="O78" s="303"/>
      <c r="P78" s="303"/>
      <c r="Q78" s="303"/>
      <c r="R78" s="303"/>
      <c r="S78" s="303"/>
      <c r="T78" s="303"/>
    </row>
    <row r="79" spans="1:20">
      <c r="A79" s="445"/>
      <c r="B79" s="1467"/>
      <c r="C79" s="1469" t="s">
        <v>190</v>
      </c>
      <c r="D79" s="305" t="s">
        <v>191</v>
      </c>
      <c r="E79" s="306"/>
      <c r="F79" s="306"/>
      <c r="G79" s="306"/>
      <c r="H79" s="307"/>
      <c r="I79" s="305" t="s">
        <v>192</v>
      </c>
      <c r="J79" s="308"/>
      <c r="K79" s="308"/>
      <c r="L79" s="307"/>
      <c r="M79" s="307"/>
      <c r="N79" s="303"/>
      <c r="O79" s="303"/>
      <c r="P79" s="303"/>
      <c r="Q79" s="303"/>
      <c r="R79" s="303"/>
      <c r="S79" s="303"/>
      <c r="T79" s="303"/>
    </row>
    <row r="80" spans="1:20">
      <c r="A80" s="445"/>
      <c r="B80" s="1468"/>
      <c r="C80" s="1470"/>
      <c r="D80" s="312" t="s">
        <v>79</v>
      </c>
      <c r="E80" s="313" t="s">
        <v>80</v>
      </c>
      <c r="F80" s="313" t="s">
        <v>81</v>
      </c>
      <c r="G80" s="313" t="s">
        <v>82</v>
      </c>
      <c r="H80" s="314" t="s">
        <v>44</v>
      </c>
      <c r="I80" s="312" t="s">
        <v>193</v>
      </c>
      <c r="J80" s="313" t="s">
        <v>194</v>
      </c>
      <c r="K80" s="313" t="s">
        <v>195</v>
      </c>
      <c r="L80" s="317" t="s">
        <v>196</v>
      </c>
      <c r="M80" s="446" t="s">
        <v>197</v>
      </c>
      <c r="N80" s="303"/>
      <c r="O80" s="303"/>
      <c r="P80" s="303"/>
      <c r="Q80" s="303"/>
      <c r="R80" s="303"/>
      <c r="S80" s="303"/>
      <c r="T80" s="303"/>
    </row>
    <row r="81" spans="1:20">
      <c r="A81" s="445"/>
      <c r="B81" s="391" t="s">
        <v>292</v>
      </c>
      <c r="C81" s="392"/>
      <c r="D81" s="393"/>
      <c r="E81" s="394"/>
      <c r="F81" s="394"/>
      <c r="G81" s="394"/>
      <c r="H81" s="395"/>
      <c r="I81" s="396"/>
      <c r="J81" s="397"/>
      <c r="K81" s="397"/>
      <c r="L81" s="447"/>
      <c r="M81" s="398"/>
      <c r="N81" s="399"/>
      <c r="O81" s="303"/>
      <c r="P81" s="303"/>
      <c r="Q81" s="303"/>
      <c r="R81" s="303"/>
      <c r="S81" s="303"/>
      <c r="T81" s="303"/>
    </row>
    <row r="82" spans="1:20">
      <c r="A82" s="445"/>
      <c r="B82" s="448" t="s">
        <v>293</v>
      </c>
      <c r="C82" s="449"/>
      <c r="D82" s="401"/>
      <c r="E82" s="402"/>
      <c r="F82" s="402"/>
      <c r="G82" s="402"/>
      <c r="H82" s="403"/>
      <c r="I82" s="404"/>
      <c r="J82" s="405"/>
      <c r="K82" s="405"/>
      <c r="L82" s="450"/>
      <c r="M82" s="406"/>
      <c r="N82" s="399"/>
      <c r="O82" s="303"/>
      <c r="P82" s="303"/>
      <c r="Q82" s="303"/>
      <c r="R82" s="303"/>
      <c r="S82" s="303"/>
      <c r="T82" s="303"/>
    </row>
    <row r="83" spans="1:20">
      <c r="A83" s="445"/>
      <c r="B83" s="407" t="s">
        <v>232</v>
      </c>
      <c r="C83" s="374" t="s">
        <v>233</v>
      </c>
      <c r="D83" s="451"/>
      <c r="E83" s="452"/>
      <c r="F83" s="452"/>
      <c r="G83" s="452"/>
      <c r="H83" s="453"/>
      <c r="I83" s="451"/>
      <c r="J83" s="454"/>
      <c r="K83" s="454"/>
      <c r="L83" s="454"/>
      <c r="M83" s="455"/>
      <c r="N83" s="303"/>
      <c r="O83" s="303"/>
      <c r="P83" s="303"/>
      <c r="Q83" s="303"/>
      <c r="R83" s="303"/>
      <c r="S83" s="303"/>
      <c r="T83" s="303"/>
    </row>
    <row r="84" spans="1:20">
      <c r="A84" s="445"/>
      <c r="B84" s="412" t="s">
        <v>294</v>
      </c>
      <c r="C84" s="374"/>
      <c r="D84" s="451"/>
      <c r="E84" s="452"/>
      <c r="F84" s="452"/>
      <c r="G84" s="452"/>
      <c r="H84" s="453"/>
      <c r="I84" s="451"/>
      <c r="J84" s="454"/>
      <c r="K84" s="454"/>
      <c r="L84" s="454"/>
      <c r="M84" s="455"/>
      <c r="N84" s="303"/>
      <c r="O84" s="303"/>
      <c r="P84" s="303"/>
      <c r="Q84" s="303"/>
      <c r="R84" s="303"/>
      <c r="S84" s="303"/>
      <c r="T84" s="303"/>
    </row>
    <row r="85" spans="1:20">
      <c r="A85" s="445"/>
      <c r="B85" s="373" t="s">
        <v>295</v>
      </c>
      <c r="C85" s="374"/>
      <c r="D85" s="425"/>
      <c r="E85" s="426"/>
      <c r="F85" s="426"/>
      <c r="G85" s="426"/>
      <c r="H85" s="427"/>
      <c r="I85" s="451"/>
      <c r="J85" s="454"/>
      <c r="K85" s="454"/>
      <c r="L85" s="454"/>
      <c r="M85" s="455"/>
      <c r="N85" s="303"/>
      <c r="O85" s="303"/>
      <c r="P85" s="303"/>
      <c r="Q85" s="303"/>
      <c r="R85" s="303"/>
      <c r="S85" s="303"/>
      <c r="T85" s="303"/>
    </row>
    <row r="86" spans="1:20">
      <c r="A86" s="445"/>
      <c r="B86" s="373" t="s">
        <v>296</v>
      </c>
      <c r="C86" s="374" t="s">
        <v>233</v>
      </c>
      <c r="D86" s="425"/>
      <c r="E86" s="426"/>
      <c r="F86" s="426"/>
      <c r="G86" s="426"/>
      <c r="H86" s="427"/>
      <c r="I86" s="451"/>
      <c r="J86" s="454"/>
      <c r="K86" s="454"/>
      <c r="L86" s="454"/>
      <c r="M86" s="455"/>
      <c r="N86" s="303"/>
      <c r="O86" s="303"/>
      <c r="P86" s="303"/>
      <c r="Q86" s="303"/>
      <c r="R86" s="303"/>
      <c r="S86" s="303"/>
      <c r="T86" s="303"/>
    </row>
    <row r="87" spans="1:20">
      <c r="A87" s="445"/>
      <c r="B87" s="373" t="s">
        <v>297</v>
      </c>
      <c r="C87" s="374"/>
      <c r="D87" s="451"/>
      <c r="E87" s="454"/>
      <c r="F87" s="454"/>
      <c r="G87" s="454"/>
      <c r="H87" s="453"/>
      <c r="I87" s="456">
        <f>SUM(I85:I86)</f>
        <v>0</v>
      </c>
      <c r="J87" s="457">
        <f>SUM(J85:J86)</f>
        <v>0</v>
      </c>
      <c r="K87" s="457">
        <f>SUM(K85:K86)</f>
        <v>0</v>
      </c>
      <c r="L87" s="457">
        <f>SUM(L85:L86)</f>
        <v>0</v>
      </c>
      <c r="M87" s="458">
        <f>SUM(M85:M86)</f>
        <v>0</v>
      </c>
      <c r="N87" s="303"/>
      <c r="O87" s="303"/>
      <c r="P87" s="303"/>
      <c r="Q87" s="303"/>
      <c r="R87" s="303"/>
      <c r="S87" s="303"/>
      <c r="T87" s="303"/>
    </row>
    <row r="88" spans="1:20">
      <c r="A88" s="445"/>
      <c r="B88" s="416" t="s">
        <v>305</v>
      </c>
      <c r="C88" s="374"/>
      <c r="D88" s="417"/>
      <c r="E88" s="418"/>
      <c r="F88" s="418"/>
      <c r="G88" s="418"/>
      <c r="H88" s="419"/>
      <c r="I88" s="420"/>
      <c r="J88" s="421"/>
      <c r="K88" s="421"/>
      <c r="L88" s="459"/>
      <c r="M88" s="422"/>
      <c r="N88" s="399"/>
      <c r="O88" s="303"/>
      <c r="P88" s="303"/>
      <c r="Q88" s="303"/>
      <c r="R88" s="303"/>
      <c r="S88" s="303"/>
      <c r="T88" s="303"/>
    </row>
    <row r="89" spans="1:20">
      <c r="A89" s="445"/>
      <c r="B89" s="423" t="s">
        <v>232</v>
      </c>
      <c r="C89" s="374" t="s">
        <v>233</v>
      </c>
      <c r="D89" s="451"/>
      <c r="E89" s="452"/>
      <c r="F89" s="452"/>
      <c r="G89" s="452"/>
      <c r="H89" s="453"/>
      <c r="I89" s="451"/>
      <c r="J89" s="454"/>
      <c r="K89" s="454"/>
      <c r="L89" s="454"/>
      <c r="M89" s="455"/>
      <c r="N89" s="303"/>
      <c r="O89" s="303"/>
      <c r="P89" s="303"/>
      <c r="Q89" s="303"/>
      <c r="R89" s="303"/>
      <c r="S89" s="303"/>
      <c r="T89" s="303"/>
    </row>
    <row r="90" spans="1:20">
      <c r="A90" s="445"/>
      <c r="B90" s="424" t="s">
        <v>294</v>
      </c>
      <c r="C90" s="374"/>
      <c r="D90" s="451"/>
      <c r="E90" s="452"/>
      <c r="F90" s="452"/>
      <c r="G90" s="452"/>
      <c r="H90" s="453"/>
      <c r="I90" s="451"/>
      <c r="J90" s="454"/>
      <c r="K90" s="454"/>
      <c r="L90" s="454"/>
      <c r="M90" s="455"/>
      <c r="N90" s="303"/>
      <c r="O90" s="303"/>
      <c r="P90" s="303"/>
      <c r="Q90" s="303"/>
      <c r="R90" s="303"/>
      <c r="S90" s="303"/>
      <c r="T90" s="303"/>
    </row>
    <row r="91" spans="1:20">
      <c r="A91" s="445"/>
      <c r="B91" s="373" t="s">
        <v>285</v>
      </c>
      <c r="C91" s="374"/>
      <c r="D91" s="425"/>
      <c r="E91" s="426"/>
      <c r="F91" s="426"/>
      <c r="G91" s="426"/>
      <c r="H91" s="427"/>
      <c r="I91" s="451"/>
      <c r="J91" s="454"/>
      <c r="K91" s="454"/>
      <c r="L91" s="454"/>
      <c r="M91" s="455"/>
      <c r="N91" s="303"/>
      <c r="O91" s="303"/>
      <c r="P91" s="303"/>
      <c r="Q91" s="303"/>
      <c r="R91" s="303"/>
      <c r="S91" s="303"/>
      <c r="T91" s="303"/>
    </row>
    <row r="92" spans="1:20">
      <c r="A92" s="445"/>
      <c r="B92" s="373" t="s">
        <v>286</v>
      </c>
      <c r="C92" s="374" t="s">
        <v>233</v>
      </c>
      <c r="D92" s="425"/>
      <c r="E92" s="426"/>
      <c r="F92" s="426"/>
      <c r="G92" s="426"/>
      <c r="H92" s="427"/>
      <c r="I92" s="451"/>
      <c r="J92" s="454"/>
      <c r="K92" s="454"/>
      <c r="L92" s="454"/>
      <c r="M92" s="455"/>
      <c r="N92" s="303"/>
      <c r="O92" s="303"/>
      <c r="P92" s="303"/>
      <c r="Q92" s="303"/>
      <c r="R92" s="303"/>
      <c r="S92" s="303"/>
      <c r="T92" s="303"/>
    </row>
    <row r="93" spans="1:20">
      <c r="A93" s="445"/>
      <c r="B93" s="373" t="s">
        <v>299</v>
      </c>
      <c r="C93" s="374"/>
      <c r="D93" s="451"/>
      <c r="E93" s="454"/>
      <c r="F93" s="454"/>
      <c r="G93" s="454"/>
      <c r="H93" s="453"/>
      <c r="I93" s="456">
        <f>SUM(I91:I92)</f>
        <v>0</v>
      </c>
      <c r="J93" s="456">
        <f>SUM(J91:J92)</f>
        <v>0</v>
      </c>
      <c r="K93" s="456">
        <f>SUM(K91:K92)</f>
        <v>0</v>
      </c>
      <c r="L93" s="456">
        <f>SUM(L91:L92)</f>
        <v>0</v>
      </c>
      <c r="M93" s="456">
        <f>SUM(M91:M92)</f>
        <v>0</v>
      </c>
      <c r="N93" s="303"/>
      <c r="O93" s="303"/>
      <c r="P93" s="303"/>
      <c r="Q93" s="303"/>
      <c r="R93" s="303"/>
      <c r="S93" s="303"/>
      <c r="T93" s="303"/>
    </row>
    <row r="94" spans="1:20">
      <c r="A94" s="445"/>
      <c r="B94" s="416" t="s">
        <v>306</v>
      </c>
      <c r="C94" s="374"/>
      <c r="D94" s="417"/>
      <c r="E94" s="418"/>
      <c r="F94" s="418"/>
      <c r="G94" s="418"/>
      <c r="H94" s="419"/>
      <c r="I94" s="420"/>
      <c r="J94" s="421"/>
      <c r="K94" s="421"/>
      <c r="L94" s="459"/>
      <c r="M94" s="422"/>
      <c r="N94" s="399"/>
      <c r="O94" s="303"/>
      <c r="P94" s="303"/>
      <c r="Q94" s="303"/>
      <c r="R94" s="303"/>
      <c r="S94" s="303"/>
      <c r="T94" s="303"/>
    </row>
    <row r="95" spans="1:20">
      <c r="A95" s="445"/>
      <c r="B95" s="423" t="s">
        <v>232</v>
      </c>
      <c r="C95" s="374" t="s">
        <v>233</v>
      </c>
      <c r="D95" s="451"/>
      <c r="E95" s="452"/>
      <c r="F95" s="452"/>
      <c r="G95" s="452"/>
      <c r="H95" s="453"/>
      <c r="I95" s="451"/>
      <c r="J95" s="454"/>
      <c r="K95" s="454"/>
      <c r="L95" s="454"/>
      <c r="M95" s="455"/>
      <c r="N95" s="303"/>
      <c r="O95" s="303"/>
      <c r="P95" s="303"/>
      <c r="Q95" s="303"/>
      <c r="R95" s="303"/>
      <c r="S95" s="303"/>
      <c r="T95" s="303"/>
    </row>
    <row r="96" spans="1:20">
      <c r="A96" s="445"/>
      <c r="B96" s="424" t="s">
        <v>294</v>
      </c>
      <c r="C96" s="374"/>
      <c r="D96" s="451"/>
      <c r="E96" s="452"/>
      <c r="F96" s="452"/>
      <c r="G96" s="452"/>
      <c r="H96" s="453"/>
      <c r="I96" s="451"/>
      <c r="J96" s="454"/>
      <c r="K96" s="454"/>
      <c r="L96" s="454"/>
      <c r="M96" s="455"/>
      <c r="N96" s="303"/>
      <c r="O96" s="303"/>
      <c r="P96" s="303"/>
      <c r="Q96" s="303"/>
      <c r="R96" s="303"/>
      <c r="S96" s="303"/>
      <c r="T96" s="303"/>
    </row>
    <row r="97" spans="1:20">
      <c r="A97" s="445"/>
      <c r="B97" s="373" t="s">
        <v>287</v>
      </c>
      <c r="C97" s="374"/>
      <c r="D97" s="413"/>
      <c r="E97" s="414"/>
      <c r="F97" s="414"/>
      <c r="G97" s="414"/>
      <c r="H97" s="415"/>
      <c r="I97" s="451"/>
      <c r="J97" s="454"/>
      <c r="K97" s="454"/>
      <c r="L97" s="454"/>
      <c r="M97" s="455"/>
      <c r="N97" s="303"/>
      <c r="O97" s="303"/>
      <c r="P97" s="303"/>
      <c r="Q97" s="303"/>
      <c r="R97" s="303"/>
      <c r="S97" s="303"/>
      <c r="T97" s="303"/>
    </row>
    <row r="98" spans="1:20">
      <c r="A98" s="445"/>
      <c r="B98" s="373" t="s">
        <v>288</v>
      </c>
      <c r="C98" s="374" t="s">
        <v>233</v>
      </c>
      <c r="D98" s="413"/>
      <c r="E98" s="414"/>
      <c r="F98" s="414"/>
      <c r="G98" s="414"/>
      <c r="H98" s="415"/>
      <c r="I98" s="451"/>
      <c r="J98" s="454"/>
      <c r="K98" s="454"/>
      <c r="L98" s="454"/>
      <c r="M98" s="455"/>
      <c r="N98" s="303"/>
      <c r="O98" s="303"/>
      <c r="P98" s="303"/>
      <c r="Q98" s="303"/>
      <c r="R98" s="303"/>
      <c r="S98" s="303"/>
      <c r="T98" s="303"/>
    </row>
    <row r="99" spans="1:20">
      <c r="A99" s="445"/>
      <c r="B99" s="373" t="s">
        <v>301</v>
      </c>
      <c r="C99" s="374"/>
      <c r="D99" s="451"/>
      <c r="E99" s="454"/>
      <c r="F99" s="454"/>
      <c r="G99" s="454"/>
      <c r="H99" s="453"/>
      <c r="I99" s="456">
        <f>SUM(I97:I98)</f>
        <v>0</v>
      </c>
      <c r="J99" s="456">
        <f>SUM(J97:J98)</f>
        <v>0</v>
      </c>
      <c r="K99" s="456">
        <f>SUM(K97:K98)</f>
        <v>0</v>
      </c>
      <c r="L99" s="456">
        <f>SUM(L97:L98)</f>
        <v>0</v>
      </c>
      <c r="M99" s="456">
        <f>SUM(M97:M98)</f>
        <v>0</v>
      </c>
      <c r="N99" s="303"/>
      <c r="O99" s="303"/>
      <c r="P99" s="303"/>
      <c r="Q99" s="303"/>
      <c r="R99" s="303"/>
      <c r="S99" s="303"/>
      <c r="T99" s="303"/>
    </row>
    <row r="100" spans="1:20">
      <c r="A100" s="445"/>
      <c r="B100" s="416" t="s">
        <v>307</v>
      </c>
      <c r="C100" s="374"/>
      <c r="D100" s="417"/>
      <c r="E100" s="418"/>
      <c r="F100" s="418"/>
      <c r="G100" s="418"/>
      <c r="H100" s="419"/>
      <c r="I100" s="420"/>
      <c r="J100" s="421"/>
      <c r="K100" s="421"/>
      <c r="L100" s="459"/>
      <c r="M100" s="422"/>
      <c r="N100" s="399"/>
      <c r="O100" s="303"/>
      <c r="P100" s="303"/>
      <c r="Q100" s="303"/>
      <c r="R100" s="303"/>
      <c r="S100" s="303"/>
      <c r="T100" s="303"/>
    </row>
    <row r="101" spans="1:20">
      <c r="A101" s="445"/>
      <c r="B101" s="423" t="s">
        <v>232</v>
      </c>
      <c r="C101" s="374" t="s">
        <v>233</v>
      </c>
      <c r="D101" s="460"/>
      <c r="E101" s="461"/>
      <c r="F101" s="461"/>
      <c r="G101" s="461"/>
      <c r="H101" s="462"/>
      <c r="I101" s="460"/>
      <c r="J101" s="463"/>
      <c r="K101" s="463"/>
      <c r="L101" s="463"/>
      <c r="M101" s="464"/>
      <c r="N101" s="303"/>
      <c r="O101" s="303"/>
      <c r="P101" s="303"/>
      <c r="Q101" s="303"/>
      <c r="R101" s="303"/>
      <c r="S101" s="303"/>
      <c r="T101" s="303"/>
    </row>
    <row r="102" spans="1:20">
      <c r="A102" s="445"/>
      <c r="B102" s="424" t="s">
        <v>294</v>
      </c>
      <c r="C102" s="374"/>
      <c r="D102" s="460"/>
      <c r="E102" s="461"/>
      <c r="F102" s="461"/>
      <c r="G102" s="461"/>
      <c r="H102" s="462"/>
      <c r="I102" s="460"/>
      <c r="J102" s="463"/>
      <c r="K102" s="463"/>
      <c r="L102" s="463"/>
      <c r="M102" s="464"/>
      <c r="N102" s="303"/>
      <c r="O102" s="303"/>
      <c r="P102" s="303"/>
      <c r="Q102" s="303"/>
      <c r="R102" s="303"/>
      <c r="S102" s="303"/>
      <c r="T102" s="303"/>
    </row>
    <row r="103" spans="1:20">
      <c r="A103" s="445"/>
      <c r="B103" s="373" t="s">
        <v>289</v>
      </c>
      <c r="C103" s="374"/>
      <c r="D103" s="465"/>
      <c r="E103" s="466"/>
      <c r="F103" s="466"/>
      <c r="G103" s="466"/>
      <c r="H103" s="467"/>
      <c r="I103" s="460"/>
      <c r="J103" s="463"/>
      <c r="K103" s="463"/>
      <c r="L103" s="463"/>
      <c r="M103" s="464"/>
      <c r="N103" s="303"/>
      <c r="O103" s="303"/>
      <c r="P103" s="303"/>
      <c r="Q103" s="303"/>
      <c r="R103" s="303"/>
      <c r="S103" s="303"/>
      <c r="T103" s="303"/>
    </row>
    <row r="104" spans="1:20">
      <c r="A104" s="445"/>
      <c r="B104" s="373" t="s">
        <v>290</v>
      </c>
      <c r="C104" s="374" t="s">
        <v>233</v>
      </c>
      <c r="D104" s="465"/>
      <c r="E104" s="466"/>
      <c r="F104" s="466"/>
      <c r="G104" s="466"/>
      <c r="H104" s="467"/>
      <c r="I104" s="460"/>
      <c r="J104" s="463"/>
      <c r="K104" s="463"/>
      <c r="L104" s="463"/>
      <c r="M104" s="464"/>
      <c r="N104" s="303"/>
      <c r="O104" s="303"/>
      <c r="P104" s="303"/>
      <c r="Q104" s="303"/>
      <c r="R104" s="303"/>
      <c r="S104" s="303"/>
      <c r="T104" s="303"/>
    </row>
    <row r="105" spans="1:20">
      <c r="A105" s="445"/>
      <c r="B105" s="373" t="s">
        <v>303</v>
      </c>
      <c r="C105" s="374"/>
      <c r="D105" s="460"/>
      <c r="E105" s="461"/>
      <c r="F105" s="461"/>
      <c r="G105" s="461"/>
      <c r="H105" s="462"/>
      <c r="I105" s="468">
        <f>SUM(I103:I104)</f>
        <v>0</v>
      </c>
      <c r="J105" s="468">
        <f>SUM(J103:J104)</f>
        <v>0</v>
      </c>
      <c r="K105" s="468">
        <f>SUM(K103:K104)</f>
        <v>0</v>
      </c>
      <c r="L105" s="468">
        <f>SUM(L103:L104)</f>
        <v>0</v>
      </c>
      <c r="M105" s="468">
        <f>SUM(M103:M104)</f>
        <v>0</v>
      </c>
      <c r="N105" s="303"/>
      <c r="O105" s="303"/>
      <c r="P105" s="303"/>
      <c r="Q105" s="303"/>
      <c r="R105" s="303"/>
      <c r="S105" s="303"/>
      <c r="T105" s="303"/>
    </row>
    <row r="106" spans="1:20" ht="13.5" thickBot="1">
      <c r="A106" s="445"/>
      <c r="B106" s="438" t="s">
        <v>239</v>
      </c>
      <c r="C106" s="389" t="s">
        <v>233</v>
      </c>
      <c r="D106" s="439">
        <f t="shared" ref="D106:M106" si="21">SUM(D83:D84,D87,D89:D90,D93,D95:D96,D99,D101:D102,D105)</f>
        <v>0</v>
      </c>
      <c r="E106" s="440">
        <f t="shared" si="21"/>
        <v>0</v>
      </c>
      <c r="F106" s="440">
        <f t="shared" si="21"/>
        <v>0</v>
      </c>
      <c r="G106" s="440">
        <f t="shared" si="21"/>
        <v>0</v>
      </c>
      <c r="H106" s="441">
        <f t="shared" si="21"/>
        <v>0</v>
      </c>
      <c r="I106" s="439">
        <f t="shared" si="21"/>
        <v>0</v>
      </c>
      <c r="J106" s="440">
        <f t="shared" si="21"/>
        <v>0</v>
      </c>
      <c r="K106" s="440">
        <f t="shared" si="21"/>
        <v>0</v>
      </c>
      <c r="L106" s="440">
        <f t="shared" si="21"/>
        <v>0</v>
      </c>
      <c r="M106" s="469">
        <f t="shared" si="21"/>
        <v>0</v>
      </c>
      <c r="N106" s="442"/>
      <c r="O106" s="303"/>
      <c r="P106" s="303"/>
      <c r="Q106" s="303"/>
      <c r="R106" s="303"/>
      <c r="S106" s="303"/>
      <c r="T106" s="303"/>
    </row>
    <row r="107" spans="1:20">
      <c r="B107" s="470"/>
      <c r="C107" s="363"/>
      <c r="D107" s="364"/>
      <c r="E107" s="364"/>
      <c r="F107" s="364"/>
      <c r="G107" s="364"/>
      <c r="H107" s="364"/>
      <c r="I107" s="364"/>
      <c r="J107" s="364"/>
      <c r="K107" s="364"/>
      <c r="L107" s="364"/>
      <c r="M107" s="364"/>
      <c r="N107" s="303"/>
      <c r="O107" s="364"/>
      <c r="P107" s="364"/>
      <c r="Q107" s="364"/>
      <c r="R107" s="303"/>
      <c r="S107" s="364"/>
      <c r="T107" s="364"/>
    </row>
    <row r="108" spans="1:20">
      <c r="B108" s="304" t="s">
        <v>308</v>
      </c>
      <c r="N108" s="303"/>
      <c r="O108" s="303"/>
      <c r="P108" s="303"/>
      <c r="Q108" s="303"/>
      <c r="R108" s="303"/>
      <c r="S108" s="303"/>
      <c r="T108" s="303"/>
    </row>
    <row r="109" spans="1:20" ht="13.5" thickBot="1">
      <c r="B109" s="304"/>
      <c r="F109" s="405"/>
      <c r="N109" s="303"/>
      <c r="O109" s="303"/>
      <c r="P109" s="303"/>
      <c r="Q109" s="303"/>
      <c r="R109" s="303"/>
      <c r="S109" s="303"/>
      <c r="T109" s="303"/>
    </row>
    <row r="110" spans="1:20">
      <c r="B110" s="1467"/>
      <c r="C110" s="1469" t="s">
        <v>190</v>
      </c>
      <c r="D110" s="305" t="s">
        <v>191</v>
      </c>
      <c r="E110" s="306"/>
      <c r="F110" s="306"/>
      <c r="G110" s="306"/>
      <c r="H110" s="307"/>
      <c r="I110" s="306" t="s">
        <v>192</v>
      </c>
      <c r="J110" s="308"/>
      <c r="K110" s="308"/>
      <c r="L110" s="308"/>
      <c r="M110" s="307"/>
      <c r="N110" s="303"/>
      <c r="O110" s="303"/>
      <c r="P110" s="303"/>
      <c r="Q110" s="303"/>
      <c r="R110" s="303"/>
      <c r="S110" s="303"/>
      <c r="T110" s="303"/>
    </row>
    <row r="111" spans="1:20">
      <c r="B111" s="1468"/>
      <c r="C111" s="1470"/>
      <c r="D111" s="312" t="s">
        <v>79</v>
      </c>
      <c r="E111" s="313" t="s">
        <v>80</v>
      </c>
      <c r="F111" s="313" t="s">
        <v>81</v>
      </c>
      <c r="G111" s="313" t="s">
        <v>82</v>
      </c>
      <c r="H111" s="314" t="s">
        <v>44</v>
      </c>
      <c r="I111" s="315" t="s">
        <v>193</v>
      </c>
      <c r="J111" s="313" t="s">
        <v>194</v>
      </c>
      <c r="K111" s="313" t="s">
        <v>195</v>
      </c>
      <c r="L111" s="313" t="s">
        <v>196</v>
      </c>
      <c r="M111" s="314" t="s">
        <v>197</v>
      </c>
      <c r="N111" s="303"/>
      <c r="O111" s="303"/>
      <c r="P111" s="303"/>
      <c r="Q111" s="303"/>
      <c r="R111" s="303"/>
      <c r="S111" s="303"/>
      <c r="T111" s="303"/>
    </row>
    <row r="112" spans="1:20">
      <c r="B112" s="391" t="s">
        <v>292</v>
      </c>
      <c r="C112" s="392"/>
      <c r="D112" s="393"/>
      <c r="E112" s="394"/>
      <c r="F112" s="394"/>
      <c r="G112" s="394"/>
      <c r="H112" s="395"/>
      <c r="I112" s="397"/>
      <c r="J112" s="397"/>
      <c r="K112" s="397"/>
      <c r="L112" s="397"/>
      <c r="M112" s="398"/>
      <c r="N112" s="399"/>
      <c r="O112" s="303"/>
      <c r="P112" s="303"/>
      <c r="Q112" s="303"/>
      <c r="R112" s="303"/>
      <c r="S112" s="303"/>
      <c r="T112" s="303"/>
    </row>
    <row r="113" spans="2:20">
      <c r="B113" s="448" t="s">
        <v>293</v>
      </c>
      <c r="C113" s="374"/>
      <c r="D113" s="401"/>
      <c r="E113" s="402"/>
      <c r="F113" s="402"/>
      <c r="G113" s="402"/>
      <c r="H113" s="403"/>
      <c r="I113" s="405"/>
      <c r="J113" s="405"/>
      <c r="K113" s="405"/>
      <c r="L113" s="405"/>
      <c r="M113" s="406"/>
      <c r="N113" s="399"/>
      <c r="O113" s="303"/>
      <c r="P113" s="303"/>
      <c r="Q113" s="303"/>
      <c r="R113" s="303"/>
      <c r="S113" s="303"/>
      <c r="T113" s="303"/>
    </row>
    <row r="114" spans="2:20">
      <c r="B114" s="407" t="s">
        <v>232</v>
      </c>
      <c r="C114" s="374" t="s">
        <v>233</v>
      </c>
      <c r="D114" s="451"/>
      <c r="E114" s="452"/>
      <c r="F114" s="452"/>
      <c r="G114" s="452"/>
      <c r="H114" s="453"/>
      <c r="I114" s="451"/>
      <c r="J114" s="454"/>
      <c r="K114" s="454"/>
      <c r="L114" s="454"/>
      <c r="M114" s="455"/>
      <c r="N114" s="303"/>
      <c r="O114" s="303"/>
      <c r="P114" s="303"/>
      <c r="Q114" s="303"/>
      <c r="R114" s="303"/>
      <c r="S114" s="303"/>
      <c r="T114" s="303"/>
    </row>
    <row r="115" spans="2:20">
      <c r="B115" s="412" t="s">
        <v>294</v>
      </c>
      <c r="C115" s="374"/>
      <c r="D115" s="451"/>
      <c r="E115" s="452"/>
      <c r="F115" s="452"/>
      <c r="G115" s="452"/>
      <c r="H115" s="453"/>
      <c r="I115" s="451"/>
      <c r="J115" s="454"/>
      <c r="K115" s="454"/>
      <c r="L115" s="454"/>
      <c r="M115" s="455"/>
      <c r="N115" s="303"/>
      <c r="O115" s="303"/>
      <c r="P115" s="303"/>
      <c r="Q115" s="303"/>
      <c r="R115" s="303"/>
      <c r="S115" s="303"/>
      <c r="T115" s="303"/>
    </row>
    <row r="116" spans="2:20">
      <c r="B116" s="373" t="s">
        <v>295</v>
      </c>
      <c r="C116" s="374"/>
      <c r="D116" s="425"/>
      <c r="E116" s="426"/>
      <c r="F116" s="426"/>
      <c r="G116" s="426"/>
      <c r="H116" s="427"/>
      <c r="I116" s="451"/>
      <c r="J116" s="454"/>
      <c r="K116" s="454"/>
      <c r="L116" s="454"/>
      <c r="M116" s="455"/>
      <c r="N116" s="303"/>
      <c r="O116" s="303"/>
      <c r="P116" s="303"/>
      <c r="Q116" s="303"/>
      <c r="R116" s="303"/>
      <c r="S116" s="303"/>
      <c r="T116" s="303"/>
    </row>
    <row r="117" spans="2:20">
      <c r="B117" s="373" t="s">
        <v>296</v>
      </c>
      <c r="C117" s="374" t="s">
        <v>233</v>
      </c>
      <c r="D117" s="425"/>
      <c r="E117" s="426"/>
      <c r="F117" s="426"/>
      <c r="G117" s="426"/>
      <c r="H117" s="427"/>
      <c r="I117" s="451"/>
      <c r="J117" s="454"/>
      <c r="K117" s="454"/>
      <c r="L117" s="454"/>
      <c r="M117" s="455"/>
      <c r="N117" s="303"/>
      <c r="O117" s="303"/>
      <c r="P117" s="303"/>
      <c r="Q117" s="303"/>
      <c r="R117" s="303"/>
      <c r="S117" s="303"/>
      <c r="T117" s="303"/>
    </row>
    <row r="118" spans="2:20">
      <c r="B118" s="373" t="s">
        <v>297</v>
      </c>
      <c r="C118" s="374"/>
      <c r="D118" s="451"/>
      <c r="E118" s="454"/>
      <c r="F118" s="454"/>
      <c r="G118" s="454"/>
      <c r="H118" s="453"/>
      <c r="I118" s="456">
        <f>SUM(I116:I117)</f>
        <v>0</v>
      </c>
      <c r="J118" s="457">
        <f>SUM(J116:J117)</f>
        <v>0</v>
      </c>
      <c r="K118" s="457">
        <f>SUM(K116:K117)</f>
        <v>0</v>
      </c>
      <c r="L118" s="457">
        <f>SUM(L116:L117)</f>
        <v>0</v>
      </c>
      <c r="M118" s="458">
        <f>SUM(M116:M117)</f>
        <v>0</v>
      </c>
      <c r="N118" s="303"/>
      <c r="O118" s="303"/>
      <c r="P118" s="303"/>
      <c r="Q118" s="303"/>
      <c r="R118" s="303"/>
      <c r="S118" s="303"/>
      <c r="T118" s="303"/>
    </row>
    <row r="119" spans="2:20">
      <c r="B119" s="416" t="s">
        <v>305</v>
      </c>
      <c r="C119" s="374"/>
      <c r="D119" s="417"/>
      <c r="E119" s="418"/>
      <c r="F119" s="418"/>
      <c r="G119" s="418"/>
      <c r="H119" s="419"/>
      <c r="I119" s="420"/>
      <c r="J119" s="421"/>
      <c r="K119" s="421"/>
      <c r="L119" s="459"/>
      <c r="M119" s="422"/>
      <c r="N119" s="399"/>
      <c r="O119" s="303"/>
      <c r="P119" s="303"/>
      <c r="Q119" s="303"/>
      <c r="R119" s="303"/>
      <c r="S119" s="303"/>
      <c r="T119" s="303"/>
    </row>
    <row r="120" spans="2:20">
      <c r="B120" s="423" t="s">
        <v>232</v>
      </c>
      <c r="C120" s="374" t="s">
        <v>233</v>
      </c>
      <c r="D120" s="451"/>
      <c r="E120" s="452"/>
      <c r="F120" s="452"/>
      <c r="G120" s="452"/>
      <c r="H120" s="453"/>
      <c r="I120" s="451"/>
      <c r="J120" s="454"/>
      <c r="K120" s="454"/>
      <c r="L120" s="454"/>
      <c r="M120" s="455"/>
      <c r="N120" s="303"/>
      <c r="O120" s="303"/>
      <c r="P120" s="303"/>
      <c r="Q120" s="303"/>
      <c r="R120" s="303"/>
      <c r="S120" s="303"/>
      <c r="T120" s="303"/>
    </row>
    <row r="121" spans="2:20">
      <c r="B121" s="424" t="s">
        <v>294</v>
      </c>
      <c r="C121" s="374"/>
      <c r="D121" s="451"/>
      <c r="E121" s="452"/>
      <c r="F121" s="452"/>
      <c r="G121" s="452"/>
      <c r="H121" s="453"/>
      <c r="I121" s="451"/>
      <c r="J121" s="454"/>
      <c r="K121" s="454"/>
      <c r="L121" s="454"/>
      <c r="M121" s="455"/>
      <c r="N121" s="303"/>
      <c r="O121" s="303"/>
      <c r="P121" s="303"/>
      <c r="Q121" s="303"/>
      <c r="R121" s="303"/>
      <c r="S121" s="303"/>
      <c r="T121" s="303"/>
    </row>
    <row r="122" spans="2:20">
      <c r="B122" s="373" t="s">
        <v>285</v>
      </c>
      <c r="C122" s="374"/>
      <c r="D122" s="425"/>
      <c r="E122" s="426"/>
      <c r="F122" s="426"/>
      <c r="G122" s="426"/>
      <c r="H122" s="427"/>
      <c r="I122" s="451"/>
      <c r="J122" s="454"/>
      <c r="K122" s="454"/>
      <c r="L122" s="454"/>
      <c r="M122" s="455"/>
      <c r="N122" s="303"/>
      <c r="O122" s="303"/>
      <c r="P122" s="303"/>
      <c r="Q122" s="303"/>
      <c r="R122" s="303"/>
      <c r="S122" s="303"/>
      <c r="T122" s="303"/>
    </row>
    <row r="123" spans="2:20">
      <c r="B123" s="373" t="s">
        <v>286</v>
      </c>
      <c r="C123" s="374" t="s">
        <v>233</v>
      </c>
      <c r="D123" s="425"/>
      <c r="E123" s="426"/>
      <c r="F123" s="426"/>
      <c r="G123" s="426"/>
      <c r="H123" s="427"/>
      <c r="I123" s="451"/>
      <c r="J123" s="454"/>
      <c r="K123" s="454"/>
      <c r="L123" s="454"/>
      <c r="M123" s="455"/>
      <c r="N123" s="303"/>
      <c r="O123" s="303"/>
      <c r="P123" s="303"/>
      <c r="Q123" s="303"/>
      <c r="R123" s="303"/>
      <c r="S123" s="303"/>
      <c r="T123" s="303"/>
    </row>
    <row r="124" spans="2:20">
      <c r="B124" s="373" t="s">
        <v>299</v>
      </c>
      <c r="C124" s="374"/>
      <c r="D124" s="451"/>
      <c r="E124" s="454"/>
      <c r="F124" s="454"/>
      <c r="G124" s="454"/>
      <c r="H124" s="453"/>
      <c r="I124" s="456">
        <f>SUM(I122:I123)</f>
        <v>0</v>
      </c>
      <c r="J124" s="456">
        <f>SUM(J122:J123)</f>
        <v>0</v>
      </c>
      <c r="K124" s="456">
        <f>SUM(K122:K123)</f>
        <v>0</v>
      </c>
      <c r="L124" s="456">
        <f>SUM(L122:L123)</f>
        <v>0</v>
      </c>
      <c r="M124" s="471">
        <f>SUM(M122:M123)</f>
        <v>0</v>
      </c>
      <c r="N124" s="303"/>
      <c r="O124" s="303"/>
      <c r="P124" s="303"/>
      <c r="Q124" s="303"/>
      <c r="R124" s="303"/>
      <c r="S124" s="303"/>
      <c r="T124" s="303"/>
    </row>
    <row r="125" spans="2:20">
      <c r="B125" s="416" t="s">
        <v>306</v>
      </c>
      <c r="C125" s="374"/>
      <c r="D125" s="417"/>
      <c r="E125" s="418"/>
      <c r="F125" s="418"/>
      <c r="G125" s="418"/>
      <c r="H125" s="419"/>
      <c r="I125" s="420"/>
      <c r="J125" s="421"/>
      <c r="K125" s="421"/>
      <c r="L125" s="459"/>
      <c r="M125" s="422"/>
      <c r="N125" s="399"/>
      <c r="O125" s="303"/>
      <c r="P125" s="303"/>
      <c r="Q125" s="303"/>
      <c r="R125" s="303"/>
      <c r="S125" s="303"/>
      <c r="T125" s="303"/>
    </row>
    <row r="126" spans="2:20">
      <c r="B126" s="423" t="s">
        <v>232</v>
      </c>
      <c r="C126" s="374" t="s">
        <v>233</v>
      </c>
      <c r="D126" s="451"/>
      <c r="E126" s="452"/>
      <c r="F126" s="452"/>
      <c r="G126" s="452"/>
      <c r="H126" s="453"/>
      <c r="I126" s="451"/>
      <c r="J126" s="454"/>
      <c r="K126" s="454"/>
      <c r="L126" s="454"/>
      <c r="M126" s="455"/>
      <c r="N126" s="303"/>
      <c r="O126" s="303"/>
      <c r="P126" s="303"/>
      <c r="Q126" s="303"/>
      <c r="R126" s="303"/>
      <c r="S126" s="303"/>
      <c r="T126" s="303"/>
    </row>
    <row r="127" spans="2:20">
      <c r="B127" s="424" t="s">
        <v>294</v>
      </c>
      <c r="C127" s="374"/>
      <c r="D127" s="451"/>
      <c r="E127" s="452"/>
      <c r="F127" s="452"/>
      <c r="G127" s="452"/>
      <c r="H127" s="453"/>
      <c r="I127" s="451"/>
      <c r="J127" s="454"/>
      <c r="K127" s="454"/>
      <c r="L127" s="454"/>
      <c r="M127" s="455"/>
      <c r="N127" s="303"/>
      <c r="O127" s="303"/>
      <c r="P127" s="303"/>
      <c r="Q127" s="303"/>
      <c r="R127" s="303"/>
      <c r="S127" s="303"/>
      <c r="T127" s="303"/>
    </row>
    <row r="128" spans="2:20">
      <c r="B128" s="373" t="s">
        <v>287</v>
      </c>
      <c r="C128" s="374"/>
      <c r="D128" s="413"/>
      <c r="E128" s="414"/>
      <c r="F128" s="414"/>
      <c r="G128" s="414"/>
      <c r="H128" s="415"/>
      <c r="I128" s="451"/>
      <c r="J128" s="454"/>
      <c r="K128" s="454"/>
      <c r="L128" s="454"/>
      <c r="M128" s="455"/>
      <c r="N128" s="303"/>
      <c r="O128" s="303"/>
      <c r="P128" s="303"/>
      <c r="Q128" s="303"/>
      <c r="R128" s="303"/>
      <c r="S128" s="303"/>
      <c r="T128" s="303"/>
    </row>
    <row r="129" spans="2:20">
      <c r="B129" s="373" t="s">
        <v>288</v>
      </c>
      <c r="C129" s="374" t="s">
        <v>233</v>
      </c>
      <c r="D129" s="413"/>
      <c r="E129" s="414"/>
      <c r="F129" s="414"/>
      <c r="G129" s="414"/>
      <c r="H129" s="415"/>
      <c r="I129" s="451"/>
      <c r="J129" s="454"/>
      <c r="K129" s="454"/>
      <c r="L129" s="454"/>
      <c r="M129" s="455"/>
      <c r="N129" s="303"/>
      <c r="O129" s="303"/>
      <c r="P129" s="303"/>
      <c r="Q129" s="303"/>
      <c r="R129" s="303"/>
      <c r="S129" s="303"/>
      <c r="T129" s="303"/>
    </row>
    <row r="130" spans="2:20">
      <c r="B130" s="373" t="s">
        <v>301</v>
      </c>
      <c r="C130" s="374"/>
      <c r="D130" s="451"/>
      <c r="E130" s="454"/>
      <c r="F130" s="454"/>
      <c r="G130" s="454"/>
      <c r="H130" s="453"/>
      <c r="I130" s="456">
        <f>SUM(I128:I129)</f>
        <v>0</v>
      </c>
      <c r="J130" s="456">
        <f>SUM(J128:J129)</f>
        <v>0</v>
      </c>
      <c r="K130" s="456">
        <f>SUM(K128:K129)</f>
        <v>0</v>
      </c>
      <c r="L130" s="456">
        <f>SUM(L128:L129)</f>
        <v>0</v>
      </c>
      <c r="M130" s="471">
        <f>SUM(M128:M129)</f>
        <v>0</v>
      </c>
      <c r="N130" s="303"/>
      <c r="O130" s="303"/>
      <c r="P130" s="303"/>
      <c r="Q130" s="303"/>
      <c r="R130" s="303"/>
      <c r="S130" s="303"/>
      <c r="T130" s="303"/>
    </row>
    <row r="131" spans="2:20">
      <c r="B131" s="416" t="s">
        <v>307</v>
      </c>
      <c r="C131" s="374"/>
      <c r="D131" s="417"/>
      <c r="E131" s="418"/>
      <c r="F131" s="418"/>
      <c r="G131" s="418"/>
      <c r="H131" s="419"/>
      <c r="I131" s="420"/>
      <c r="J131" s="421"/>
      <c r="K131" s="421"/>
      <c r="L131" s="459"/>
      <c r="M131" s="422"/>
      <c r="N131" s="399"/>
      <c r="O131" s="303"/>
      <c r="P131" s="303"/>
      <c r="Q131" s="303"/>
      <c r="R131" s="303"/>
      <c r="S131" s="303"/>
      <c r="T131" s="303"/>
    </row>
    <row r="132" spans="2:20">
      <c r="B132" s="423" t="s">
        <v>232</v>
      </c>
      <c r="C132" s="374" t="s">
        <v>233</v>
      </c>
      <c r="D132" s="460"/>
      <c r="E132" s="461"/>
      <c r="F132" s="461"/>
      <c r="G132" s="461"/>
      <c r="H132" s="462"/>
      <c r="I132" s="460"/>
      <c r="J132" s="463"/>
      <c r="K132" s="463"/>
      <c r="L132" s="463"/>
      <c r="M132" s="464"/>
      <c r="N132" s="303"/>
      <c r="O132" s="303"/>
      <c r="P132" s="303"/>
      <c r="Q132" s="303"/>
      <c r="R132" s="303"/>
      <c r="S132" s="303"/>
      <c r="T132" s="303"/>
    </row>
    <row r="133" spans="2:20">
      <c r="B133" s="424" t="s">
        <v>294</v>
      </c>
      <c r="C133" s="374"/>
      <c r="D133" s="460"/>
      <c r="E133" s="461"/>
      <c r="F133" s="461"/>
      <c r="G133" s="461"/>
      <c r="H133" s="462"/>
      <c r="I133" s="460"/>
      <c r="J133" s="463"/>
      <c r="K133" s="463"/>
      <c r="L133" s="463"/>
      <c r="M133" s="464"/>
      <c r="N133" s="303"/>
      <c r="O133" s="303"/>
      <c r="P133" s="303"/>
      <c r="Q133" s="303"/>
      <c r="R133" s="303"/>
      <c r="S133" s="303"/>
      <c r="T133" s="303"/>
    </row>
    <row r="134" spans="2:20">
      <c r="B134" s="373" t="s">
        <v>289</v>
      </c>
      <c r="C134" s="374"/>
      <c r="D134" s="465"/>
      <c r="E134" s="466"/>
      <c r="F134" s="466"/>
      <c r="G134" s="466"/>
      <c r="H134" s="467"/>
      <c r="I134" s="460"/>
      <c r="J134" s="463"/>
      <c r="K134" s="463"/>
      <c r="L134" s="463"/>
      <c r="M134" s="464"/>
      <c r="N134" s="303"/>
      <c r="O134" s="303"/>
      <c r="P134" s="303"/>
      <c r="Q134" s="303"/>
      <c r="R134" s="303"/>
      <c r="S134" s="303"/>
      <c r="T134" s="303"/>
    </row>
    <row r="135" spans="2:20">
      <c r="B135" s="373" t="s">
        <v>290</v>
      </c>
      <c r="C135" s="374" t="s">
        <v>233</v>
      </c>
      <c r="D135" s="465"/>
      <c r="E135" s="466"/>
      <c r="F135" s="466"/>
      <c r="G135" s="466"/>
      <c r="H135" s="467"/>
      <c r="I135" s="460"/>
      <c r="J135" s="463"/>
      <c r="K135" s="463"/>
      <c r="L135" s="463"/>
      <c r="M135" s="464"/>
      <c r="N135" s="303"/>
      <c r="O135" s="303"/>
      <c r="P135" s="303"/>
      <c r="Q135" s="303"/>
      <c r="R135" s="303"/>
      <c r="S135" s="303"/>
      <c r="T135" s="303"/>
    </row>
    <row r="136" spans="2:20">
      <c r="B136" s="373" t="s">
        <v>303</v>
      </c>
      <c r="C136" s="374"/>
      <c r="D136" s="460"/>
      <c r="E136" s="461"/>
      <c r="F136" s="461"/>
      <c r="G136" s="461"/>
      <c r="H136" s="462"/>
      <c r="I136" s="468">
        <f>SUM(I134:I135)</f>
        <v>0</v>
      </c>
      <c r="J136" s="468">
        <f>SUM(J134:J135)</f>
        <v>0</v>
      </c>
      <c r="K136" s="468">
        <f>SUM(K134:K135)</f>
        <v>0</v>
      </c>
      <c r="L136" s="468">
        <f>SUM(L134:L135)</f>
        <v>0</v>
      </c>
      <c r="M136" s="472">
        <f>SUM(M134:M135)</f>
        <v>0</v>
      </c>
      <c r="N136" s="303"/>
      <c r="O136" s="303"/>
      <c r="P136" s="303"/>
      <c r="Q136" s="303"/>
      <c r="R136" s="303"/>
      <c r="S136" s="303"/>
      <c r="T136" s="303"/>
    </row>
    <row r="137" spans="2:20" ht="13.5" thickBot="1">
      <c r="B137" s="438" t="s">
        <v>239</v>
      </c>
      <c r="C137" s="389" t="s">
        <v>233</v>
      </c>
      <c r="D137" s="439">
        <f t="shared" ref="D137:M137" si="22">SUM(D114:D115,D118,D120:D121,D124,D126:D127,D130,D132:D133,D136)</f>
        <v>0</v>
      </c>
      <c r="E137" s="440">
        <f t="shared" si="22"/>
        <v>0</v>
      </c>
      <c r="F137" s="440">
        <f t="shared" si="22"/>
        <v>0</v>
      </c>
      <c r="G137" s="440">
        <f t="shared" si="22"/>
        <v>0</v>
      </c>
      <c r="H137" s="441">
        <f t="shared" si="22"/>
        <v>0</v>
      </c>
      <c r="I137" s="439">
        <f t="shared" si="22"/>
        <v>0</v>
      </c>
      <c r="J137" s="440">
        <f t="shared" si="22"/>
        <v>0</v>
      </c>
      <c r="K137" s="440">
        <f t="shared" si="22"/>
        <v>0</v>
      </c>
      <c r="L137" s="440">
        <f t="shared" si="22"/>
        <v>0</v>
      </c>
      <c r="M137" s="469">
        <f t="shared" si="22"/>
        <v>0</v>
      </c>
      <c r="N137" s="442"/>
      <c r="O137" s="303"/>
      <c r="P137" s="303"/>
      <c r="Q137" s="303"/>
      <c r="R137" s="303"/>
      <c r="S137" s="303"/>
      <c r="T137" s="303"/>
    </row>
    <row r="138" spans="2:20">
      <c r="B138" s="470"/>
      <c r="C138" s="363"/>
      <c r="D138" s="364"/>
      <c r="E138" s="364"/>
      <c r="F138" s="364"/>
      <c r="G138" s="364"/>
      <c r="H138" s="364"/>
      <c r="I138" s="364"/>
      <c r="J138" s="364"/>
      <c r="K138" s="364"/>
      <c r="L138" s="364"/>
      <c r="M138" s="364"/>
      <c r="N138" s="303"/>
      <c r="O138" s="364"/>
      <c r="P138" s="364"/>
      <c r="Q138" s="364"/>
      <c r="R138" s="303"/>
      <c r="S138" s="364"/>
      <c r="T138" s="364"/>
    </row>
    <row r="139" spans="2:20">
      <c r="B139" s="470"/>
      <c r="C139" s="363"/>
      <c r="D139" s="364"/>
      <c r="E139" s="364"/>
      <c r="F139" s="364"/>
      <c r="G139" s="364"/>
      <c r="H139" s="364"/>
      <c r="I139" s="364"/>
      <c r="J139" s="364"/>
      <c r="K139" s="364"/>
      <c r="L139" s="364"/>
      <c r="M139" s="364"/>
      <c r="N139" s="303"/>
      <c r="O139" s="364"/>
      <c r="P139" s="364"/>
      <c r="Q139" s="364"/>
      <c r="R139" s="303"/>
      <c r="S139" s="364"/>
      <c r="T139" s="364"/>
    </row>
    <row r="140" spans="2:20">
      <c r="B140" s="470"/>
      <c r="C140" s="363"/>
      <c r="D140" s="364"/>
      <c r="E140" s="364"/>
      <c r="F140" s="364"/>
      <c r="G140" s="364"/>
      <c r="H140" s="364"/>
      <c r="I140" s="364"/>
      <c r="J140" s="364"/>
      <c r="K140" s="364"/>
      <c r="L140" s="364"/>
      <c r="M140" s="364"/>
      <c r="N140" s="303"/>
      <c r="O140" s="364"/>
      <c r="P140" s="364"/>
      <c r="Q140" s="364"/>
      <c r="R140" s="303"/>
      <c r="S140" s="364"/>
      <c r="T140" s="364"/>
    </row>
    <row r="141" spans="2:20">
      <c r="B141" s="362" t="s">
        <v>309</v>
      </c>
      <c r="C141" s="363"/>
      <c r="D141" s="364"/>
      <c r="E141" s="364"/>
      <c r="F141" s="364"/>
      <c r="G141" s="364"/>
      <c r="H141" s="364"/>
      <c r="I141" s="364"/>
      <c r="J141" s="364"/>
      <c r="K141" s="364"/>
      <c r="L141" s="364"/>
      <c r="M141" s="364"/>
      <c r="N141" s="303"/>
      <c r="O141" s="364"/>
      <c r="P141" s="364"/>
      <c r="Q141" s="364"/>
      <c r="R141" s="303"/>
      <c r="S141" s="364"/>
      <c r="T141" s="364"/>
    </row>
    <row r="142" spans="2:20" ht="13.5" thickBot="1">
      <c r="B142" s="362"/>
      <c r="C142" s="363"/>
      <c r="D142" s="364"/>
      <c r="E142" s="364"/>
      <c r="F142" s="364"/>
      <c r="G142" s="364"/>
      <c r="H142" s="364"/>
      <c r="I142" s="364"/>
      <c r="J142" s="364"/>
      <c r="K142" s="364"/>
      <c r="L142" s="364"/>
      <c r="M142" s="364"/>
      <c r="N142" s="303"/>
      <c r="O142" s="364"/>
      <c r="P142" s="364"/>
      <c r="Q142" s="364"/>
      <c r="R142" s="303"/>
      <c r="S142" s="364"/>
      <c r="T142" s="364"/>
    </row>
    <row r="143" spans="2:20">
      <c r="B143" s="1471"/>
      <c r="C143" s="1469" t="s">
        <v>190</v>
      </c>
      <c r="D143" s="305" t="s">
        <v>191</v>
      </c>
      <c r="E143" s="306"/>
      <c r="F143" s="306"/>
      <c r="G143" s="306"/>
      <c r="H143" s="307"/>
      <c r="I143" s="306" t="s">
        <v>192</v>
      </c>
      <c r="J143" s="308"/>
      <c r="K143" s="308"/>
      <c r="L143" s="308"/>
      <c r="M143" s="307"/>
      <c r="N143" s="303"/>
      <c r="O143" s="309" t="s">
        <v>191</v>
      </c>
      <c r="P143" s="310"/>
      <c r="Q143" s="311"/>
      <c r="R143" s="303"/>
      <c r="S143" s="309" t="s">
        <v>192</v>
      </c>
      <c r="T143" s="311"/>
    </row>
    <row r="144" spans="2:20">
      <c r="B144" s="1472"/>
      <c r="C144" s="1470"/>
      <c r="D144" s="312" t="s">
        <v>79</v>
      </c>
      <c r="E144" s="313" t="s">
        <v>80</v>
      </c>
      <c r="F144" s="313" t="s">
        <v>81</v>
      </c>
      <c r="G144" s="313" t="s">
        <v>82</v>
      </c>
      <c r="H144" s="314" t="s">
        <v>44</v>
      </c>
      <c r="I144" s="315" t="s">
        <v>193</v>
      </c>
      <c r="J144" s="313" t="s">
        <v>194</v>
      </c>
      <c r="K144" s="313" t="s">
        <v>195</v>
      </c>
      <c r="L144" s="313" t="s">
        <v>196</v>
      </c>
      <c r="M144" s="314" t="s">
        <v>197</v>
      </c>
      <c r="N144" s="303"/>
      <c r="O144" s="316" t="s">
        <v>198</v>
      </c>
      <c r="P144" s="317" t="s">
        <v>199</v>
      </c>
      <c r="Q144" s="318" t="s">
        <v>200</v>
      </c>
      <c r="R144" s="303"/>
      <c r="S144" s="316" t="s">
        <v>199</v>
      </c>
      <c r="T144" s="318" t="s">
        <v>201</v>
      </c>
    </row>
    <row r="145" spans="2:20">
      <c r="B145" s="473" t="s">
        <v>242</v>
      </c>
      <c r="C145" s="474"/>
      <c r="D145" s="393"/>
      <c r="E145" s="394"/>
      <c r="F145" s="394"/>
      <c r="G145" s="394"/>
      <c r="H145" s="395"/>
      <c r="I145" s="397"/>
      <c r="J145" s="397"/>
      <c r="K145" s="397"/>
      <c r="L145" s="397"/>
      <c r="M145" s="398"/>
      <c r="N145" s="303"/>
      <c r="O145" s="396"/>
      <c r="P145" s="397"/>
      <c r="Q145" s="398"/>
      <c r="R145" s="303"/>
      <c r="S145" s="396"/>
      <c r="T145" s="398"/>
    </row>
    <row r="146" spans="2:20">
      <c r="B146" s="365" t="s">
        <v>243</v>
      </c>
      <c r="C146" s="366"/>
      <c r="D146" s="367"/>
      <c r="E146" s="368"/>
      <c r="F146" s="368"/>
      <c r="G146" s="368"/>
      <c r="H146" s="369"/>
      <c r="I146" s="368"/>
      <c r="J146" s="368"/>
      <c r="K146" s="368"/>
      <c r="L146" s="368"/>
      <c r="M146" s="369"/>
      <c r="N146" s="303"/>
      <c r="O146" s="370"/>
      <c r="P146" s="371"/>
      <c r="Q146" s="372"/>
      <c r="R146" s="303"/>
      <c r="S146" s="367"/>
      <c r="T146" s="369"/>
    </row>
    <row r="147" spans="2:20">
      <c r="B147" s="373" t="s">
        <v>283</v>
      </c>
      <c r="C147" s="374" t="s">
        <v>203</v>
      </c>
      <c r="D147" s="475"/>
      <c r="E147" s="476"/>
      <c r="F147" s="476"/>
      <c r="G147" s="476"/>
      <c r="H147" s="477"/>
      <c r="I147" s="352"/>
      <c r="J147" s="354"/>
      <c r="K147" s="354"/>
      <c r="L147" s="354"/>
      <c r="M147" s="353"/>
      <c r="N147" s="303"/>
      <c r="O147" s="344"/>
      <c r="P147" s="345"/>
      <c r="Q147" s="346"/>
      <c r="R147" s="303"/>
      <c r="S147" s="344"/>
      <c r="T147" s="347"/>
    </row>
    <row r="148" spans="2:20">
      <c r="B148" s="373" t="s">
        <v>310</v>
      </c>
      <c r="C148" s="374" t="s">
        <v>311</v>
      </c>
      <c r="D148" s="478"/>
      <c r="E148" s="479"/>
      <c r="F148" s="479"/>
      <c r="G148" s="479"/>
      <c r="H148" s="480"/>
      <c r="I148" s="481"/>
      <c r="J148" s="482"/>
      <c r="K148" s="482"/>
      <c r="L148" s="482"/>
      <c r="M148" s="483"/>
      <c r="N148" s="303"/>
      <c r="O148" s="344"/>
      <c r="P148" s="345"/>
      <c r="Q148" s="346"/>
      <c r="R148" s="303"/>
      <c r="S148" s="344"/>
      <c r="T148" s="347"/>
    </row>
    <row r="149" spans="2:20">
      <c r="B149" s="373" t="s">
        <v>312</v>
      </c>
      <c r="C149" s="374" t="s">
        <v>311</v>
      </c>
      <c r="D149" s="478"/>
      <c r="E149" s="479"/>
      <c r="F149" s="479"/>
      <c r="G149" s="479"/>
      <c r="H149" s="480"/>
      <c r="I149" s="484">
        <f>1-I148</f>
        <v>1</v>
      </c>
      <c r="J149" s="485">
        <f>1-J148</f>
        <v>1</v>
      </c>
      <c r="K149" s="485">
        <f>1-K148</f>
        <v>1</v>
      </c>
      <c r="L149" s="485">
        <f>1-L148</f>
        <v>1</v>
      </c>
      <c r="M149" s="486">
        <f>1-M148</f>
        <v>1</v>
      </c>
      <c r="N149" s="303"/>
      <c r="O149" s="344"/>
      <c r="P149" s="345"/>
      <c r="Q149" s="346"/>
      <c r="R149" s="303"/>
      <c r="S149" s="344"/>
      <c r="T149" s="347"/>
    </row>
    <row r="150" spans="2:20">
      <c r="B150" s="373" t="s">
        <v>284</v>
      </c>
      <c r="C150" s="374" t="s">
        <v>203</v>
      </c>
      <c r="D150" s="475"/>
      <c r="E150" s="476"/>
      <c r="F150" s="476"/>
      <c r="G150" s="476"/>
      <c r="H150" s="477"/>
      <c r="I150" s="352"/>
      <c r="J150" s="354"/>
      <c r="K150" s="354"/>
      <c r="L150" s="354"/>
      <c r="M150" s="353"/>
      <c r="N150" s="303"/>
      <c r="O150" s="344"/>
      <c r="P150" s="345"/>
      <c r="Q150" s="346"/>
      <c r="R150" s="303"/>
      <c r="S150" s="344"/>
      <c r="T150" s="347"/>
    </row>
    <row r="151" spans="2:20">
      <c r="B151" s="373" t="s">
        <v>313</v>
      </c>
      <c r="C151" s="374" t="s">
        <v>311</v>
      </c>
      <c r="D151" s="475"/>
      <c r="E151" s="476"/>
      <c r="F151" s="476"/>
      <c r="G151" s="476"/>
      <c r="H151" s="477"/>
      <c r="I151" s="352"/>
      <c r="J151" s="354"/>
      <c r="K151" s="354"/>
      <c r="L151" s="354"/>
      <c r="M151" s="353"/>
      <c r="N151" s="303"/>
      <c r="O151" s="344"/>
      <c r="P151" s="345"/>
      <c r="Q151" s="346"/>
      <c r="R151" s="303"/>
      <c r="S151" s="344"/>
      <c r="T151" s="347"/>
    </row>
    <row r="152" spans="2:20">
      <c r="B152" s="373" t="s">
        <v>314</v>
      </c>
      <c r="C152" s="374" t="s">
        <v>311</v>
      </c>
      <c r="D152" s="478"/>
      <c r="E152" s="479"/>
      <c r="F152" s="479"/>
      <c r="G152" s="479"/>
      <c r="H152" s="480"/>
      <c r="I152" s="484">
        <f>1-I151</f>
        <v>1</v>
      </c>
      <c r="J152" s="485">
        <f>1-J151</f>
        <v>1</v>
      </c>
      <c r="K152" s="485">
        <f>1-K151</f>
        <v>1</v>
      </c>
      <c r="L152" s="485">
        <f>1-L151</f>
        <v>1</v>
      </c>
      <c r="M152" s="486">
        <f>1-M151</f>
        <v>1</v>
      </c>
      <c r="N152" s="303"/>
      <c r="O152" s="344"/>
      <c r="P152" s="345"/>
      <c r="Q152" s="346"/>
      <c r="R152" s="303"/>
      <c r="S152" s="344"/>
      <c r="T152" s="347"/>
    </row>
    <row r="153" spans="2:20">
      <c r="B153" s="381" t="s">
        <v>246</v>
      </c>
      <c r="C153" s="374" t="s">
        <v>203</v>
      </c>
      <c r="D153" s="333"/>
      <c r="E153" s="352"/>
      <c r="F153" s="352"/>
      <c r="G153" s="352"/>
      <c r="H153" s="353"/>
      <c r="I153" s="382">
        <f>SUM(I147,I150)</f>
        <v>0</v>
      </c>
      <c r="J153" s="325">
        <f>SUM(J147,J150)</f>
        <v>0</v>
      </c>
      <c r="K153" s="325">
        <f>SUM(K147,K150)</f>
        <v>0</v>
      </c>
      <c r="L153" s="325">
        <f>SUM(L147,L150)</f>
        <v>0</v>
      </c>
      <c r="M153" s="326">
        <f>SUM(M147,M150)</f>
        <v>0</v>
      </c>
      <c r="N153" s="303"/>
      <c r="O153" s="324">
        <f>SUM(D153:G153)</f>
        <v>0</v>
      </c>
      <c r="P153" s="325">
        <f>SUM(H153)</f>
        <v>0</v>
      </c>
      <c r="Q153" s="326">
        <f>SUM(D153:H153)</f>
        <v>0</v>
      </c>
      <c r="R153" s="303"/>
      <c r="S153" s="324">
        <f>SUM(I153:M153)</f>
        <v>0</v>
      </c>
      <c r="T153" s="149" t="str">
        <f>IF(Q153&lt;&gt;0,(S153-Q153)/Q153,"0")</f>
        <v>0</v>
      </c>
    </row>
    <row r="154" spans="2:20">
      <c r="B154" s="365" t="s">
        <v>315</v>
      </c>
      <c r="C154" s="383"/>
      <c r="D154" s="384"/>
      <c r="E154" s="385"/>
      <c r="F154" s="385"/>
      <c r="G154" s="385"/>
      <c r="H154" s="386"/>
      <c r="I154" s="385"/>
      <c r="J154" s="385"/>
      <c r="K154" s="385"/>
      <c r="L154" s="385"/>
      <c r="M154" s="386"/>
      <c r="N154" s="303"/>
      <c r="O154" s="387"/>
      <c r="P154" s="385"/>
      <c r="Q154" s="386"/>
      <c r="R154" s="303"/>
      <c r="S154" s="384"/>
      <c r="T154" s="386"/>
    </row>
    <row r="155" spans="2:20">
      <c r="B155" s="373" t="s">
        <v>285</v>
      </c>
      <c r="C155" s="374" t="s">
        <v>203</v>
      </c>
      <c r="D155" s="475"/>
      <c r="E155" s="476"/>
      <c r="F155" s="476"/>
      <c r="G155" s="476"/>
      <c r="H155" s="477"/>
      <c r="I155" s="352"/>
      <c r="J155" s="354"/>
      <c r="K155" s="354"/>
      <c r="L155" s="354"/>
      <c r="M155" s="353"/>
      <c r="N155" s="303"/>
      <c r="O155" s="344"/>
      <c r="P155" s="345"/>
      <c r="Q155" s="346"/>
      <c r="R155" s="303"/>
      <c r="S155" s="344"/>
      <c r="T155" s="347"/>
    </row>
    <row r="156" spans="2:20">
      <c r="B156" s="373" t="s">
        <v>316</v>
      </c>
      <c r="C156" s="374" t="s">
        <v>311</v>
      </c>
      <c r="D156" s="478"/>
      <c r="E156" s="479"/>
      <c r="F156" s="479"/>
      <c r="G156" s="479"/>
      <c r="H156" s="480"/>
      <c r="I156" s="481"/>
      <c r="J156" s="482"/>
      <c r="K156" s="482"/>
      <c r="L156" s="482"/>
      <c r="M156" s="483"/>
      <c r="N156" s="303"/>
      <c r="O156" s="344"/>
      <c r="P156" s="345"/>
      <c r="Q156" s="346"/>
      <c r="R156" s="303"/>
      <c r="S156" s="344"/>
      <c r="T156" s="347"/>
    </row>
    <row r="157" spans="2:20">
      <c r="B157" s="373" t="s">
        <v>317</v>
      </c>
      <c r="C157" s="374" t="s">
        <v>311</v>
      </c>
      <c r="D157" s="478"/>
      <c r="E157" s="479"/>
      <c r="F157" s="479"/>
      <c r="G157" s="479"/>
      <c r="H157" s="480"/>
      <c r="I157" s="484">
        <f>1-I156</f>
        <v>1</v>
      </c>
      <c r="J157" s="485">
        <f>1-J156</f>
        <v>1</v>
      </c>
      <c r="K157" s="485">
        <f>1-K156</f>
        <v>1</v>
      </c>
      <c r="L157" s="485">
        <f>1-L156</f>
        <v>1</v>
      </c>
      <c r="M157" s="486">
        <f>1-M156</f>
        <v>1</v>
      </c>
      <c r="N157" s="303"/>
      <c r="O157" s="344"/>
      <c r="P157" s="345"/>
      <c r="Q157" s="346"/>
      <c r="R157" s="303"/>
      <c r="S157" s="344"/>
      <c r="T157" s="347"/>
    </row>
    <row r="158" spans="2:20">
      <c r="B158" s="373" t="s">
        <v>286</v>
      </c>
      <c r="C158" s="374" t="s">
        <v>203</v>
      </c>
      <c r="D158" s="475"/>
      <c r="E158" s="476"/>
      <c r="F158" s="476"/>
      <c r="G158" s="476"/>
      <c r="H158" s="477"/>
      <c r="I158" s="352"/>
      <c r="J158" s="354"/>
      <c r="K158" s="354"/>
      <c r="L158" s="354"/>
      <c r="M158" s="353"/>
      <c r="N158" s="303"/>
      <c r="O158" s="344"/>
      <c r="P158" s="345"/>
      <c r="Q158" s="346"/>
      <c r="R158" s="303"/>
      <c r="S158" s="344"/>
      <c r="T158" s="347"/>
    </row>
    <row r="159" spans="2:20">
      <c r="B159" s="373" t="s">
        <v>318</v>
      </c>
      <c r="C159" s="374" t="s">
        <v>311</v>
      </c>
      <c r="D159" s="475"/>
      <c r="E159" s="476"/>
      <c r="F159" s="476"/>
      <c r="G159" s="476"/>
      <c r="H159" s="477"/>
      <c r="I159" s="352"/>
      <c r="J159" s="354"/>
      <c r="K159" s="354"/>
      <c r="L159" s="354"/>
      <c r="M159" s="353"/>
      <c r="N159" s="303"/>
      <c r="O159" s="344"/>
      <c r="P159" s="345"/>
      <c r="Q159" s="346"/>
      <c r="R159" s="303"/>
      <c r="S159" s="344"/>
      <c r="T159" s="347"/>
    </row>
    <row r="160" spans="2:20">
      <c r="B160" s="373" t="s">
        <v>319</v>
      </c>
      <c r="C160" s="374" t="s">
        <v>311</v>
      </c>
      <c r="D160" s="478"/>
      <c r="E160" s="479"/>
      <c r="F160" s="479"/>
      <c r="G160" s="479"/>
      <c r="H160" s="480"/>
      <c r="I160" s="484">
        <f>1-I159</f>
        <v>1</v>
      </c>
      <c r="J160" s="485">
        <f>1-J159</f>
        <v>1</v>
      </c>
      <c r="K160" s="485">
        <f>1-K159</f>
        <v>1</v>
      </c>
      <c r="L160" s="485">
        <f>1-L159</f>
        <v>1</v>
      </c>
      <c r="M160" s="486">
        <f>1-M159</f>
        <v>1</v>
      </c>
      <c r="N160" s="303"/>
      <c r="O160" s="344"/>
      <c r="P160" s="345"/>
      <c r="Q160" s="346"/>
      <c r="R160" s="303"/>
      <c r="S160" s="344"/>
      <c r="T160" s="347"/>
    </row>
    <row r="161" spans="2:20">
      <c r="B161" s="381" t="s">
        <v>248</v>
      </c>
      <c r="C161" s="374" t="s">
        <v>203</v>
      </c>
      <c r="D161" s="333"/>
      <c r="E161" s="352"/>
      <c r="F161" s="352"/>
      <c r="G161" s="352"/>
      <c r="H161" s="353"/>
      <c r="I161" s="382">
        <f>SUM(I155,I158)</f>
        <v>0</v>
      </c>
      <c r="J161" s="325">
        <f>SUM(J155,J158)</f>
        <v>0</v>
      </c>
      <c r="K161" s="325">
        <f>SUM(K155,K158)</f>
        <v>0</v>
      </c>
      <c r="L161" s="325">
        <f>SUM(L155,L158)</f>
        <v>0</v>
      </c>
      <c r="M161" s="326">
        <f>SUM(M155,M158)</f>
        <v>0</v>
      </c>
      <c r="N161" s="303"/>
      <c r="O161" s="324">
        <f>SUM(D161:G161)</f>
        <v>0</v>
      </c>
      <c r="P161" s="325">
        <f>SUM(H161)</f>
        <v>0</v>
      </c>
      <c r="Q161" s="326">
        <f>SUM(D161:H161)</f>
        <v>0</v>
      </c>
      <c r="R161" s="303"/>
      <c r="S161" s="324">
        <f>SUM(I161:M161)</f>
        <v>0</v>
      </c>
      <c r="T161" s="149" t="str">
        <f>IF(Q161&lt;&gt;0,(S161-Q161)/Q161,"0")</f>
        <v>0</v>
      </c>
    </row>
    <row r="162" spans="2:20">
      <c r="B162" s="365" t="s">
        <v>320</v>
      </c>
      <c r="C162" s="383"/>
      <c r="D162" s="384"/>
      <c r="E162" s="385"/>
      <c r="F162" s="385"/>
      <c r="G162" s="385"/>
      <c r="H162" s="386"/>
      <c r="I162" s="385"/>
      <c r="J162" s="385"/>
      <c r="K162" s="385"/>
      <c r="L162" s="385"/>
      <c r="M162" s="386"/>
      <c r="N162" s="303"/>
      <c r="O162" s="384"/>
      <c r="P162" s="385"/>
      <c r="Q162" s="386"/>
      <c r="R162" s="303"/>
      <c r="S162" s="384"/>
      <c r="T162" s="386"/>
    </row>
    <row r="163" spans="2:20">
      <c r="B163" s="373" t="s">
        <v>287</v>
      </c>
      <c r="C163" s="374" t="s">
        <v>203</v>
      </c>
      <c r="D163" s="475"/>
      <c r="E163" s="476"/>
      <c r="F163" s="476"/>
      <c r="G163" s="476"/>
      <c r="H163" s="477"/>
      <c r="I163" s="352"/>
      <c r="J163" s="354"/>
      <c r="K163" s="354"/>
      <c r="L163" s="354"/>
      <c r="M163" s="353"/>
      <c r="N163" s="303"/>
      <c r="O163" s="344"/>
      <c r="P163" s="345"/>
      <c r="Q163" s="346"/>
      <c r="R163" s="303"/>
      <c r="S163" s="344"/>
      <c r="T163" s="347"/>
    </row>
    <row r="164" spans="2:20">
      <c r="B164" s="373" t="s">
        <v>321</v>
      </c>
      <c r="C164" s="374" t="s">
        <v>311</v>
      </c>
      <c r="D164" s="478"/>
      <c r="E164" s="479"/>
      <c r="F164" s="479"/>
      <c r="G164" s="479"/>
      <c r="H164" s="480"/>
      <c r="I164" s="481"/>
      <c r="J164" s="482"/>
      <c r="K164" s="482"/>
      <c r="L164" s="482"/>
      <c r="M164" s="483"/>
      <c r="N164" s="303"/>
      <c r="O164" s="344"/>
      <c r="P164" s="345"/>
      <c r="Q164" s="346"/>
      <c r="R164" s="303"/>
      <c r="S164" s="344"/>
      <c r="T164" s="347"/>
    </row>
    <row r="165" spans="2:20">
      <c r="B165" s="373" t="s">
        <v>322</v>
      </c>
      <c r="C165" s="374" t="s">
        <v>311</v>
      </c>
      <c r="D165" s="478"/>
      <c r="E165" s="479"/>
      <c r="F165" s="479"/>
      <c r="G165" s="479"/>
      <c r="H165" s="480"/>
      <c r="I165" s="484">
        <f>1-I164</f>
        <v>1</v>
      </c>
      <c r="J165" s="485">
        <f>1-J164</f>
        <v>1</v>
      </c>
      <c r="K165" s="485">
        <f>1-K164</f>
        <v>1</v>
      </c>
      <c r="L165" s="485">
        <f>1-L164</f>
        <v>1</v>
      </c>
      <c r="M165" s="486">
        <f>1-M164</f>
        <v>1</v>
      </c>
      <c r="N165" s="303"/>
      <c r="O165" s="344"/>
      <c r="P165" s="345"/>
      <c r="Q165" s="346"/>
      <c r="R165" s="303"/>
      <c r="S165" s="344"/>
      <c r="T165" s="347"/>
    </row>
    <row r="166" spans="2:20">
      <c r="B166" s="373" t="s">
        <v>288</v>
      </c>
      <c r="C166" s="374" t="s">
        <v>203</v>
      </c>
      <c r="D166" s="475"/>
      <c r="E166" s="476"/>
      <c r="F166" s="476"/>
      <c r="G166" s="476"/>
      <c r="H166" s="477"/>
      <c r="I166" s="352"/>
      <c r="J166" s="354"/>
      <c r="K166" s="354"/>
      <c r="L166" s="354"/>
      <c r="M166" s="353"/>
      <c r="N166" s="303"/>
      <c r="O166" s="344"/>
      <c r="P166" s="345"/>
      <c r="Q166" s="346"/>
      <c r="R166" s="303"/>
      <c r="S166" s="344"/>
      <c r="T166" s="347"/>
    </row>
    <row r="167" spans="2:20">
      <c r="B167" s="373" t="s">
        <v>323</v>
      </c>
      <c r="C167" s="374" t="s">
        <v>311</v>
      </c>
      <c r="D167" s="487"/>
      <c r="E167" s="488"/>
      <c r="F167" s="488"/>
      <c r="G167" s="488"/>
      <c r="H167" s="489"/>
      <c r="I167" s="490"/>
      <c r="J167" s="491"/>
      <c r="K167" s="491"/>
      <c r="L167" s="491"/>
      <c r="M167" s="492"/>
      <c r="N167" s="303"/>
      <c r="O167" s="344"/>
      <c r="P167" s="345"/>
      <c r="Q167" s="346"/>
      <c r="R167" s="303"/>
      <c r="S167" s="344"/>
      <c r="T167" s="347"/>
    </row>
    <row r="168" spans="2:20">
      <c r="B168" s="373" t="s">
        <v>324</v>
      </c>
      <c r="C168" s="374" t="s">
        <v>311</v>
      </c>
      <c r="D168" s="478"/>
      <c r="E168" s="479"/>
      <c r="F168" s="479"/>
      <c r="G168" s="479"/>
      <c r="H168" s="480"/>
      <c r="I168" s="484">
        <f>1-I167</f>
        <v>1</v>
      </c>
      <c r="J168" s="485">
        <f>1-J167</f>
        <v>1</v>
      </c>
      <c r="K168" s="485">
        <f>1-K167</f>
        <v>1</v>
      </c>
      <c r="L168" s="485">
        <f>1-L167</f>
        <v>1</v>
      </c>
      <c r="M168" s="486">
        <f>1-M167</f>
        <v>1</v>
      </c>
      <c r="N168" s="303"/>
      <c r="O168" s="344"/>
      <c r="P168" s="345"/>
      <c r="Q168" s="346"/>
      <c r="R168" s="303"/>
      <c r="S168" s="344"/>
      <c r="T168" s="347"/>
    </row>
    <row r="169" spans="2:20">
      <c r="B169" s="381" t="s">
        <v>250</v>
      </c>
      <c r="C169" s="374" t="s">
        <v>203</v>
      </c>
      <c r="D169" s="333"/>
      <c r="E169" s="352"/>
      <c r="F169" s="352"/>
      <c r="G169" s="352"/>
      <c r="H169" s="353"/>
      <c r="I169" s="382">
        <f>SUM(I163,I166)</f>
        <v>0</v>
      </c>
      <c r="J169" s="325">
        <f>SUM(J163,J166)</f>
        <v>0</v>
      </c>
      <c r="K169" s="325">
        <f>SUM(K163,K166)</f>
        <v>0</v>
      </c>
      <c r="L169" s="325">
        <f>SUM(L163,L166)</f>
        <v>0</v>
      </c>
      <c r="M169" s="326">
        <f>SUM(M163,M166)</f>
        <v>0</v>
      </c>
      <c r="N169" s="303"/>
      <c r="O169" s="324">
        <f>SUM(D169:G169)</f>
        <v>0</v>
      </c>
      <c r="P169" s="325">
        <f>SUM(H169)</f>
        <v>0</v>
      </c>
      <c r="Q169" s="326">
        <f>SUM(D169:H169)</f>
        <v>0</v>
      </c>
      <c r="R169" s="303"/>
      <c r="S169" s="324">
        <f>SUM(I169:M169)</f>
        <v>0</v>
      </c>
      <c r="T169" s="149" t="str">
        <f>IF(Q169&lt;&gt;0,(S169-Q169)/Q169,"0")</f>
        <v>0</v>
      </c>
    </row>
    <row r="170" spans="2:20">
      <c r="B170" s="365" t="s">
        <v>325</v>
      </c>
      <c r="C170" s="383"/>
      <c r="D170" s="384"/>
      <c r="E170" s="385"/>
      <c r="F170" s="385"/>
      <c r="G170" s="385"/>
      <c r="H170" s="386"/>
      <c r="I170" s="385"/>
      <c r="J170" s="385"/>
      <c r="K170" s="385"/>
      <c r="L170" s="385"/>
      <c r="M170" s="386"/>
      <c r="N170" s="303"/>
      <c r="O170" s="384"/>
      <c r="P170" s="385"/>
      <c r="Q170" s="386"/>
      <c r="R170" s="303"/>
      <c r="S170" s="384"/>
      <c r="T170" s="386"/>
    </row>
    <row r="171" spans="2:20">
      <c r="B171" s="373" t="s">
        <v>289</v>
      </c>
      <c r="C171" s="374" t="s">
        <v>203</v>
      </c>
      <c r="D171" s="475"/>
      <c r="E171" s="476"/>
      <c r="F171" s="476"/>
      <c r="G171" s="476"/>
      <c r="H171" s="477"/>
      <c r="I171" s="352"/>
      <c r="J171" s="354"/>
      <c r="K171" s="354"/>
      <c r="L171" s="354"/>
      <c r="M171" s="353"/>
      <c r="N171" s="303"/>
      <c r="O171" s="344"/>
      <c r="P171" s="345"/>
      <c r="Q171" s="346"/>
      <c r="R171" s="303"/>
      <c r="S171" s="344"/>
      <c r="T171" s="347"/>
    </row>
    <row r="172" spans="2:20">
      <c r="B172" s="373" t="s">
        <v>326</v>
      </c>
      <c r="C172" s="374" t="s">
        <v>311</v>
      </c>
      <c r="D172" s="478"/>
      <c r="E172" s="479"/>
      <c r="F172" s="479"/>
      <c r="G172" s="479"/>
      <c r="H172" s="480"/>
      <c r="I172" s="481"/>
      <c r="J172" s="482"/>
      <c r="K172" s="482"/>
      <c r="L172" s="482"/>
      <c r="M172" s="483"/>
      <c r="N172" s="303"/>
      <c r="O172" s="344"/>
      <c r="P172" s="345"/>
      <c r="Q172" s="346"/>
      <c r="R172" s="303"/>
      <c r="S172" s="344"/>
      <c r="T172" s="347"/>
    </row>
    <row r="173" spans="2:20">
      <c r="B173" s="373" t="s">
        <v>327</v>
      </c>
      <c r="C173" s="374" t="s">
        <v>311</v>
      </c>
      <c r="D173" s="478"/>
      <c r="E173" s="479"/>
      <c r="F173" s="479"/>
      <c r="G173" s="479"/>
      <c r="H173" s="480"/>
      <c r="I173" s="484">
        <f>1-I172</f>
        <v>1</v>
      </c>
      <c r="J173" s="485">
        <f>1-J172</f>
        <v>1</v>
      </c>
      <c r="K173" s="485">
        <f>1-K172</f>
        <v>1</v>
      </c>
      <c r="L173" s="485">
        <f>1-L172</f>
        <v>1</v>
      </c>
      <c r="M173" s="486">
        <f>1-M172</f>
        <v>1</v>
      </c>
      <c r="N173" s="303"/>
      <c r="O173" s="344"/>
      <c r="P173" s="345"/>
      <c r="Q173" s="346"/>
      <c r="R173" s="303"/>
      <c r="S173" s="344"/>
      <c r="T173" s="347"/>
    </row>
    <row r="174" spans="2:20">
      <c r="B174" s="373" t="s">
        <v>290</v>
      </c>
      <c r="C174" s="374" t="s">
        <v>203</v>
      </c>
      <c r="D174" s="475"/>
      <c r="E174" s="476"/>
      <c r="F174" s="476"/>
      <c r="G174" s="476"/>
      <c r="H174" s="477"/>
      <c r="I174" s="352"/>
      <c r="J174" s="354"/>
      <c r="K174" s="354"/>
      <c r="L174" s="354"/>
      <c r="M174" s="353"/>
      <c r="N174" s="303"/>
      <c r="O174" s="344"/>
      <c r="P174" s="345"/>
      <c r="Q174" s="346"/>
      <c r="R174" s="303"/>
      <c r="S174" s="344"/>
      <c r="T174" s="347"/>
    </row>
    <row r="175" spans="2:20">
      <c r="B175" s="373" t="s">
        <v>328</v>
      </c>
      <c r="C175" s="374" t="s">
        <v>311</v>
      </c>
      <c r="D175" s="487"/>
      <c r="E175" s="488"/>
      <c r="F175" s="488"/>
      <c r="G175" s="488"/>
      <c r="H175" s="489"/>
      <c r="I175" s="490"/>
      <c r="J175" s="491"/>
      <c r="K175" s="491"/>
      <c r="L175" s="491"/>
      <c r="M175" s="492"/>
      <c r="N175" s="303"/>
      <c r="O175" s="344"/>
      <c r="P175" s="345"/>
      <c r="Q175" s="346"/>
      <c r="R175" s="303"/>
      <c r="S175" s="344"/>
      <c r="T175" s="347"/>
    </row>
    <row r="176" spans="2:20">
      <c r="B176" s="373" t="s">
        <v>329</v>
      </c>
      <c r="C176" s="374" t="s">
        <v>311</v>
      </c>
      <c r="D176" s="478"/>
      <c r="E176" s="479"/>
      <c r="F176" s="479"/>
      <c r="G176" s="479"/>
      <c r="H176" s="480"/>
      <c r="I176" s="484">
        <f>1-I175</f>
        <v>1</v>
      </c>
      <c r="J176" s="485">
        <f>1-J175</f>
        <v>1</v>
      </c>
      <c r="K176" s="485">
        <f>1-K175</f>
        <v>1</v>
      </c>
      <c r="L176" s="485">
        <f>1-L175</f>
        <v>1</v>
      </c>
      <c r="M176" s="486">
        <f>1-M175</f>
        <v>1</v>
      </c>
      <c r="N176" s="303"/>
      <c r="O176" s="344"/>
      <c r="P176" s="345"/>
      <c r="Q176" s="346"/>
      <c r="R176" s="303"/>
      <c r="S176" s="344"/>
      <c r="T176" s="347"/>
    </row>
    <row r="177" spans="2:20">
      <c r="B177" s="493" t="s">
        <v>252</v>
      </c>
      <c r="C177" s="374" t="s">
        <v>203</v>
      </c>
      <c r="D177" s="494"/>
      <c r="E177" s="495"/>
      <c r="F177" s="495"/>
      <c r="G177" s="495"/>
      <c r="H177" s="496"/>
      <c r="I177" s="497">
        <f>SUM(I171,I174)</f>
        <v>0</v>
      </c>
      <c r="J177" s="498">
        <f>SUM(J171,J174)</f>
        <v>0</v>
      </c>
      <c r="K177" s="498">
        <f>SUM(K171,K174)</f>
        <v>0</v>
      </c>
      <c r="L177" s="498">
        <f>SUM(L171,L174)</f>
        <v>0</v>
      </c>
      <c r="M177" s="499">
        <f>SUM(M171,M174)</f>
        <v>0</v>
      </c>
      <c r="N177" s="303"/>
      <c r="O177" s="324">
        <f>SUM(D177:G177)</f>
        <v>0</v>
      </c>
      <c r="P177" s="325">
        <f>SUM(H177)</f>
        <v>0</v>
      </c>
      <c r="Q177" s="326">
        <f>SUM(D177:H177)</f>
        <v>0</v>
      </c>
      <c r="R177" s="303"/>
      <c r="S177" s="324">
        <f>SUM(I177:M177)</f>
        <v>0</v>
      </c>
      <c r="T177" s="149" t="str">
        <f>IF(Q177&lt;&gt;0,(S177-Q177)/Q177,"0")</f>
        <v>0</v>
      </c>
    </row>
    <row r="178" spans="2:20" ht="13.5" thickBot="1">
      <c r="B178" s="500" t="s">
        <v>330</v>
      </c>
      <c r="C178" s="501"/>
      <c r="D178" s="502">
        <f t="shared" ref="D178:M178" si="23">SUM(D153,D161,D169,D177)</f>
        <v>0</v>
      </c>
      <c r="E178" s="502">
        <f t="shared" si="23"/>
        <v>0</v>
      </c>
      <c r="F178" s="502">
        <f t="shared" si="23"/>
        <v>0</v>
      </c>
      <c r="G178" s="502">
        <f t="shared" si="23"/>
        <v>0</v>
      </c>
      <c r="H178" s="502">
        <f t="shared" si="23"/>
        <v>0</v>
      </c>
      <c r="I178" s="503">
        <f t="shared" si="23"/>
        <v>0</v>
      </c>
      <c r="J178" s="503">
        <f t="shared" si="23"/>
        <v>0</v>
      </c>
      <c r="K178" s="503">
        <f t="shared" si="23"/>
        <v>0</v>
      </c>
      <c r="L178" s="503">
        <f t="shared" si="23"/>
        <v>0</v>
      </c>
      <c r="M178" s="504">
        <f t="shared" si="23"/>
        <v>0</v>
      </c>
      <c r="N178" s="303"/>
      <c r="O178" s="359">
        <f>SUM(O153,O161,O169,O177)</f>
        <v>0</v>
      </c>
      <c r="P178" s="360">
        <f>SUM(P153,P161,P169,P177)</f>
        <v>0</v>
      </c>
      <c r="Q178" s="361">
        <f>SUM(Q153,Q161,Q169,Q177)</f>
        <v>0</v>
      </c>
      <c r="R178" s="303"/>
      <c r="S178" s="359">
        <f>SUM(S153,S161,S169,S177)</f>
        <v>0</v>
      </c>
      <c r="T178" s="168" t="str">
        <f>IF(Q178&lt;&gt;0,(S178-Q178)/Q178,"0")</f>
        <v>0</v>
      </c>
    </row>
    <row r="179" spans="2:20">
      <c r="C179" s="300"/>
      <c r="D179" s="300"/>
      <c r="E179" s="300"/>
      <c r="F179" s="300"/>
      <c r="G179" s="300"/>
      <c r="H179" s="300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</row>
    <row r="180" spans="2:20">
      <c r="B180" s="362" t="s">
        <v>331</v>
      </c>
      <c r="C180" s="363"/>
      <c r="D180" s="364"/>
      <c r="E180" s="364"/>
      <c r="F180" s="364"/>
      <c r="G180" s="364"/>
      <c r="H180" s="364"/>
      <c r="I180" s="364"/>
      <c r="J180" s="364"/>
      <c r="K180" s="364"/>
      <c r="L180" s="364"/>
      <c r="M180" s="364"/>
      <c r="N180" s="303"/>
      <c r="O180" s="364"/>
      <c r="P180" s="364"/>
      <c r="Q180" s="364"/>
      <c r="R180" s="303"/>
      <c r="S180" s="364"/>
      <c r="T180" s="364"/>
    </row>
    <row r="181" spans="2:20" ht="13.5" thickBot="1">
      <c r="B181" s="362"/>
      <c r="C181" s="363"/>
      <c r="D181" s="364"/>
      <c r="E181" s="364"/>
      <c r="F181" s="364"/>
      <c r="G181" s="364"/>
      <c r="H181" s="364"/>
      <c r="I181" s="364"/>
      <c r="J181" s="364"/>
      <c r="K181" s="364"/>
      <c r="L181" s="364"/>
      <c r="M181" s="364"/>
      <c r="N181" s="303"/>
      <c r="O181" s="364"/>
      <c r="P181" s="364"/>
      <c r="Q181" s="364"/>
      <c r="R181" s="303"/>
      <c r="S181" s="364"/>
      <c r="T181" s="364"/>
    </row>
    <row r="182" spans="2:20">
      <c r="B182" s="505"/>
      <c r="C182" s="506"/>
      <c r="D182" s="305" t="s">
        <v>191</v>
      </c>
      <c r="E182" s="306"/>
      <c r="F182" s="306"/>
      <c r="G182" s="306"/>
      <c r="H182" s="307"/>
      <c r="I182" s="306" t="s">
        <v>192</v>
      </c>
      <c r="J182" s="308"/>
      <c r="K182" s="308"/>
      <c r="L182" s="308"/>
      <c r="M182" s="307"/>
      <c r="N182" s="303"/>
      <c r="O182" s="309" t="s">
        <v>191</v>
      </c>
      <c r="P182" s="310"/>
      <c r="Q182" s="311"/>
      <c r="R182" s="303"/>
      <c r="S182" s="309" t="s">
        <v>192</v>
      </c>
      <c r="T182" s="311"/>
    </row>
    <row r="183" spans="2:20" ht="13.5" thickBot="1">
      <c r="B183" s="507" t="s">
        <v>241</v>
      </c>
      <c r="C183" s="508" t="s">
        <v>190</v>
      </c>
      <c r="D183" s="312" t="s">
        <v>79</v>
      </c>
      <c r="E183" s="313" t="s">
        <v>80</v>
      </c>
      <c r="F183" s="313" t="s">
        <v>81</v>
      </c>
      <c r="G183" s="313" t="s">
        <v>82</v>
      </c>
      <c r="H183" s="314" t="s">
        <v>44</v>
      </c>
      <c r="I183" s="315" t="s">
        <v>193</v>
      </c>
      <c r="J183" s="313" t="s">
        <v>194</v>
      </c>
      <c r="K183" s="313" t="s">
        <v>195</v>
      </c>
      <c r="L183" s="313" t="s">
        <v>196</v>
      </c>
      <c r="M183" s="314" t="s">
        <v>197</v>
      </c>
      <c r="N183" s="303"/>
      <c r="O183" s="316" t="s">
        <v>198</v>
      </c>
      <c r="P183" s="317" t="s">
        <v>199</v>
      </c>
      <c r="Q183" s="318" t="s">
        <v>200</v>
      </c>
      <c r="R183" s="303"/>
      <c r="S183" s="316" t="s">
        <v>199</v>
      </c>
      <c r="T183" s="318" t="s">
        <v>201</v>
      </c>
    </row>
    <row r="184" spans="2:20">
      <c r="B184" s="509" t="s">
        <v>242</v>
      </c>
      <c r="C184" s="510"/>
      <c r="D184" s="393"/>
      <c r="E184" s="394"/>
      <c r="F184" s="394"/>
      <c r="G184" s="394"/>
      <c r="H184" s="395"/>
      <c r="I184" s="397"/>
      <c r="J184" s="397"/>
      <c r="K184" s="397"/>
      <c r="L184" s="397"/>
      <c r="M184" s="398"/>
      <c r="N184" s="303"/>
      <c r="O184" s="396"/>
      <c r="P184" s="397"/>
      <c r="Q184" s="398"/>
      <c r="R184" s="303"/>
      <c r="S184" s="396"/>
      <c r="T184" s="398"/>
    </row>
    <row r="185" spans="2:20">
      <c r="B185" s="416" t="s">
        <v>243</v>
      </c>
      <c r="C185" s="511"/>
      <c r="D185" s="367"/>
      <c r="E185" s="368"/>
      <c r="F185" s="368"/>
      <c r="G185" s="368"/>
      <c r="H185" s="369"/>
      <c r="I185" s="368"/>
      <c r="J185" s="368"/>
      <c r="K185" s="368"/>
      <c r="L185" s="368"/>
      <c r="M185" s="369"/>
      <c r="N185" s="303"/>
      <c r="O185" s="370"/>
      <c r="P185" s="371"/>
      <c r="Q185" s="372"/>
      <c r="R185" s="303"/>
      <c r="S185" s="367"/>
      <c r="T185" s="369"/>
    </row>
    <row r="186" spans="2:20">
      <c r="B186" s="512" t="s">
        <v>283</v>
      </c>
      <c r="C186" s="449" t="s">
        <v>203</v>
      </c>
      <c r="D186" s="475"/>
      <c r="E186" s="476"/>
      <c r="F186" s="476"/>
      <c r="G186" s="476"/>
      <c r="H186" s="477"/>
      <c r="I186" s="352"/>
      <c r="J186" s="354"/>
      <c r="K186" s="354"/>
      <c r="L186" s="354"/>
      <c r="M186" s="353"/>
      <c r="N186" s="303"/>
      <c r="O186" s="344"/>
      <c r="P186" s="345"/>
      <c r="Q186" s="346"/>
      <c r="R186" s="303"/>
      <c r="S186" s="344"/>
      <c r="T186" s="347"/>
    </row>
    <row r="187" spans="2:20">
      <c r="B187" s="512" t="s">
        <v>310</v>
      </c>
      <c r="C187" s="449" t="s">
        <v>311</v>
      </c>
      <c r="D187" s="478"/>
      <c r="E187" s="479"/>
      <c r="F187" s="479"/>
      <c r="G187" s="479"/>
      <c r="H187" s="480"/>
      <c r="I187" s="481"/>
      <c r="J187" s="482"/>
      <c r="K187" s="482"/>
      <c r="L187" s="482"/>
      <c r="M187" s="483"/>
      <c r="N187" s="303"/>
      <c r="O187" s="344"/>
      <c r="P187" s="345"/>
      <c r="Q187" s="346"/>
      <c r="R187" s="303"/>
      <c r="S187" s="344"/>
      <c r="T187" s="347"/>
    </row>
    <row r="188" spans="2:20">
      <c r="B188" s="512" t="s">
        <v>312</v>
      </c>
      <c r="C188" s="449" t="s">
        <v>311</v>
      </c>
      <c r="D188" s="478"/>
      <c r="E188" s="479"/>
      <c r="F188" s="479"/>
      <c r="G188" s="479"/>
      <c r="H188" s="480"/>
      <c r="I188" s="484">
        <f>1-I187</f>
        <v>1</v>
      </c>
      <c r="J188" s="485">
        <f>1-J187</f>
        <v>1</v>
      </c>
      <c r="K188" s="485">
        <f>1-K187</f>
        <v>1</v>
      </c>
      <c r="L188" s="485">
        <f>1-L187</f>
        <v>1</v>
      </c>
      <c r="M188" s="486">
        <f>1-M187</f>
        <v>1</v>
      </c>
      <c r="N188" s="303"/>
      <c r="O188" s="344"/>
      <c r="P188" s="345"/>
      <c r="Q188" s="346"/>
      <c r="R188" s="303"/>
      <c r="S188" s="344"/>
      <c r="T188" s="347"/>
    </row>
    <row r="189" spans="2:20">
      <c r="B189" s="512" t="s">
        <v>284</v>
      </c>
      <c r="C189" s="449" t="s">
        <v>203</v>
      </c>
      <c r="D189" s="475"/>
      <c r="E189" s="476"/>
      <c r="F189" s="476"/>
      <c r="G189" s="476"/>
      <c r="H189" s="477"/>
      <c r="I189" s="352"/>
      <c r="J189" s="354"/>
      <c r="K189" s="354"/>
      <c r="L189" s="354"/>
      <c r="M189" s="353"/>
      <c r="N189" s="303"/>
      <c r="O189" s="344"/>
      <c r="P189" s="345"/>
      <c r="Q189" s="346"/>
      <c r="R189" s="303"/>
      <c r="S189" s="344"/>
      <c r="T189" s="347"/>
    </row>
    <row r="190" spans="2:20">
      <c r="B190" s="512" t="s">
        <v>313</v>
      </c>
      <c r="C190" s="449" t="s">
        <v>311</v>
      </c>
      <c r="D190" s="475"/>
      <c r="E190" s="476"/>
      <c r="F190" s="476"/>
      <c r="G190" s="476"/>
      <c r="H190" s="477"/>
      <c r="I190" s="352"/>
      <c r="J190" s="354"/>
      <c r="K190" s="354"/>
      <c r="L190" s="354"/>
      <c r="M190" s="353"/>
      <c r="N190" s="303"/>
      <c r="O190" s="344"/>
      <c r="P190" s="345"/>
      <c r="Q190" s="346"/>
      <c r="R190" s="303"/>
      <c r="S190" s="344"/>
      <c r="T190" s="347"/>
    </row>
    <row r="191" spans="2:20">
      <c r="B191" s="512" t="s">
        <v>314</v>
      </c>
      <c r="C191" s="449" t="s">
        <v>311</v>
      </c>
      <c r="D191" s="478"/>
      <c r="E191" s="479"/>
      <c r="F191" s="479"/>
      <c r="G191" s="479"/>
      <c r="H191" s="480"/>
      <c r="I191" s="484">
        <f>1-I190</f>
        <v>1</v>
      </c>
      <c r="J191" s="485">
        <f>1-J190</f>
        <v>1</v>
      </c>
      <c r="K191" s="485">
        <f>1-K190</f>
        <v>1</v>
      </c>
      <c r="L191" s="485">
        <f>1-L190</f>
        <v>1</v>
      </c>
      <c r="M191" s="486">
        <f>1-M190</f>
        <v>1</v>
      </c>
      <c r="N191" s="303"/>
      <c r="O191" s="344"/>
      <c r="P191" s="345"/>
      <c r="Q191" s="346"/>
      <c r="R191" s="303"/>
      <c r="S191" s="344"/>
      <c r="T191" s="347"/>
    </row>
    <row r="192" spans="2:20">
      <c r="B192" s="513" t="s">
        <v>246</v>
      </c>
      <c r="C192" s="449" t="s">
        <v>203</v>
      </c>
      <c r="D192" s="333"/>
      <c r="E192" s="352"/>
      <c r="F192" s="352"/>
      <c r="G192" s="352"/>
      <c r="H192" s="353"/>
      <c r="I192" s="382">
        <f>SUM(I186,I189)</f>
        <v>0</v>
      </c>
      <c r="J192" s="325">
        <f>SUM(J186,J189)</f>
        <v>0</v>
      </c>
      <c r="K192" s="325">
        <f>SUM(K186,K189)</f>
        <v>0</v>
      </c>
      <c r="L192" s="325">
        <f>SUM(L186,L189)</f>
        <v>0</v>
      </c>
      <c r="M192" s="326">
        <f>SUM(M186,M189)</f>
        <v>0</v>
      </c>
      <c r="N192" s="303"/>
      <c r="O192" s="324">
        <f>SUM(D192:G192)</f>
        <v>0</v>
      </c>
      <c r="P192" s="325">
        <f>SUM(H192)</f>
        <v>0</v>
      </c>
      <c r="Q192" s="326">
        <f>SUM(D192:H192)</f>
        <v>0</v>
      </c>
      <c r="R192" s="303"/>
      <c r="S192" s="324">
        <f>SUM(I192:M192)</f>
        <v>0</v>
      </c>
      <c r="T192" s="149" t="str">
        <f>IF(Q192&lt;&gt;0,(S192-Q192)/Q192,"0")</f>
        <v>0</v>
      </c>
    </row>
    <row r="193" spans="2:20">
      <c r="B193" s="416" t="s">
        <v>315</v>
      </c>
      <c r="C193" s="514"/>
      <c r="D193" s="384"/>
      <c r="E193" s="385"/>
      <c r="F193" s="385"/>
      <c r="G193" s="385"/>
      <c r="H193" s="386"/>
      <c r="I193" s="385"/>
      <c r="J193" s="385"/>
      <c r="K193" s="385"/>
      <c r="L193" s="385"/>
      <c r="M193" s="386"/>
      <c r="N193" s="303"/>
      <c r="O193" s="387"/>
      <c r="P193" s="385"/>
      <c r="Q193" s="386"/>
      <c r="R193" s="303"/>
      <c r="S193" s="384"/>
      <c r="T193" s="386"/>
    </row>
    <row r="194" spans="2:20">
      <c r="B194" s="512" t="s">
        <v>285</v>
      </c>
      <c r="C194" s="449" t="s">
        <v>203</v>
      </c>
      <c r="D194" s="475"/>
      <c r="E194" s="476"/>
      <c r="F194" s="476"/>
      <c r="G194" s="476"/>
      <c r="H194" s="477"/>
      <c r="I194" s="352"/>
      <c r="J194" s="354"/>
      <c r="K194" s="354"/>
      <c r="L194" s="354"/>
      <c r="M194" s="353"/>
      <c r="N194" s="303"/>
      <c r="O194" s="344"/>
      <c r="P194" s="345"/>
      <c r="Q194" s="346"/>
      <c r="R194" s="303"/>
      <c r="S194" s="344"/>
      <c r="T194" s="347"/>
    </row>
    <row r="195" spans="2:20">
      <c r="B195" s="512" t="s">
        <v>316</v>
      </c>
      <c r="C195" s="449" t="s">
        <v>311</v>
      </c>
      <c r="D195" s="478"/>
      <c r="E195" s="479"/>
      <c r="F195" s="479"/>
      <c r="G195" s="479"/>
      <c r="H195" s="480"/>
      <c r="I195" s="481"/>
      <c r="J195" s="482"/>
      <c r="K195" s="482"/>
      <c r="L195" s="482"/>
      <c r="M195" s="483"/>
      <c r="N195" s="303"/>
      <c r="O195" s="344"/>
      <c r="P195" s="345"/>
      <c r="Q195" s="346"/>
      <c r="R195" s="303"/>
      <c r="S195" s="344"/>
      <c r="T195" s="347"/>
    </row>
    <row r="196" spans="2:20">
      <c r="B196" s="512" t="s">
        <v>317</v>
      </c>
      <c r="C196" s="449" t="s">
        <v>311</v>
      </c>
      <c r="D196" s="478"/>
      <c r="E196" s="479"/>
      <c r="F196" s="479"/>
      <c r="G196" s="479"/>
      <c r="H196" s="480"/>
      <c r="I196" s="484">
        <f>1-I195</f>
        <v>1</v>
      </c>
      <c r="J196" s="485">
        <f>1-J195</f>
        <v>1</v>
      </c>
      <c r="K196" s="485">
        <f>1-K195</f>
        <v>1</v>
      </c>
      <c r="L196" s="485">
        <f>1-L195</f>
        <v>1</v>
      </c>
      <c r="M196" s="486">
        <f>1-M195</f>
        <v>1</v>
      </c>
      <c r="N196" s="303"/>
      <c r="O196" s="344"/>
      <c r="P196" s="345"/>
      <c r="Q196" s="346"/>
      <c r="R196" s="303"/>
      <c r="S196" s="344"/>
      <c r="T196" s="347"/>
    </row>
    <row r="197" spans="2:20">
      <c r="B197" s="512" t="s">
        <v>286</v>
      </c>
      <c r="C197" s="449" t="s">
        <v>203</v>
      </c>
      <c r="D197" s="475"/>
      <c r="E197" s="476"/>
      <c r="F197" s="476"/>
      <c r="G197" s="476"/>
      <c r="H197" s="477"/>
      <c r="I197" s="352"/>
      <c r="J197" s="354"/>
      <c r="K197" s="354"/>
      <c r="L197" s="354"/>
      <c r="M197" s="353"/>
      <c r="N197" s="303"/>
      <c r="O197" s="344"/>
      <c r="P197" s="345"/>
      <c r="Q197" s="346"/>
      <c r="R197" s="303"/>
      <c r="S197" s="344"/>
      <c r="T197" s="347"/>
    </row>
    <row r="198" spans="2:20">
      <c r="B198" s="512" t="s">
        <v>318</v>
      </c>
      <c r="C198" s="449" t="s">
        <v>311</v>
      </c>
      <c r="D198" s="475"/>
      <c r="E198" s="476"/>
      <c r="F198" s="476"/>
      <c r="G198" s="476"/>
      <c r="H198" s="477"/>
      <c r="I198" s="352"/>
      <c r="J198" s="354"/>
      <c r="K198" s="354"/>
      <c r="L198" s="354"/>
      <c r="M198" s="353"/>
      <c r="N198" s="303"/>
      <c r="O198" s="344"/>
      <c r="P198" s="345"/>
      <c r="Q198" s="346"/>
      <c r="R198" s="303"/>
      <c r="S198" s="344"/>
      <c r="T198" s="347"/>
    </row>
    <row r="199" spans="2:20">
      <c r="B199" s="512" t="s">
        <v>319</v>
      </c>
      <c r="C199" s="449" t="s">
        <v>311</v>
      </c>
      <c r="D199" s="478"/>
      <c r="E199" s="479"/>
      <c r="F199" s="479"/>
      <c r="G199" s="479"/>
      <c r="H199" s="480"/>
      <c r="I199" s="484">
        <f>1-I198</f>
        <v>1</v>
      </c>
      <c r="J199" s="485">
        <f>1-J198</f>
        <v>1</v>
      </c>
      <c r="K199" s="485">
        <f>1-K198</f>
        <v>1</v>
      </c>
      <c r="L199" s="485">
        <f>1-L198</f>
        <v>1</v>
      </c>
      <c r="M199" s="486">
        <f>1-M198</f>
        <v>1</v>
      </c>
      <c r="N199" s="303"/>
      <c r="O199" s="344"/>
      <c r="P199" s="345"/>
      <c r="Q199" s="346"/>
      <c r="R199" s="303"/>
      <c r="S199" s="344"/>
      <c r="T199" s="347"/>
    </row>
    <row r="200" spans="2:20">
      <c r="B200" s="513" t="s">
        <v>248</v>
      </c>
      <c r="C200" s="449" t="s">
        <v>203</v>
      </c>
      <c r="D200" s="333"/>
      <c r="E200" s="352"/>
      <c r="F200" s="352"/>
      <c r="G200" s="352"/>
      <c r="H200" s="353"/>
      <c r="I200" s="382">
        <f>SUM(I194,I197)</f>
        <v>0</v>
      </c>
      <c r="J200" s="325">
        <f>SUM(J194,J197)</f>
        <v>0</v>
      </c>
      <c r="K200" s="325">
        <f>SUM(K194,K197)</f>
        <v>0</v>
      </c>
      <c r="L200" s="325">
        <f>SUM(L194,L197)</f>
        <v>0</v>
      </c>
      <c r="M200" s="326">
        <f>SUM(M194,M197)</f>
        <v>0</v>
      </c>
      <c r="N200" s="303"/>
      <c r="O200" s="324">
        <f>SUM(D200:G200)</f>
        <v>0</v>
      </c>
      <c r="P200" s="325">
        <f>SUM(H200)</f>
        <v>0</v>
      </c>
      <c r="Q200" s="326">
        <f>SUM(D200:H200)</f>
        <v>0</v>
      </c>
      <c r="R200" s="303"/>
      <c r="S200" s="324">
        <f>SUM(I200:M200)</f>
        <v>0</v>
      </c>
      <c r="T200" s="149" t="str">
        <f>IF(Q200&lt;&gt;0,(S200-Q200)/Q200,"0")</f>
        <v>0</v>
      </c>
    </row>
    <row r="201" spans="2:20">
      <c r="B201" s="416" t="s">
        <v>320</v>
      </c>
      <c r="C201" s="514"/>
      <c r="D201" s="384"/>
      <c r="E201" s="385"/>
      <c r="F201" s="385"/>
      <c r="G201" s="385"/>
      <c r="H201" s="386"/>
      <c r="I201" s="385"/>
      <c r="J201" s="385"/>
      <c r="K201" s="385"/>
      <c r="L201" s="385"/>
      <c r="M201" s="386"/>
      <c r="N201" s="303"/>
      <c r="O201" s="384"/>
      <c r="P201" s="385"/>
      <c r="Q201" s="386"/>
      <c r="R201" s="303"/>
      <c r="S201" s="384"/>
      <c r="T201" s="386"/>
    </row>
    <row r="202" spans="2:20">
      <c r="B202" s="512" t="s">
        <v>287</v>
      </c>
      <c r="C202" s="449" t="s">
        <v>203</v>
      </c>
      <c r="D202" s="475"/>
      <c r="E202" s="476"/>
      <c r="F202" s="476"/>
      <c r="G202" s="476"/>
      <c r="H202" s="477"/>
      <c r="I202" s="352"/>
      <c r="J202" s="354"/>
      <c r="K202" s="354"/>
      <c r="L202" s="354"/>
      <c r="M202" s="353"/>
      <c r="N202" s="303"/>
      <c r="O202" s="344"/>
      <c r="P202" s="345"/>
      <c r="Q202" s="346"/>
      <c r="R202" s="303"/>
      <c r="S202" s="344"/>
      <c r="T202" s="347"/>
    </row>
    <row r="203" spans="2:20">
      <c r="B203" s="512" t="s">
        <v>321</v>
      </c>
      <c r="C203" s="449" t="s">
        <v>311</v>
      </c>
      <c r="D203" s="478"/>
      <c r="E203" s="479"/>
      <c r="F203" s="479"/>
      <c r="G203" s="479"/>
      <c r="H203" s="480"/>
      <c r="I203" s="481"/>
      <c r="J203" s="482"/>
      <c r="K203" s="482"/>
      <c r="L203" s="482"/>
      <c r="M203" s="483"/>
      <c r="N203" s="303"/>
      <c r="O203" s="344"/>
      <c r="P203" s="345"/>
      <c r="Q203" s="346"/>
      <c r="R203" s="303"/>
      <c r="S203" s="344"/>
      <c r="T203" s="347"/>
    </row>
    <row r="204" spans="2:20">
      <c r="B204" s="512" t="s">
        <v>322</v>
      </c>
      <c r="C204" s="449" t="s">
        <v>311</v>
      </c>
      <c r="D204" s="478"/>
      <c r="E204" s="479"/>
      <c r="F204" s="479"/>
      <c r="G204" s="479"/>
      <c r="H204" s="480"/>
      <c r="I204" s="484">
        <f>1-I203</f>
        <v>1</v>
      </c>
      <c r="J204" s="485">
        <f>1-J203</f>
        <v>1</v>
      </c>
      <c r="K204" s="485">
        <f>1-K203</f>
        <v>1</v>
      </c>
      <c r="L204" s="485">
        <f>1-L203</f>
        <v>1</v>
      </c>
      <c r="M204" s="486">
        <f>1-M203</f>
        <v>1</v>
      </c>
      <c r="N204" s="303"/>
      <c r="O204" s="344"/>
      <c r="P204" s="345"/>
      <c r="Q204" s="346"/>
      <c r="R204" s="303"/>
      <c r="S204" s="344"/>
      <c r="T204" s="347"/>
    </row>
    <row r="205" spans="2:20">
      <c r="B205" s="512" t="s">
        <v>288</v>
      </c>
      <c r="C205" s="449" t="s">
        <v>203</v>
      </c>
      <c r="D205" s="475"/>
      <c r="E205" s="476"/>
      <c r="F205" s="476"/>
      <c r="G205" s="476"/>
      <c r="H205" s="477"/>
      <c r="I205" s="352"/>
      <c r="J205" s="354"/>
      <c r="K205" s="354"/>
      <c r="L205" s="354"/>
      <c r="M205" s="353"/>
      <c r="N205" s="303"/>
      <c r="O205" s="344"/>
      <c r="P205" s="345"/>
      <c r="Q205" s="346"/>
      <c r="R205" s="303"/>
      <c r="S205" s="344"/>
      <c r="T205" s="347"/>
    </row>
    <row r="206" spans="2:20">
      <c r="B206" s="512" t="s">
        <v>323</v>
      </c>
      <c r="C206" s="449" t="s">
        <v>311</v>
      </c>
      <c r="D206" s="487"/>
      <c r="E206" s="488"/>
      <c r="F206" s="488"/>
      <c r="G206" s="488"/>
      <c r="H206" s="489"/>
      <c r="I206" s="490"/>
      <c r="J206" s="491"/>
      <c r="K206" s="491"/>
      <c r="L206" s="491"/>
      <c r="M206" s="492"/>
      <c r="N206" s="303"/>
      <c r="O206" s="344"/>
      <c r="P206" s="345"/>
      <c r="Q206" s="346"/>
      <c r="R206" s="303"/>
      <c r="S206" s="344"/>
      <c r="T206" s="347"/>
    </row>
    <row r="207" spans="2:20">
      <c r="B207" s="512" t="s">
        <v>324</v>
      </c>
      <c r="C207" s="449" t="s">
        <v>311</v>
      </c>
      <c r="D207" s="478"/>
      <c r="E207" s="479"/>
      <c r="F207" s="479"/>
      <c r="G207" s="479"/>
      <c r="H207" s="480"/>
      <c r="I207" s="484">
        <f>1-I206</f>
        <v>1</v>
      </c>
      <c r="J207" s="485">
        <f>1-J206</f>
        <v>1</v>
      </c>
      <c r="K207" s="485">
        <f>1-K206</f>
        <v>1</v>
      </c>
      <c r="L207" s="485">
        <f>1-L206</f>
        <v>1</v>
      </c>
      <c r="M207" s="486">
        <f>1-M206</f>
        <v>1</v>
      </c>
      <c r="N207" s="303"/>
      <c r="O207" s="344"/>
      <c r="P207" s="345"/>
      <c r="Q207" s="346"/>
      <c r="R207" s="303"/>
      <c r="S207" s="344"/>
      <c r="T207" s="347"/>
    </row>
    <row r="208" spans="2:20">
      <c r="B208" s="513" t="s">
        <v>250</v>
      </c>
      <c r="C208" s="449" t="s">
        <v>203</v>
      </c>
      <c r="D208" s="333"/>
      <c r="E208" s="352"/>
      <c r="F208" s="352"/>
      <c r="G208" s="352"/>
      <c r="H208" s="353"/>
      <c r="I208" s="382">
        <f>SUM(I202,I205)</f>
        <v>0</v>
      </c>
      <c r="J208" s="325">
        <f>SUM(J202,J205)</f>
        <v>0</v>
      </c>
      <c r="K208" s="325">
        <f>SUM(K202,K205)</f>
        <v>0</v>
      </c>
      <c r="L208" s="325">
        <f>SUM(L202,L205)</f>
        <v>0</v>
      </c>
      <c r="M208" s="326">
        <f>SUM(M202,M205)</f>
        <v>0</v>
      </c>
      <c r="N208" s="303"/>
      <c r="O208" s="324">
        <f>SUM(D208:G208)</f>
        <v>0</v>
      </c>
      <c r="P208" s="325">
        <f>SUM(H208)</f>
        <v>0</v>
      </c>
      <c r="Q208" s="326">
        <f>SUM(D208:H208)</f>
        <v>0</v>
      </c>
      <c r="R208" s="303"/>
      <c r="S208" s="324">
        <f>SUM(I208:M208)</f>
        <v>0</v>
      </c>
      <c r="T208" s="149" t="str">
        <f>IF(Q208&lt;&gt;0,(S208-Q208)/Q208,"0")</f>
        <v>0</v>
      </c>
    </row>
    <row r="209" spans="2:20">
      <c r="B209" s="416" t="s">
        <v>325</v>
      </c>
      <c r="C209" s="514"/>
      <c r="D209" s="384"/>
      <c r="E209" s="385"/>
      <c r="F209" s="385"/>
      <c r="G209" s="385"/>
      <c r="H209" s="386"/>
      <c r="I209" s="385"/>
      <c r="J209" s="385"/>
      <c r="K209" s="385"/>
      <c r="L209" s="385"/>
      <c r="M209" s="386"/>
      <c r="N209" s="303"/>
      <c r="O209" s="384"/>
      <c r="P209" s="385"/>
      <c r="Q209" s="386"/>
      <c r="R209" s="303"/>
      <c r="S209" s="384"/>
      <c r="T209" s="386"/>
    </row>
    <row r="210" spans="2:20">
      <c r="B210" s="512" t="s">
        <v>289</v>
      </c>
      <c r="C210" s="449" t="s">
        <v>203</v>
      </c>
      <c r="D210" s="475"/>
      <c r="E210" s="476"/>
      <c r="F210" s="476"/>
      <c r="G210" s="476"/>
      <c r="H210" s="477"/>
      <c r="I210" s="352"/>
      <c r="J210" s="354"/>
      <c r="K210" s="354"/>
      <c r="L210" s="354"/>
      <c r="M210" s="353"/>
      <c r="N210" s="303"/>
      <c r="O210" s="344"/>
      <c r="P210" s="345"/>
      <c r="Q210" s="346"/>
      <c r="R210" s="303"/>
      <c r="S210" s="344"/>
      <c r="T210" s="347"/>
    </row>
    <row r="211" spans="2:20">
      <c r="B211" s="512" t="s">
        <v>326</v>
      </c>
      <c r="C211" s="449" t="s">
        <v>311</v>
      </c>
      <c r="D211" s="478"/>
      <c r="E211" s="479"/>
      <c r="F211" s="479"/>
      <c r="G211" s="479"/>
      <c r="H211" s="480"/>
      <c r="I211" s="481"/>
      <c r="J211" s="482"/>
      <c r="K211" s="482"/>
      <c r="L211" s="482"/>
      <c r="M211" s="483"/>
      <c r="N211" s="303"/>
      <c r="O211" s="344"/>
      <c r="P211" s="345"/>
      <c r="Q211" s="346"/>
      <c r="R211" s="303"/>
      <c r="S211" s="344"/>
      <c r="T211" s="347"/>
    </row>
    <row r="212" spans="2:20">
      <c r="B212" s="512" t="s">
        <v>327</v>
      </c>
      <c r="C212" s="449" t="s">
        <v>311</v>
      </c>
      <c r="D212" s="478"/>
      <c r="E212" s="479"/>
      <c r="F212" s="479"/>
      <c r="G212" s="479"/>
      <c r="H212" s="480"/>
      <c r="I212" s="484">
        <f>1-I211</f>
        <v>1</v>
      </c>
      <c r="J212" s="485">
        <f>1-J211</f>
        <v>1</v>
      </c>
      <c r="K212" s="485">
        <f>1-K211</f>
        <v>1</v>
      </c>
      <c r="L212" s="485">
        <f>1-L211</f>
        <v>1</v>
      </c>
      <c r="M212" s="486">
        <f>1-M211</f>
        <v>1</v>
      </c>
      <c r="N212" s="303"/>
      <c r="O212" s="344"/>
      <c r="P212" s="345"/>
      <c r="Q212" s="346"/>
      <c r="R212" s="303"/>
      <c r="S212" s="344"/>
      <c r="T212" s="347"/>
    </row>
    <row r="213" spans="2:20">
      <c r="B213" s="512" t="s">
        <v>290</v>
      </c>
      <c r="C213" s="449" t="s">
        <v>203</v>
      </c>
      <c r="D213" s="475"/>
      <c r="E213" s="476"/>
      <c r="F213" s="476"/>
      <c r="G213" s="476"/>
      <c r="H213" s="477"/>
      <c r="I213" s="352"/>
      <c r="J213" s="354"/>
      <c r="K213" s="354"/>
      <c r="L213" s="354"/>
      <c r="M213" s="353"/>
      <c r="N213" s="303"/>
      <c r="O213" s="344"/>
      <c r="P213" s="345"/>
      <c r="Q213" s="346"/>
      <c r="R213" s="303"/>
      <c r="S213" s="344"/>
      <c r="T213" s="347"/>
    </row>
    <row r="214" spans="2:20">
      <c r="B214" s="512" t="s">
        <v>328</v>
      </c>
      <c r="C214" s="449" t="s">
        <v>311</v>
      </c>
      <c r="D214" s="487"/>
      <c r="E214" s="488"/>
      <c r="F214" s="488"/>
      <c r="G214" s="488"/>
      <c r="H214" s="489"/>
      <c r="I214" s="490"/>
      <c r="J214" s="491"/>
      <c r="K214" s="491"/>
      <c r="L214" s="491"/>
      <c r="M214" s="492"/>
      <c r="N214" s="303"/>
      <c r="O214" s="344"/>
      <c r="P214" s="345"/>
      <c r="Q214" s="346"/>
      <c r="R214" s="303"/>
      <c r="S214" s="344"/>
      <c r="T214" s="347"/>
    </row>
    <row r="215" spans="2:20">
      <c r="B215" s="512" t="s">
        <v>329</v>
      </c>
      <c r="C215" s="449" t="s">
        <v>311</v>
      </c>
      <c r="D215" s="478"/>
      <c r="E215" s="479"/>
      <c r="F215" s="479"/>
      <c r="G215" s="479"/>
      <c r="H215" s="480"/>
      <c r="I215" s="484">
        <f>1-I214</f>
        <v>1</v>
      </c>
      <c r="J215" s="485">
        <f>1-J214</f>
        <v>1</v>
      </c>
      <c r="K215" s="485">
        <f>1-K214</f>
        <v>1</v>
      </c>
      <c r="L215" s="485">
        <f>1-L214</f>
        <v>1</v>
      </c>
      <c r="M215" s="486">
        <f>1-M214</f>
        <v>1</v>
      </c>
      <c r="N215" s="303"/>
      <c r="O215" s="344"/>
      <c r="P215" s="345"/>
      <c r="Q215" s="346"/>
      <c r="R215" s="303"/>
      <c r="S215" s="344"/>
      <c r="T215" s="347"/>
    </row>
    <row r="216" spans="2:20">
      <c r="B216" s="515" t="s">
        <v>252</v>
      </c>
      <c r="C216" s="449" t="s">
        <v>203</v>
      </c>
      <c r="D216" s="494"/>
      <c r="E216" s="495"/>
      <c r="F216" s="495"/>
      <c r="G216" s="495"/>
      <c r="H216" s="496"/>
      <c r="I216" s="497">
        <f>SUM(I210,I213)</f>
        <v>0</v>
      </c>
      <c r="J216" s="498">
        <f>SUM(J210,J213)</f>
        <v>0</v>
      </c>
      <c r="K216" s="498">
        <f>SUM(K210,K213)</f>
        <v>0</v>
      </c>
      <c r="L216" s="498">
        <f>SUM(L210,L213)</f>
        <v>0</v>
      </c>
      <c r="M216" s="499">
        <f>SUM(M210,M213)</f>
        <v>0</v>
      </c>
      <c r="N216" s="303"/>
      <c r="O216" s="324">
        <f>SUM(D216:G216)</f>
        <v>0</v>
      </c>
      <c r="P216" s="325">
        <f>SUM(H216)</f>
        <v>0</v>
      </c>
      <c r="Q216" s="326">
        <f>SUM(D216:H216)</f>
        <v>0</v>
      </c>
      <c r="R216" s="303"/>
      <c r="S216" s="324">
        <f>SUM(I216:M216)</f>
        <v>0</v>
      </c>
      <c r="T216" s="149" t="str">
        <f>IF(Q216&lt;&gt;0,(S216-Q216)/Q216,"0")</f>
        <v>0</v>
      </c>
    </row>
    <row r="217" spans="2:20" ht="13.5" thickBot="1">
      <c r="B217" s="500" t="s">
        <v>332</v>
      </c>
      <c r="C217" s="516"/>
      <c r="D217" s="502">
        <f t="shared" ref="D217:M217" si="24">SUM(D192,D200,D208,D216)</f>
        <v>0</v>
      </c>
      <c r="E217" s="502">
        <f t="shared" si="24"/>
        <v>0</v>
      </c>
      <c r="F217" s="502">
        <f t="shared" si="24"/>
        <v>0</v>
      </c>
      <c r="G217" s="502">
        <f t="shared" si="24"/>
        <v>0</v>
      </c>
      <c r="H217" s="502">
        <f t="shared" si="24"/>
        <v>0</v>
      </c>
      <c r="I217" s="517">
        <f t="shared" si="24"/>
        <v>0</v>
      </c>
      <c r="J217" s="517">
        <f t="shared" si="24"/>
        <v>0</v>
      </c>
      <c r="K217" s="517">
        <f t="shared" si="24"/>
        <v>0</v>
      </c>
      <c r="L217" s="517">
        <f t="shared" si="24"/>
        <v>0</v>
      </c>
      <c r="M217" s="518">
        <f t="shared" si="24"/>
        <v>0</v>
      </c>
      <c r="N217" s="303"/>
      <c r="O217" s="359">
        <f>SUM(O192,O200,O208,O216)</f>
        <v>0</v>
      </c>
      <c r="P217" s="360">
        <f>SUM(P192,P200,P208,P216)</f>
        <v>0</v>
      </c>
      <c r="Q217" s="361">
        <f>SUM(Q192,Q200,Q208,Q216)</f>
        <v>0</v>
      </c>
      <c r="R217" s="303"/>
      <c r="S217" s="519">
        <f>SUM(S192,S200,S208,S216)</f>
        <v>0</v>
      </c>
      <c r="T217" s="168" t="str">
        <f>IF(Q217&lt;&gt;0,(S217-Q217)/Q217,"0")</f>
        <v>0</v>
      </c>
    </row>
    <row r="218" spans="2:20">
      <c r="C218" s="300"/>
      <c r="D218" s="300"/>
      <c r="E218" s="300"/>
      <c r="F218" s="300"/>
      <c r="G218" s="300"/>
      <c r="H218" s="300"/>
      <c r="I218" s="300"/>
      <c r="J218" s="300"/>
      <c r="K218" s="300"/>
      <c r="L218" s="300"/>
      <c r="M218" s="300"/>
      <c r="N218" s="300"/>
      <c r="O218" s="300"/>
      <c r="P218" s="300"/>
      <c r="Q218" s="300"/>
      <c r="R218" s="300"/>
      <c r="S218" s="300"/>
      <c r="T218" s="300"/>
    </row>
    <row r="219" spans="2:20">
      <c r="B219" s="362" t="s">
        <v>333</v>
      </c>
      <c r="C219" s="363"/>
      <c r="D219" s="364"/>
      <c r="E219" s="364"/>
      <c r="F219" s="364"/>
      <c r="G219" s="364"/>
      <c r="H219" s="364"/>
      <c r="I219" s="364"/>
      <c r="J219" s="364"/>
      <c r="K219" s="364"/>
      <c r="L219" s="364"/>
      <c r="M219" s="364"/>
      <c r="N219" s="303"/>
      <c r="O219" s="364"/>
      <c r="P219" s="364"/>
      <c r="Q219" s="364"/>
      <c r="R219" s="303"/>
      <c r="S219" s="364"/>
      <c r="T219" s="364"/>
    </row>
    <row r="220" spans="2:20" ht="13.5" thickBot="1">
      <c r="B220" s="362"/>
      <c r="C220" s="363"/>
      <c r="D220" s="364"/>
      <c r="E220" s="364"/>
      <c r="F220" s="364"/>
      <c r="G220" s="364"/>
      <c r="H220" s="364"/>
      <c r="I220" s="364"/>
      <c r="J220" s="364"/>
      <c r="K220" s="364"/>
      <c r="L220" s="364"/>
      <c r="M220" s="364"/>
      <c r="N220" s="303"/>
      <c r="O220" s="364"/>
      <c r="P220" s="364"/>
      <c r="Q220" s="364"/>
      <c r="R220" s="303"/>
      <c r="S220" s="364"/>
      <c r="T220" s="364"/>
    </row>
    <row r="221" spans="2:20">
      <c r="B221" s="520"/>
      <c r="C221" s="521"/>
      <c r="D221" s="305" t="s">
        <v>191</v>
      </c>
      <c r="E221" s="306"/>
      <c r="F221" s="306"/>
      <c r="G221" s="306"/>
      <c r="H221" s="307"/>
      <c r="I221" s="306" t="s">
        <v>192</v>
      </c>
      <c r="J221" s="308"/>
      <c r="K221" s="308"/>
      <c r="L221" s="308"/>
      <c r="M221" s="307"/>
      <c r="N221" s="303"/>
      <c r="O221" s="309" t="s">
        <v>191</v>
      </c>
      <c r="P221" s="310"/>
      <c r="Q221" s="311"/>
      <c r="R221" s="303"/>
      <c r="S221" s="309" t="s">
        <v>192</v>
      </c>
      <c r="T221" s="311"/>
    </row>
    <row r="222" spans="2:20">
      <c r="B222" s="522" t="s">
        <v>241</v>
      </c>
      <c r="C222" s="523" t="s">
        <v>190</v>
      </c>
      <c r="D222" s="312" t="s">
        <v>79</v>
      </c>
      <c r="E222" s="313" t="s">
        <v>80</v>
      </c>
      <c r="F222" s="313" t="s">
        <v>81</v>
      </c>
      <c r="G222" s="313" t="s">
        <v>82</v>
      </c>
      <c r="H222" s="314" t="s">
        <v>44</v>
      </c>
      <c r="I222" s="315" t="s">
        <v>193</v>
      </c>
      <c r="J222" s="313" t="s">
        <v>194</v>
      </c>
      <c r="K222" s="313" t="s">
        <v>195</v>
      </c>
      <c r="L222" s="313" t="s">
        <v>196</v>
      </c>
      <c r="M222" s="314" t="s">
        <v>197</v>
      </c>
      <c r="N222" s="303"/>
      <c r="O222" s="316" t="s">
        <v>198</v>
      </c>
      <c r="P222" s="317" t="s">
        <v>199</v>
      </c>
      <c r="Q222" s="318" t="s">
        <v>200</v>
      </c>
      <c r="R222" s="303"/>
      <c r="S222" s="316" t="s">
        <v>199</v>
      </c>
      <c r="T222" s="318" t="s">
        <v>201</v>
      </c>
    </row>
    <row r="223" spans="2:20">
      <c r="B223" s="524" t="s">
        <v>242</v>
      </c>
      <c r="C223" s="510"/>
      <c r="D223" s="393"/>
      <c r="E223" s="394"/>
      <c r="F223" s="394"/>
      <c r="G223" s="394"/>
      <c r="H223" s="395"/>
      <c r="I223" s="397"/>
      <c r="J223" s="397"/>
      <c r="K223" s="397"/>
      <c r="L223" s="397"/>
      <c r="M223" s="398"/>
      <c r="N223" s="303"/>
      <c r="O223" s="396"/>
      <c r="P223" s="397"/>
      <c r="Q223" s="398"/>
      <c r="R223" s="303"/>
      <c r="S223" s="396"/>
      <c r="T223" s="398"/>
    </row>
    <row r="224" spans="2:20">
      <c r="B224" s="416" t="s">
        <v>243</v>
      </c>
      <c r="C224" s="511"/>
      <c r="D224" s="367"/>
      <c r="E224" s="368"/>
      <c r="F224" s="368"/>
      <c r="G224" s="368"/>
      <c r="H224" s="369"/>
      <c r="I224" s="368"/>
      <c r="J224" s="368"/>
      <c r="K224" s="368"/>
      <c r="L224" s="368"/>
      <c r="M224" s="369"/>
      <c r="N224" s="303"/>
      <c r="O224" s="370"/>
      <c r="P224" s="371"/>
      <c r="Q224" s="372"/>
      <c r="R224" s="303"/>
      <c r="S224" s="367"/>
      <c r="T224" s="369"/>
    </row>
    <row r="225" spans="2:20">
      <c r="B225" s="512" t="s">
        <v>283</v>
      </c>
      <c r="C225" s="449" t="s">
        <v>203</v>
      </c>
      <c r="D225" s="475"/>
      <c r="E225" s="476"/>
      <c r="F225" s="476"/>
      <c r="G225" s="476"/>
      <c r="H225" s="477"/>
      <c r="I225" s="352"/>
      <c r="J225" s="354"/>
      <c r="K225" s="354"/>
      <c r="L225" s="354"/>
      <c r="M225" s="353"/>
      <c r="N225" s="303"/>
      <c r="O225" s="344"/>
      <c r="P225" s="345"/>
      <c r="Q225" s="346"/>
      <c r="R225" s="303"/>
      <c r="S225" s="344"/>
      <c r="T225" s="347"/>
    </row>
    <row r="226" spans="2:20">
      <c r="B226" s="512" t="s">
        <v>284</v>
      </c>
      <c r="C226" s="449" t="s">
        <v>203</v>
      </c>
      <c r="D226" s="475"/>
      <c r="E226" s="476"/>
      <c r="F226" s="476"/>
      <c r="G226" s="476"/>
      <c r="H226" s="477"/>
      <c r="I226" s="352"/>
      <c r="J226" s="354"/>
      <c r="K226" s="354"/>
      <c r="L226" s="354"/>
      <c r="M226" s="353"/>
      <c r="N226" s="303"/>
      <c r="O226" s="344"/>
      <c r="P226" s="345"/>
      <c r="Q226" s="346"/>
      <c r="R226" s="303"/>
      <c r="S226" s="344"/>
      <c r="T226" s="347"/>
    </row>
    <row r="227" spans="2:20">
      <c r="B227" s="513" t="s">
        <v>246</v>
      </c>
      <c r="C227" s="449" t="s">
        <v>203</v>
      </c>
      <c r="D227" s="333"/>
      <c r="E227" s="352"/>
      <c r="F227" s="352"/>
      <c r="G227" s="352"/>
      <c r="H227" s="353"/>
      <c r="I227" s="382">
        <f>SUM(I225,I226)</f>
        <v>0</v>
      </c>
      <c r="J227" s="325">
        <f>SUM(J225,J226)</f>
        <v>0</v>
      </c>
      <c r="K227" s="325">
        <f>SUM(K225,K226)</f>
        <v>0</v>
      </c>
      <c r="L227" s="325">
        <f>SUM(L225,L226)</f>
        <v>0</v>
      </c>
      <c r="M227" s="326">
        <f>SUM(M225,M226)</f>
        <v>0</v>
      </c>
      <c r="N227" s="303"/>
      <c r="O227" s="324">
        <f>SUM(D227:G227)</f>
        <v>0</v>
      </c>
      <c r="P227" s="325">
        <f>SUM(H227)</f>
        <v>0</v>
      </c>
      <c r="Q227" s="326">
        <f>SUM(D227:H227)</f>
        <v>0</v>
      </c>
      <c r="R227" s="303"/>
      <c r="S227" s="324">
        <f>SUM(I227:M227)</f>
        <v>0</v>
      </c>
      <c r="T227" s="149" t="str">
        <f>IF(Q227&lt;&gt;0,(S227-Q227)/Q227,"0")</f>
        <v>0</v>
      </c>
    </row>
    <row r="228" spans="2:20">
      <c r="B228" s="416" t="s">
        <v>315</v>
      </c>
      <c r="C228" s="514"/>
      <c r="D228" s="384"/>
      <c r="E228" s="385"/>
      <c r="F228" s="385"/>
      <c r="G228" s="385"/>
      <c r="H228" s="386"/>
      <c r="I228" s="385"/>
      <c r="J228" s="385"/>
      <c r="K228" s="385"/>
      <c r="L228" s="385"/>
      <c r="M228" s="386"/>
      <c r="N228" s="303"/>
      <c r="O228" s="387"/>
      <c r="P228" s="385"/>
      <c r="Q228" s="386"/>
      <c r="R228" s="303"/>
      <c r="S228" s="384"/>
      <c r="T228" s="386"/>
    </row>
    <row r="229" spans="2:20">
      <c r="B229" s="512" t="s">
        <v>285</v>
      </c>
      <c r="C229" s="449" t="s">
        <v>203</v>
      </c>
      <c r="D229" s="475"/>
      <c r="E229" s="476"/>
      <c r="F229" s="476"/>
      <c r="G229" s="476"/>
      <c r="H229" s="477"/>
      <c r="I229" s="352"/>
      <c r="J229" s="354"/>
      <c r="K229" s="354"/>
      <c r="L229" s="354"/>
      <c r="M229" s="353"/>
      <c r="N229" s="303"/>
      <c r="O229" s="344"/>
      <c r="P229" s="345"/>
      <c r="Q229" s="346"/>
      <c r="R229" s="303"/>
      <c r="S229" s="344"/>
      <c r="T229" s="347"/>
    </row>
    <row r="230" spans="2:20">
      <c r="B230" s="512" t="s">
        <v>286</v>
      </c>
      <c r="C230" s="449" t="s">
        <v>203</v>
      </c>
      <c r="D230" s="475"/>
      <c r="E230" s="476"/>
      <c r="F230" s="476"/>
      <c r="G230" s="476"/>
      <c r="H230" s="477"/>
      <c r="I230" s="352"/>
      <c r="J230" s="354"/>
      <c r="K230" s="354"/>
      <c r="L230" s="354"/>
      <c r="M230" s="353"/>
      <c r="N230" s="303"/>
      <c r="O230" s="344"/>
      <c r="P230" s="345"/>
      <c r="Q230" s="346"/>
      <c r="R230" s="303"/>
      <c r="S230" s="344"/>
      <c r="T230" s="347"/>
    </row>
    <row r="231" spans="2:20">
      <c r="B231" s="513" t="s">
        <v>248</v>
      </c>
      <c r="C231" s="449" t="s">
        <v>203</v>
      </c>
      <c r="D231" s="333"/>
      <c r="E231" s="352"/>
      <c r="F231" s="352"/>
      <c r="G231" s="352"/>
      <c r="H231" s="353"/>
      <c r="I231" s="382">
        <f>SUM(I229,I230)</f>
        <v>0</v>
      </c>
      <c r="J231" s="325">
        <f>SUM(J229,J230)</f>
        <v>0</v>
      </c>
      <c r="K231" s="325">
        <f>SUM(K229,K230)</f>
        <v>0</v>
      </c>
      <c r="L231" s="325">
        <f>SUM(L229,L230)</f>
        <v>0</v>
      </c>
      <c r="M231" s="326">
        <f>SUM(M229,M230)</f>
        <v>0</v>
      </c>
      <c r="N231" s="303"/>
      <c r="O231" s="324">
        <f>SUM(D231:G231)</f>
        <v>0</v>
      </c>
      <c r="P231" s="325">
        <f>SUM(H231)</f>
        <v>0</v>
      </c>
      <c r="Q231" s="326">
        <f>SUM(D231:H231)</f>
        <v>0</v>
      </c>
      <c r="R231" s="303"/>
      <c r="S231" s="324">
        <f>SUM(I231:M231)</f>
        <v>0</v>
      </c>
      <c r="T231" s="149" t="str">
        <f>IF(Q231&lt;&gt;0,(S231-Q231)/Q231,"0")</f>
        <v>0</v>
      </c>
    </row>
    <row r="232" spans="2:20">
      <c r="B232" s="416" t="s">
        <v>320</v>
      </c>
      <c r="C232" s="514"/>
      <c r="D232" s="384"/>
      <c r="E232" s="385"/>
      <c r="F232" s="385"/>
      <c r="G232" s="385"/>
      <c r="H232" s="386"/>
      <c r="I232" s="385"/>
      <c r="J232" s="385"/>
      <c r="K232" s="385"/>
      <c r="L232" s="385"/>
      <c r="M232" s="386"/>
      <c r="N232" s="303"/>
      <c r="O232" s="384"/>
      <c r="P232" s="385"/>
      <c r="Q232" s="386"/>
      <c r="R232" s="303"/>
      <c r="S232" s="384"/>
      <c r="T232" s="386"/>
    </row>
    <row r="233" spans="2:20">
      <c r="B233" s="512" t="s">
        <v>287</v>
      </c>
      <c r="C233" s="449" t="s">
        <v>203</v>
      </c>
      <c r="D233" s="475"/>
      <c r="E233" s="476"/>
      <c r="F233" s="476"/>
      <c r="G233" s="476"/>
      <c r="H233" s="477"/>
      <c r="I233" s="352"/>
      <c r="J233" s="354"/>
      <c r="K233" s="354"/>
      <c r="L233" s="354"/>
      <c r="M233" s="353"/>
      <c r="N233" s="303"/>
      <c r="O233" s="344"/>
      <c r="P233" s="345"/>
      <c r="Q233" s="346"/>
      <c r="R233" s="303"/>
      <c r="S233" s="344"/>
      <c r="T233" s="347"/>
    </row>
    <row r="234" spans="2:20">
      <c r="B234" s="512" t="s">
        <v>288</v>
      </c>
      <c r="C234" s="449" t="s">
        <v>203</v>
      </c>
      <c r="D234" s="475"/>
      <c r="E234" s="476"/>
      <c r="F234" s="476"/>
      <c r="G234" s="476"/>
      <c r="H234" s="477"/>
      <c r="I234" s="352"/>
      <c r="J234" s="354"/>
      <c r="K234" s="354"/>
      <c r="L234" s="354"/>
      <c r="M234" s="353"/>
      <c r="N234" s="303"/>
      <c r="O234" s="344"/>
      <c r="P234" s="345"/>
      <c r="Q234" s="346"/>
      <c r="R234" s="303"/>
      <c r="S234" s="344"/>
      <c r="T234" s="347"/>
    </row>
    <row r="235" spans="2:20">
      <c r="B235" s="513" t="s">
        <v>250</v>
      </c>
      <c r="C235" s="449" t="s">
        <v>203</v>
      </c>
      <c r="D235" s="333"/>
      <c r="E235" s="352"/>
      <c r="F235" s="352"/>
      <c r="G235" s="352"/>
      <c r="H235" s="353"/>
      <c r="I235" s="382">
        <f>SUM(I233,I234)</f>
        <v>0</v>
      </c>
      <c r="J235" s="325">
        <f>SUM(J233,J234)</f>
        <v>0</v>
      </c>
      <c r="K235" s="325">
        <f>SUM(K233,K234)</f>
        <v>0</v>
      </c>
      <c r="L235" s="325">
        <f>SUM(L233,L234)</f>
        <v>0</v>
      </c>
      <c r="M235" s="326">
        <f>SUM(M233,M234)</f>
        <v>0</v>
      </c>
      <c r="N235" s="303"/>
      <c r="O235" s="324">
        <f>SUM(D235:G235)</f>
        <v>0</v>
      </c>
      <c r="P235" s="325">
        <f>SUM(H235)</f>
        <v>0</v>
      </c>
      <c r="Q235" s="326">
        <f>SUM(D235:H235)</f>
        <v>0</v>
      </c>
      <c r="R235" s="303"/>
      <c r="S235" s="324">
        <f>SUM(I235:M235)</f>
        <v>0</v>
      </c>
      <c r="T235" s="149" t="str">
        <f>IF(Q235&lt;&gt;0,(S235-Q235)/Q235,"0")</f>
        <v>0</v>
      </c>
    </row>
    <row r="236" spans="2:20">
      <c r="B236" s="416" t="s">
        <v>325</v>
      </c>
      <c r="C236" s="514"/>
      <c r="D236" s="384"/>
      <c r="E236" s="385"/>
      <c r="F236" s="385"/>
      <c r="G236" s="385"/>
      <c r="H236" s="386"/>
      <c r="I236" s="385"/>
      <c r="J236" s="385"/>
      <c r="K236" s="385"/>
      <c r="L236" s="385"/>
      <c r="M236" s="386"/>
      <c r="N236" s="303"/>
      <c r="O236" s="384"/>
      <c r="P236" s="385"/>
      <c r="Q236" s="386"/>
      <c r="R236" s="303"/>
      <c r="S236" s="384"/>
      <c r="T236" s="386"/>
    </row>
    <row r="237" spans="2:20">
      <c r="B237" s="512" t="s">
        <v>289</v>
      </c>
      <c r="C237" s="449" t="s">
        <v>203</v>
      </c>
      <c r="D237" s="475"/>
      <c r="E237" s="476"/>
      <c r="F237" s="476"/>
      <c r="G237" s="476"/>
      <c r="H237" s="477"/>
      <c r="I237" s="352"/>
      <c r="J237" s="354"/>
      <c r="K237" s="354"/>
      <c r="L237" s="354"/>
      <c r="M237" s="353"/>
      <c r="N237" s="303"/>
      <c r="O237" s="344"/>
      <c r="P237" s="345"/>
      <c r="Q237" s="346"/>
      <c r="R237" s="303"/>
      <c r="S237" s="344"/>
      <c r="T237" s="347"/>
    </row>
    <row r="238" spans="2:20">
      <c r="B238" s="512" t="s">
        <v>290</v>
      </c>
      <c r="C238" s="449" t="s">
        <v>203</v>
      </c>
      <c r="D238" s="475"/>
      <c r="E238" s="476"/>
      <c r="F238" s="476"/>
      <c r="G238" s="476"/>
      <c r="H238" s="477"/>
      <c r="I238" s="352"/>
      <c r="J238" s="354"/>
      <c r="K238" s="354"/>
      <c r="L238" s="354"/>
      <c r="M238" s="353"/>
      <c r="N238" s="303"/>
      <c r="O238" s="344"/>
      <c r="P238" s="345"/>
      <c r="Q238" s="346"/>
      <c r="R238" s="303"/>
      <c r="S238" s="344"/>
      <c r="T238" s="347"/>
    </row>
    <row r="239" spans="2:20">
      <c r="B239" s="515" t="s">
        <v>252</v>
      </c>
      <c r="C239" s="449" t="s">
        <v>203</v>
      </c>
      <c r="D239" s="494"/>
      <c r="E239" s="495"/>
      <c r="F239" s="495"/>
      <c r="G239" s="495"/>
      <c r="H239" s="496"/>
      <c r="I239" s="497">
        <f>SUM(I237,I238)</f>
        <v>0</v>
      </c>
      <c r="J239" s="498">
        <f>SUM(J237,J238)</f>
        <v>0</v>
      </c>
      <c r="K239" s="498">
        <f>SUM(K237,K238)</f>
        <v>0</v>
      </c>
      <c r="L239" s="498">
        <f>SUM(L237,L238)</f>
        <v>0</v>
      </c>
      <c r="M239" s="499">
        <f>SUM(M237,M238)</f>
        <v>0</v>
      </c>
      <c r="N239" s="303"/>
      <c r="O239" s="324">
        <f>SUM(D239:G239)</f>
        <v>0</v>
      </c>
      <c r="P239" s="325">
        <f>SUM(H239)</f>
        <v>0</v>
      </c>
      <c r="Q239" s="326">
        <f>SUM(D239:H239)</f>
        <v>0</v>
      </c>
      <c r="R239" s="303"/>
      <c r="S239" s="324">
        <f>SUM(I239:M239)</f>
        <v>0</v>
      </c>
      <c r="T239" s="149" t="str">
        <f>IF(Q239&lt;&gt;0,(S239-Q239)/Q239,"0")</f>
        <v>0</v>
      </c>
    </row>
    <row r="240" spans="2:20" ht="13.5" thickBot="1">
      <c r="B240" s="500" t="s">
        <v>334</v>
      </c>
      <c r="C240" s="516"/>
      <c r="D240" s="502">
        <f t="shared" ref="D240:M240" si="25">SUM(D227,D231,D235,D239)</f>
        <v>0</v>
      </c>
      <c r="E240" s="502">
        <f t="shared" si="25"/>
        <v>0</v>
      </c>
      <c r="F240" s="502">
        <f t="shared" si="25"/>
        <v>0</v>
      </c>
      <c r="G240" s="502">
        <f t="shared" si="25"/>
        <v>0</v>
      </c>
      <c r="H240" s="502">
        <f t="shared" si="25"/>
        <v>0</v>
      </c>
      <c r="I240" s="517">
        <f t="shared" si="25"/>
        <v>0</v>
      </c>
      <c r="J240" s="517">
        <f t="shared" si="25"/>
        <v>0</v>
      </c>
      <c r="K240" s="517">
        <f t="shared" si="25"/>
        <v>0</v>
      </c>
      <c r="L240" s="517">
        <f t="shared" si="25"/>
        <v>0</v>
      </c>
      <c r="M240" s="518">
        <f t="shared" si="25"/>
        <v>0</v>
      </c>
      <c r="N240" s="303"/>
      <c r="O240" s="359">
        <f>SUM(O227,O231,O235,O239)</f>
        <v>0</v>
      </c>
      <c r="P240" s="360">
        <f>SUM(P227,P231,P235,P239)</f>
        <v>0</v>
      </c>
      <c r="Q240" s="361">
        <f>SUM(Q227,Q231,Q235,Q239)</f>
        <v>0</v>
      </c>
      <c r="R240" s="303"/>
      <c r="S240" s="359">
        <f>SUM(S227,S231,S235,S239)</f>
        <v>0</v>
      </c>
      <c r="T240" s="168" t="str">
        <f>IF(Q240&lt;&gt;0,(S240-Q240)/Q240,"0")</f>
        <v>0</v>
      </c>
    </row>
    <row r="241" spans="2:20">
      <c r="N241" s="303"/>
      <c r="R241" s="303"/>
    </row>
    <row r="243" spans="2:20">
      <c r="B243" s="362" t="s">
        <v>335</v>
      </c>
      <c r="C243" s="363"/>
      <c r="D243" s="364"/>
      <c r="E243" s="364"/>
      <c r="F243" s="364"/>
      <c r="G243" s="364"/>
      <c r="H243" s="364"/>
      <c r="I243" s="364"/>
      <c r="J243" s="364"/>
      <c r="K243" s="364"/>
      <c r="L243" s="364"/>
      <c r="M243" s="364"/>
      <c r="N243" s="303"/>
      <c r="O243" s="364"/>
      <c r="P243" s="364"/>
      <c r="Q243" s="364"/>
      <c r="R243" s="303"/>
      <c r="S243" s="364"/>
      <c r="T243" s="364"/>
    </row>
    <row r="244" spans="2:20" ht="13.5" thickBot="1">
      <c r="B244" s="362"/>
      <c r="C244" s="363"/>
      <c r="D244" s="364"/>
      <c r="E244" s="364"/>
      <c r="F244" s="364"/>
      <c r="G244" s="364"/>
      <c r="H244" s="364"/>
      <c r="I244" s="364"/>
      <c r="J244" s="364"/>
      <c r="K244" s="364"/>
      <c r="L244" s="364"/>
      <c r="M244" s="364"/>
      <c r="N244" s="303"/>
      <c r="O244" s="364"/>
      <c r="P244" s="364"/>
      <c r="Q244" s="364"/>
      <c r="R244" s="303"/>
      <c r="S244" s="364"/>
      <c r="T244" s="364"/>
    </row>
    <row r="245" spans="2:20">
      <c r="B245" s="505"/>
      <c r="C245" s="506"/>
      <c r="D245" s="305" t="s">
        <v>191</v>
      </c>
      <c r="E245" s="306"/>
      <c r="F245" s="306"/>
      <c r="G245" s="306"/>
      <c r="H245" s="307"/>
      <c r="I245" s="306" t="s">
        <v>192</v>
      </c>
      <c r="J245" s="308"/>
      <c r="K245" s="308"/>
      <c r="L245" s="308"/>
      <c r="M245" s="307"/>
      <c r="N245" s="303"/>
      <c r="O245" s="309" t="s">
        <v>191</v>
      </c>
      <c r="P245" s="310"/>
      <c r="Q245" s="311"/>
      <c r="R245" s="303"/>
      <c r="S245" s="309" t="s">
        <v>192</v>
      </c>
      <c r="T245" s="311"/>
    </row>
    <row r="246" spans="2:20" ht="13.5" thickBot="1">
      <c r="B246" s="507" t="s">
        <v>257</v>
      </c>
      <c r="C246" s="508" t="s">
        <v>190</v>
      </c>
      <c r="D246" s="312" t="s">
        <v>79</v>
      </c>
      <c r="E246" s="313" t="s">
        <v>80</v>
      </c>
      <c r="F246" s="313" t="s">
        <v>81</v>
      </c>
      <c r="G246" s="313" t="s">
        <v>82</v>
      </c>
      <c r="H246" s="314" t="s">
        <v>44</v>
      </c>
      <c r="I246" s="315" t="s">
        <v>193</v>
      </c>
      <c r="J246" s="313" t="s">
        <v>194</v>
      </c>
      <c r="K246" s="313" t="s">
        <v>195</v>
      </c>
      <c r="L246" s="313" t="s">
        <v>196</v>
      </c>
      <c r="M246" s="314" t="s">
        <v>197</v>
      </c>
      <c r="N246" s="303"/>
      <c r="O246" s="316" t="s">
        <v>198</v>
      </c>
      <c r="P246" s="317" t="s">
        <v>199</v>
      </c>
      <c r="Q246" s="318" t="s">
        <v>200</v>
      </c>
      <c r="R246" s="303"/>
      <c r="S246" s="316" t="s">
        <v>199</v>
      </c>
      <c r="T246" s="318" t="s">
        <v>201</v>
      </c>
    </row>
    <row r="247" spans="2:20">
      <c r="B247" s="525" t="s">
        <v>258</v>
      </c>
      <c r="C247" s="511"/>
      <c r="D247" s="367"/>
      <c r="E247" s="368"/>
      <c r="F247" s="368"/>
      <c r="G247" s="368"/>
      <c r="H247" s="369"/>
      <c r="I247" s="368"/>
      <c r="J247" s="368"/>
      <c r="K247" s="368"/>
      <c r="L247" s="368"/>
      <c r="M247" s="369"/>
      <c r="N247" s="303"/>
      <c r="O247" s="526"/>
      <c r="P247" s="527"/>
      <c r="Q247" s="528"/>
      <c r="R247" s="303"/>
      <c r="S247" s="529"/>
      <c r="T247" s="530"/>
    </row>
    <row r="248" spans="2:20">
      <c r="B248" s="512" t="s">
        <v>283</v>
      </c>
      <c r="C248" s="449" t="s">
        <v>203</v>
      </c>
      <c r="D248" s="475"/>
      <c r="E248" s="476"/>
      <c r="F248" s="476"/>
      <c r="G248" s="476"/>
      <c r="H248" s="477"/>
      <c r="I248" s="352"/>
      <c r="J248" s="354"/>
      <c r="K248" s="354"/>
      <c r="L248" s="354"/>
      <c r="M248" s="353"/>
      <c r="N248" s="303"/>
      <c r="O248" s="344"/>
      <c r="P248" s="345"/>
      <c r="Q248" s="346"/>
      <c r="R248" s="303"/>
      <c r="S248" s="344"/>
      <c r="T248" s="347"/>
    </row>
    <row r="249" spans="2:20">
      <c r="B249" s="512" t="s">
        <v>284</v>
      </c>
      <c r="C249" s="449"/>
      <c r="D249" s="475"/>
      <c r="E249" s="476"/>
      <c r="F249" s="476"/>
      <c r="G249" s="476"/>
      <c r="H249" s="477"/>
      <c r="I249" s="352"/>
      <c r="J249" s="354"/>
      <c r="K249" s="354"/>
      <c r="L249" s="354"/>
      <c r="M249" s="353"/>
      <c r="N249" s="303"/>
      <c r="O249" s="344"/>
      <c r="P249" s="345"/>
      <c r="Q249" s="346"/>
      <c r="R249" s="303"/>
      <c r="S249" s="344"/>
      <c r="T249" s="347"/>
    </row>
    <row r="250" spans="2:20">
      <c r="B250" s="513" t="s">
        <v>246</v>
      </c>
      <c r="C250" s="449" t="s">
        <v>203</v>
      </c>
      <c r="D250" s="333"/>
      <c r="E250" s="352"/>
      <c r="F250" s="352"/>
      <c r="G250" s="352"/>
      <c r="H250" s="353"/>
      <c r="I250" s="382">
        <f>SUM(I248:I249)</f>
        <v>0</v>
      </c>
      <c r="J250" s="325">
        <f>SUM(J248:J249)</f>
        <v>0</v>
      </c>
      <c r="K250" s="325">
        <f>SUM(K248:K249)</f>
        <v>0</v>
      </c>
      <c r="L250" s="325">
        <f>SUM(L248:L249)</f>
        <v>0</v>
      </c>
      <c r="M250" s="326">
        <f>SUM(M248:M249)</f>
        <v>0</v>
      </c>
      <c r="N250" s="303"/>
      <c r="O250" s="324">
        <f>SUM(D250:G250)</f>
        <v>0</v>
      </c>
      <c r="P250" s="325">
        <f>SUM(H250)</f>
        <v>0</v>
      </c>
      <c r="Q250" s="326">
        <f>SUM(D250:H250)</f>
        <v>0</v>
      </c>
      <c r="R250" s="303"/>
      <c r="S250" s="324">
        <f>SUM(I250:M250)</f>
        <v>0</v>
      </c>
      <c r="T250" s="149" t="str">
        <f>IF(Q250&lt;&gt;0,(S250-Q250)/Q250,"0")</f>
        <v>0</v>
      </c>
    </row>
    <row r="251" spans="2:20">
      <c r="B251" s="416" t="s">
        <v>336</v>
      </c>
      <c r="C251" s="514"/>
      <c r="D251" s="384"/>
      <c r="E251" s="385"/>
      <c r="F251" s="385"/>
      <c r="G251" s="385"/>
      <c r="H251" s="386"/>
      <c r="I251" s="385"/>
      <c r="J251" s="385"/>
      <c r="K251" s="385"/>
      <c r="L251" s="385"/>
      <c r="M251" s="386"/>
      <c r="N251" s="303"/>
      <c r="O251" s="529"/>
      <c r="P251" s="527"/>
      <c r="Q251" s="528"/>
      <c r="R251" s="303"/>
      <c r="S251" s="526"/>
      <c r="T251" s="528"/>
    </row>
    <row r="252" spans="2:20">
      <c r="B252" s="512" t="s">
        <v>285</v>
      </c>
      <c r="C252" s="449" t="s">
        <v>203</v>
      </c>
      <c r="D252" s="475"/>
      <c r="E252" s="476"/>
      <c r="F252" s="476"/>
      <c r="G252" s="476"/>
      <c r="H252" s="477"/>
      <c r="I252" s="352"/>
      <c r="J252" s="354"/>
      <c r="K252" s="354"/>
      <c r="L252" s="354"/>
      <c r="M252" s="353"/>
      <c r="N252" s="303"/>
      <c r="O252" s="344"/>
      <c r="P252" s="345"/>
      <c r="Q252" s="346"/>
      <c r="R252" s="303"/>
      <c r="S252" s="344"/>
      <c r="T252" s="347"/>
    </row>
    <row r="253" spans="2:20">
      <c r="B253" s="512" t="s">
        <v>286</v>
      </c>
      <c r="C253" s="449" t="s">
        <v>203</v>
      </c>
      <c r="D253" s="475"/>
      <c r="E253" s="476"/>
      <c r="F253" s="476"/>
      <c r="G253" s="476"/>
      <c r="H253" s="477"/>
      <c r="I253" s="352"/>
      <c r="J253" s="354"/>
      <c r="K253" s="354"/>
      <c r="L253" s="354"/>
      <c r="M253" s="353"/>
      <c r="N253" s="303"/>
      <c r="O253" s="344"/>
      <c r="P253" s="345"/>
      <c r="Q253" s="346"/>
      <c r="R253" s="303"/>
      <c r="S253" s="344"/>
      <c r="T253" s="347"/>
    </row>
    <row r="254" spans="2:20">
      <c r="B254" s="513" t="s">
        <v>248</v>
      </c>
      <c r="C254" s="449" t="s">
        <v>203</v>
      </c>
      <c r="D254" s="333"/>
      <c r="E254" s="352"/>
      <c r="F254" s="352"/>
      <c r="G254" s="352"/>
      <c r="H254" s="353"/>
      <c r="I254" s="382">
        <f>SUM(I252:I253)</f>
        <v>0</v>
      </c>
      <c r="J254" s="325">
        <f>SUM(J252:J253)</f>
        <v>0</v>
      </c>
      <c r="K254" s="325">
        <f>SUM(K252:K253)</f>
        <v>0</v>
      </c>
      <c r="L254" s="325">
        <f>SUM(L252:L253)</f>
        <v>0</v>
      </c>
      <c r="M254" s="326">
        <f>SUM(M252:M253)</f>
        <v>0</v>
      </c>
      <c r="N254" s="303"/>
      <c r="O254" s="324">
        <f>SUM(D254:G254)</f>
        <v>0</v>
      </c>
      <c r="P254" s="325">
        <f>SUM(H254)</f>
        <v>0</v>
      </c>
      <c r="Q254" s="326">
        <f>SUM(D254:H254)</f>
        <v>0</v>
      </c>
      <c r="R254" s="303"/>
      <c r="S254" s="324">
        <f>SUM(I254:M254)</f>
        <v>0</v>
      </c>
      <c r="T254" s="149" t="str">
        <f>IF(Q254&lt;&gt;0,(S254-Q254)/Q254,"0")</f>
        <v>0</v>
      </c>
    </row>
    <row r="255" spans="2:20">
      <c r="B255" s="416" t="s">
        <v>337</v>
      </c>
      <c r="C255" s="514"/>
      <c r="D255" s="384"/>
      <c r="E255" s="385"/>
      <c r="F255" s="385"/>
      <c r="G255" s="385"/>
      <c r="H255" s="386"/>
      <c r="I255" s="385"/>
      <c r="J255" s="385"/>
      <c r="K255" s="385"/>
      <c r="L255" s="385"/>
      <c r="M255" s="386"/>
      <c r="N255" s="303"/>
      <c r="O255" s="526"/>
      <c r="P255" s="527"/>
      <c r="Q255" s="528"/>
      <c r="R255" s="303"/>
      <c r="S255" s="526"/>
      <c r="T255" s="528"/>
    </row>
    <row r="256" spans="2:20">
      <c r="B256" s="512" t="s">
        <v>287</v>
      </c>
      <c r="C256" s="449" t="s">
        <v>203</v>
      </c>
      <c r="D256" s="475"/>
      <c r="E256" s="476"/>
      <c r="F256" s="476"/>
      <c r="G256" s="476"/>
      <c r="H256" s="477"/>
      <c r="I256" s="352"/>
      <c r="J256" s="354"/>
      <c r="K256" s="354"/>
      <c r="L256" s="354"/>
      <c r="M256" s="353"/>
      <c r="N256" s="303"/>
      <c r="O256" s="344"/>
      <c r="P256" s="345"/>
      <c r="Q256" s="346"/>
      <c r="R256" s="303"/>
      <c r="S256" s="344"/>
      <c r="T256" s="347"/>
    </row>
    <row r="257" spans="1:20">
      <c r="B257" s="512" t="s">
        <v>288</v>
      </c>
      <c r="C257" s="449" t="s">
        <v>203</v>
      </c>
      <c r="D257" s="475"/>
      <c r="E257" s="476"/>
      <c r="F257" s="476"/>
      <c r="G257" s="476"/>
      <c r="H257" s="477"/>
      <c r="I257" s="352"/>
      <c r="J257" s="354"/>
      <c r="K257" s="354"/>
      <c r="L257" s="354"/>
      <c r="M257" s="353"/>
      <c r="N257" s="303"/>
      <c r="O257" s="344"/>
      <c r="P257" s="345"/>
      <c r="Q257" s="346"/>
      <c r="R257" s="303"/>
      <c r="S257" s="344"/>
      <c r="T257" s="347"/>
    </row>
    <row r="258" spans="1:20">
      <c r="B258" s="513" t="s">
        <v>250</v>
      </c>
      <c r="C258" s="449" t="s">
        <v>203</v>
      </c>
      <c r="D258" s="333"/>
      <c r="E258" s="352"/>
      <c r="F258" s="352"/>
      <c r="G258" s="352"/>
      <c r="H258" s="353"/>
      <c r="I258" s="382">
        <f>SUM(I256:I257)</f>
        <v>0</v>
      </c>
      <c r="J258" s="325">
        <f>SUM(J256:J257)</f>
        <v>0</v>
      </c>
      <c r="K258" s="325">
        <f>SUM(K256:K257)</f>
        <v>0</v>
      </c>
      <c r="L258" s="325">
        <f>SUM(L256:L257)</f>
        <v>0</v>
      </c>
      <c r="M258" s="326">
        <f>SUM(M256:M257)</f>
        <v>0</v>
      </c>
      <c r="N258" s="303"/>
      <c r="O258" s="324">
        <f>SUM(D258:G258)</f>
        <v>0</v>
      </c>
      <c r="P258" s="325">
        <f>SUM(H258)</f>
        <v>0</v>
      </c>
      <c r="Q258" s="326">
        <f>SUM(D258:H258)</f>
        <v>0</v>
      </c>
      <c r="R258" s="303"/>
      <c r="S258" s="324">
        <f>SUM(I258:M258)</f>
        <v>0</v>
      </c>
      <c r="T258" s="149" t="str">
        <f>IF(Q258&lt;&gt;0,(S258-Q258)/Q258,"0")</f>
        <v>0</v>
      </c>
    </row>
    <row r="259" spans="1:20">
      <c r="B259" s="416" t="s">
        <v>338</v>
      </c>
      <c r="C259" s="514"/>
      <c r="D259" s="384"/>
      <c r="E259" s="385"/>
      <c r="F259" s="385"/>
      <c r="G259" s="385"/>
      <c r="H259" s="386"/>
      <c r="I259" s="385"/>
      <c r="J259" s="385"/>
      <c r="K259" s="385"/>
      <c r="L259" s="385"/>
      <c r="M259" s="386"/>
      <c r="N259" s="303"/>
      <c r="O259" s="526"/>
      <c r="P259" s="527"/>
      <c r="Q259" s="528"/>
      <c r="R259" s="303"/>
      <c r="S259" s="526"/>
      <c r="T259" s="528"/>
    </row>
    <row r="260" spans="1:20">
      <c r="B260" s="512" t="s">
        <v>289</v>
      </c>
      <c r="C260" s="449" t="s">
        <v>203</v>
      </c>
      <c r="D260" s="475"/>
      <c r="E260" s="476"/>
      <c r="F260" s="476"/>
      <c r="G260" s="476"/>
      <c r="H260" s="477"/>
      <c r="I260" s="352"/>
      <c r="J260" s="354"/>
      <c r="K260" s="354"/>
      <c r="L260" s="354"/>
      <c r="M260" s="353"/>
      <c r="N260" s="303"/>
      <c r="O260" s="344"/>
      <c r="P260" s="345"/>
      <c r="Q260" s="346"/>
      <c r="R260" s="303"/>
      <c r="S260" s="344"/>
      <c r="T260" s="347"/>
    </row>
    <row r="261" spans="1:20">
      <c r="B261" s="512" t="s">
        <v>290</v>
      </c>
      <c r="C261" s="449" t="s">
        <v>203</v>
      </c>
      <c r="D261" s="475"/>
      <c r="E261" s="476"/>
      <c r="F261" s="476"/>
      <c r="G261" s="476"/>
      <c r="H261" s="477"/>
      <c r="I261" s="352"/>
      <c r="J261" s="354"/>
      <c r="K261" s="354"/>
      <c r="L261" s="354"/>
      <c r="M261" s="353"/>
      <c r="N261" s="303"/>
      <c r="O261" s="344"/>
      <c r="P261" s="345"/>
      <c r="Q261" s="346"/>
      <c r="R261" s="303"/>
      <c r="S261" s="344"/>
      <c r="T261" s="347"/>
    </row>
    <row r="262" spans="1:20">
      <c r="B262" s="515" t="s">
        <v>252</v>
      </c>
      <c r="C262" s="449" t="s">
        <v>203</v>
      </c>
      <c r="D262" s="494"/>
      <c r="E262" s="495"/>
      <c r="F262" s="495"/>
      <c r="G262" s="495"/>
      <c r="H262" s="496"/>
      <c r="I262" s="497">
        <f>SUM(I260:I261)</f>
        <v>0</v>
      </c>
      <c r="J262" s="498">
        <f>SUM(J260:J261)</f>
        <v>0</v>
      </c>
      <c r="K262" s="498">
        <f>SUM(K260:K261)</f>
        <v>0</v>
      </c>
      <c r="L262" s="498">
        <f>SUM(L260:L261)</f>
        <v>0</v>
      </c>
      <c r="M262" s="499">
        <f>SUM(M260:M261)</f>
        <v>0</v>
      </c>
      <c r="N262" s="303"/>
      <c r="O262" s="324">
        <f>SUM(D262:G262)</f>
        <v>0</v>
      </c>
      <c r="P262" s="325">
        <f>SUM(H262)</f>
        <v>0</v>
      </c>
      <c r="Q262" s="326">
        <f>SUM(D262:H262)</f>
        <v>0</v>
      </c>
      <c r="R262" s="303"/>
      <c r="S262" s="324">
        <f>SUM(I262:M262)</f>
        <v>0</v>
      </c>
      <c r="T262" s="149" t="str">
        <f>IF(Q262&lt;&gt;0,(S262-Q262)/Q262,"0")</f>
        <v>0</v>
      </c>
    </row>
    <row r="263" spans="1:20" ht="13.5" thickBot="1">
      <c r="B263" s="531" t="s">
        <v>339</v>
      </c>
      <c r="C263" s="516"/>
      <c r="D263" s="502">
        <f t="shared" ref="D263:M263" si="26">SUM(D250,D254,D258,D262)</f>
        <v>0</v>
      </c>
      <c r="E263" s="502">
        <f t="shared" si="26"/>
        <v>0</v>
      </c>
      <c r="F263" s="502">
        <f t="shared" si="26"/>
        <v>0</v>
      </c>
      <c r="G263" s="502">
        <f t="shared" si="26"/>
        <v>0</v>
      </c>
      <c r="H263" s="502">
        <f t="shared" si="26"/>
        <v>0</v>
      </c>
      <c r="I263" s="503">
        <f t="shared" si="26"/>
        <v>0</v>
      </c>
      <c r="J263" s="503">
        <f t="shared" si="26"/>
        <v>0</v>
      </c>
      <c r="K263" s="503">
        <f t="shared" si="26"/>
        <v>0</v>
      </c>
      <c r="L263" s="503">
        <f t="shared" si="26"/>
        <v>0</v>
      </c>
      <c r="M263" s="504">
        <f t="shared" si="26"/>
        <v>0</v>
      </c>
      <c r="N263" s="303"/>
      <c r="O263" s="359">
        <f>SUM(O250,O254,O258,O262)</f>
        <v>0</v>
      </c>
      <c r="P263" s="360">
        <f>SUM(P250,P254,P258,P262)</f>
        <v>0</v>
      </c>
      <c r="Q263" s="361">
        <f>SUM(Q250,Q254,Q258,Q262)</f>
        <v>0</v>
      </c>
      <c r="R263" s="303"/>
      <c r="S263" s="359">
        <f>SUM(S250,S254,S258,S262)</f>
        <v>0</v>
      </c>
      <c r="T263" s="168" t="str">
        <f>IF(Q263&lt;&gt;0,(S263-Q263)/Q263,"0")</f>
        <v>0</v>
      </c>
    </row>
    <row r="266" spans="1:20">
      <c r="D266" s="532">
        <f>SUM(D240:M240) - SUM(D263:M263)</f>
        <v>0</v>
      </c>
    </row>
    <row r="267" spans="1:20">
      <c r="A267" s="533"/>
      <c r="B267" s="534"/>
      <c r="C267" s="535"/>
      <c r="D267" s="405"/>
      <c r="E267" s="405"/>
      <c r="F267" s="405"/>
      <c r="G267" s="405"/>
      <c r="H267" s="405"/>
      <c r="I267" s="405"/>
      <c r="J267" s="405"/>
      <c r="K267" s="405"/>
      <c r="L267" s="405"/>
      <c r="M267" s="405"/>
      <c r="N267" s="405"/>
    </row>
  </sheetData>
  <mergeCells count="12">
    <mergeCell ref="B8:B9"/>
    <mergeCell ref="C8:C9"/>
    <mergeCell ref="B26:B27"/>
    <mergeCell ref="C26:C27"/>
    <mergeCell ref="B48:B49"/>
    <mergeCell ref="C48:C49"/>
    <mergeCell ref="B79:B80"/>
    <mergeCell ref="C79:C80"/>
    <mergeCell ref="B110:B111"/>
    <mergeCell ref="C110:C111"/>
    <mergeCell ref="B143:B144"/>
    <mergeCell ref="C143:C144"/>
  </mergeCells>
  <phoneticPr fontId="1" type="noConversion"/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5FFFF"/>
    <pageSetUpPr fitToPage="1"/>
  </sheetPr>
  <dimension ref="A1:AO116"/>
  <sheetViews>
    <sheetView workbookViewId="0">
      <selection sqref="A1:XFD1048576"/>
    </sheetView>
  </sheetViews>
  <sheetFormatPr defaultRowHeight="12.75"/>
  <cols>
    <col min="1" max="1" width="9.42578125" style="546" customWidth="1"/>
    <col min="2" max="2" width="4.7109375" style="546" customWidth="1"/>
    <col min="3" max="3" width="39" style="546" customWidth="1"/>
    <col min="4" max="5" width="10.85546875" style="546" bestFit="1" customWidth="1"/>
    <col min="6" max="6" width="10.140625" style="546" bestFit="1" customWidth="1"/>
    <col min="7" max="7" width="11.28515625" style="546" customWidth="1"/>
    <col min="8" max="9" width="10.85546875" style="546" bestFit="1" customWidth="1"/>
    <col min="10" max="10" width="10.140625" style="546" bestFit="1" customWidth="1"/>
    <col min="11" max="11" width="9.85546875" style="546" bestFit="1" customWidth="1"/>
    <col min="12" max="13" width="11.42578125" style="546" bestFit="1" customWidth="1"/>
    <col min="14" max="36" width="15.42578125" style="546" customWidth="1"/>
    <col min="37" max="37" width="109.28515625" style="546" customWidth="1"/>
    <col min="38" max="16384" width="9.140625" style="546"/>
  </cols>
  <sheetData>
    <row r="1" spans="1:36" s="537" customFormat="1" ht="26.25">
      <c r="A1" s="536" t="s">
        <v>340</v>
      </c>
      <c r="D1" s="536"/>
      <c r="E1" s="538"/>
      <c r="F1" s="539"/>
      <c r="G1" s="539"/>
      <c r="I1" s="540"/>
      <c r="J1" s="540"/>
      <c r="L1" s="540"/>
    </row>
    <row r="2" spans="1:36" s="537" customFormat="1" ht="18">
      <c r="A2" s="541" t="s">
        <v>988</v>
      </c>
      <c r="E2" s="542"/>
    </row>
    <row r="3" spans="1:36" s="544" customFormat="1" ht="18.75" thickBot="1">
      <c r="A3" s="543" t="s">
        <v>341</v>
      </c>
      <c r="D3" s="543"/>
      <c r="E3" s="545"/>
    </row>
    <row r="5" spans="1:36">
      <c r="B5" s="547" t="s">
        <v>342</v>
      </c>
      <c r="C5" s="547"/>
    </row>
    <row r="6" spans="1:36" ht="13.5" thickBot="1">
      <c r="B6" s="547"/>
      <c r="C6" s="547"/>
    </row>
    <row r="7" spans="1:36">
      <c r="B7" s="547"/>
      <c r="C7" s="548"/>
      <c r="D7" s="170" t="s">
        <v>191</v>
      </c>
      <c r="E7" s="171"/>
      <c r="F7" s="171"/>
      <c r="G7" s="171"/>
      <c r="H7" s="172"/>
      <c r="I7" s="171" t="s">
        <v>192</v>
      </c>
      <c r="J7" s="173"/>
      <c r="K7" s="173"/>
      <c r="L7" s="173"/>
      <c r="M7" s="172"/>
      <c r="N7" s="549"/>
      <c r="O7" s="244" t="s">
        <v>191</v>
      </c>
      <c r="P7" s="245"/>
      <c r="Q7" s="246"/>
      <c r="S7" s="1480" t="s">
        <v>192</v>
      </c>
      <c r="T7" s="1481"/>
      <c r="U7" s="550"/>
      <c r="W7" s="550"/>
      <c r="X7" s="550"/>
      <c r="Y7" s="550"/>
      <c r="Z7" s="550"/>
      <c r="AA7" s="550"/>
      <c r="AB7" s="550"/>
      <c r="AC7" s="550"/>
      <c r="AD7" s="550"/>
      <c r="AE7" s="550"/>
      <c r="AF7" s="550"/>
      <c r="AG7" s="550"/>
      <c r="AH7" s="550"/>
      <c r="AI7" s="550"/>
      <c r="AJ7" s="550"/>
    </row>
    <row r="8" spans="1:36">
      <c r="C8" s="551"/>
      <c r="D8" s="247" t="s">
        <v>79</v>
      </c>
      <c r="E8" s="248" t="s">
        <v>80</v>
      </c>
      <c r="F8" s="248" t="s">
        <v>81</v>
      </c>
      <c r="G8" s="248" t="s">
        <v>82</v>
      </c>
      <c r="H8" s="249" t="s">
        <v>44</v>
      </c>
      <c r="I8" s="552" t="s">
        <v>193</v>
      </c>
      <c r="J8" s="248" t="s">
        <v>194</v>
      </c>
      <c r="K8" s="248" t="s">
        <v>195</v>
      </c>
      <c r="L8" s="248" t="s">
        <v>196</v>
      </c>
      <c r="M8" s="249" t="s">
        <v>197</v>
      </c>
      <c r="N8" s="549"/>
      <c r="O8" s="247" t="s">
        <v>198</v>
      </c>
      <c r="P8" s="248" t="s">
        <v>199</v>
      </c>
      <c r="Q8" s="249" t="s">
        <v>200</v>
      </c>
      <c r="S8" s="247" t="s">
        <v>199</v>
      </c>
      <c r="T8" s="249" t="s">
        <v>201</v>
      </c>
      <c r="U8" s="553"/>
      <c r="W8" s="553"/>
      <c r="X8" s="553"/>
      <c r="Y8" s="553"/>
      <c r="Z8" s="553"/>
      <c r="AA8" s="553"/>
      <c r="AB8" s="553"/>
      <c r="AC8" s="553"/>
      <c r="AD8" s="553"/>
      <c r="AE8" s="553"/>
      <c r="AF8" s="553"/>
      <c r="AG8" s="553"/>
      <c r="AH8" s="553"/>
      <c r="AI8" s="553"/>
      <c r="AJ8" s="553"/>
    </row>
    <row r="9" spans="1:36">
      <c r="C9" s="554"/>
      <c r="D9" s="555" t="s">
        <v>343</v>
      </c>
      <c r="E9" s="556" t="s">
        <v>343</v>
      </c>
      <c r="F9" s="556" t="s">
        <v>343</v>
      </c>
      <c r="G9" s="556" t="s">
        <v>343</v>
      </c>
      <c r="H9" s="557" t="s">
        <v>343</v>
      </c>
      <c r="I9" s="558" t="s">
        <v>343</v>
      </c>
      <c r="J9" s="556" t="s">
        <v>343</v>
      </c>
      <c r="K9" s="556" t="s">
        <v>343</v>
      </c>
      <c r="L9" s="556" t="s">
        <v>343</v>
      </c>
      <c r="M9" s="557" t="s">
        <v>343</v>
      </c>
      <c r="N9" s="559"/>
      <c r="O9" s="555" t="s">
        <v>343</v>
      </c>
      <c r="P9" s="556" t="s">
        <v>343</v>
      </c>
      <c r="Q9" s="557" t="s">
        <v>343</v>
      </c>
      <c r="S9" s="555" t="s">
        <v>343</v>
      </c>
      <c r="T9" s="557" t="s">
        <v>343</v>
      </c>
      <c r="U9" s="560"/>
      <c r="W9" s="560"/>
      <c r="X9" s="560"/>
      <c r="Y9" s="560"/>
      <c r="Z9" s="560"/>
      <c r="AA9" s="560"/>
      <c r="AB9" s="560"/>
      <c r="AC9" s="560"/>
      <c r="AD9" s="560"/>
      <c r="AE9" s="560"/>
      <c r="AF9" s="560"/>
      <c r="AG9" s="560"/>
      <c r="AH9" s="560"/>
      <c r="AI9" s="560"/>
      <c r="AJ9" s="560"/>
    </row>
    <row r="10" spans="1:36">
      <c r="C10" s="561" t="s">
        <v>344</v>
      </c>
      <c r="D10" s="562"/>
      <c r="E10" s="563"/>
      <c r="F10" s="563"/>
      <c r="G10" s="563"/>
      <c r="H10" s="564"/>
      <c r="I10" s="563"/>
      <c r="J10" s="563"/>
      <c r="K10" s="563"/>
      <c r="L10" s="563"/>
      <c r="M10" s="564"/>
      <c r="N10" s="559"/>
      <c r="O10" s="562"/>
      <c r="P10" s="197"/>
      <c r="Q10" s="198"/>
      <c r="S10" s="562"/>
      <c r="T10" s="565"/>
      <c r="U10" s="566"/>
      <c r="W10" s="566"/>
      <c r="X10" s="566"/>
      <c r="Y10" s="566"/>
      <c r="Z10" s="566"/>
      <c r="AA10" s="566"/>
      <c r="AB10" s="566"/>
      <c r="AC10" s="566"/>
      <c r="AD10" s="566"/>
      <c r="AE10" s="566"/>
      <c r="AF10" s="566"/>
      <c r="AG10" s="566"/>
      <c r="AH10" s="566"/>
      <c r="AI10" s="566"/>
      <c r="AJ10" s="566"/>
    </row>
    <row r="11" spans="1:36">
      <c r="C11" s="567" t="s">
        <v>345</v>
      </c>
      <c r="D11" s="186">
        <v>0.2</v>
      </c>
      <c r="E11" s="187">
        <v>0.1</v>
      </c>
      <c r="F11" s="187">
        <v>0.3</v>
      </c>
      <c r="G11" s="187">
        <v>0.3</v>
      </c>
      <c r="H11" s="188">
        <v>0.3</v>
      </c>
      <c r="I11" s="187">
        <v>0.2</v>
      </c>
      <c r="J11" s="189">
        <v>0.2</v>
      </c>
      <c r="K11" s="189">
        <v>0.2</v>
      </c>
      <c r="L11" s="189">
        <v>0.2</v>
      </c>
      <c r="M11" s="188">
        <v>0.2</v>
      </c>
      <c r="N11" s="568"/>
      <c r="O11" s="145">
        <v>0.6</v>
      </c>
      <c r="P11" s="146">
        <v>0.6</v>
      </c>
      <c r="Q11" s="147">
        <v>1.2</v>
      </c>
      <c r="R11" s="569"/>
      <c r="S11" s="145">
        <v>1</v>
      </c>
      <c r="T11" s="149">
        <v>-0.1666666666666668</v>
      </c>
      <c r="U11" s="144"/>
      <c r="V11" s="144"/>
      <c r="W11" s="144"/>
      <c r="X11" s="144"/>
      <c r="Y11" s="144"/>
      <c r="Z11" s="144"/>
      <c r="AA11"/>
      <c r="AB11"/>
      <c r="AC11" s="570"/>
      <c r="AD11" s="570"/>
      <c r="AE11" s="570"/>
      <c r="AF11" s="570"/>
      <c r="AG11" s="570"/>
      <c r="AH11" s="570"/>
      <c r="AI11" s="570"/>
      <c r="AJ11" s="570"/>
    </row>
    <row r="12" spans="1:36">
      <c r="C12" s="567" t="s">
        <v>346</v>
      </c>
      <c r="D12" s="186">
        <v>1</v>
      </c>
      <c r="E12" s="187">
        <v>0.9</v>
      </c>
      <c r="F12" s="187">
        <v>0.5</v>
      </c>
      <c r="G12" s="187">
        <v>1.2</v>
      </c>
      <c r="H12" s="188">
        <v>1.5</v>
      </c>
      <c r="I12" s="187">
        <v>1.1000000000000001</v>
      </c>
      <c r="J12" s="189">
        <v>1.2</v>
      </c>
      <c r="K12" s="189">
        <v>1.2</v>
      </c>
      <c r="L12" s="189">
        <v>1.2</v>
      </c>
      <c r="M12" s="188">
        <v>1.2</v>
      </c>
      <c r="N12" s="568"/>
      <c r="O12" s="145">
        <v>2.4</v>
      </c>
      <c r="P12" s="146">
        <v>2.7</v>
      </c>
      <c r="Q12" s="147">
        <v>5.0999999999999996</v>
      </c>
      <c r="R12" s="569"/>
      <c r="S12" s="145">
        <v>5.9</v>
      </c>
      <c r="T12" s="149">
        <v>0.15686274509803935</v>
      </c>
      <c r="U12" s="144"/>
      <c r="V12" s="144"/>
      <c r="W12" s="144"/>
      <c r="X12" s="144"/>
      <c r="Y12" s="144"/>
      <c r="Z12" s="144"/>
      <c r="AA12"/>
      <c r="AB12"/>
      <c r="AC12" s="570"/>
      <c r="AD12" s="570"/>
      <c r="AE12" s="570"/>
      <c r="AF12" s="570"/>
      <c r="AG12" s="570"/>
      <c r="AH12" s="570"/>
      <c r="AI12" s="570"/>
      <c r="AJ12" s="570"/>
    </row>
    <row r="13" spans="1:36">
      <c r="C13" s="567" t="s">
        <v>347</v>
      </c>
      <c r="D13" s="186">
        <v>4</v>
      </c>
      <c r="E13" s="187">
        <v>2.4</v>
      </c>
      <c r="F13" s="187">
        <v>1.3</v>
      </c>
      <c r="G13" s="187">
        <v>1</v>
      </c>
      <c r="H13" s="188">
        <v>1.5</v>
      </c>
      <c r="I13" s="187">
        <v>1</v>
      </c>
      <c r="J13" s="189">
        <v>1</v>
      </c>
      <c r="K13" s="189">
        <v>0.7</v>
      </c>
      <c r="L13" s="189">
        <v>1.65</v>
      </c>
      <c r="M13" s="188">
        <v>0.8</v>
      </c>
      <c r="N13" s="568"/>
      <c r="O13" s="145">
        <v>7.7</v>
      </c>
      <c r="P13" s="146">
        <v>2.5</v>
      </c>
      <c r="Q13" s="147">
        <v>10.199999999999999</v>
      </c>
      <c r="R13" s="569"/>
      <c r="S13" s="145">
        <v>7.2</v>
      </c>
      <c r="T13" s="149">
        <v>-0.29411764705882354</v>
      </c>
      <c r="U13" s="144"/>
      <c r="V13" s="144"/>
      <c r="W13" s="144"/>
      <c r="X13" s="144"/>
      <c r="Y13" s="144"/>
      <c r="Z13" s="144"/>
      <c r="AA13"/>
      <c r="AB13"/>
      <c r="AC13" s="570"/>
      <c r="AD13" s="570"/>
      <c r="AE13" s="570"/>
      <c r="AF13" s="570"/>
      <c r="AG13" s="570"/>
      <c r="AH13" s="570"/>
      <c r="AI13" s="570"/>
      <c r="AJ13" s="570"/>
    </row>
    <row r="14" spans="1:36">
      <c r="C14" s="567" t="s">
        <v>348</v>
      </c>
      <c r="D14" s="186">
        <v>3.2</v>
      </c>
      <c r="E14" s="187">
        <v>5.4</v>
      </c>
      <c r="F14" s="187">
        <v>3.6</v>
      </c>
      <c r="G14" s="187">
        <v>4.2</v>
      </c>
      <c r="H14" s="188">
        <v>0.9</v>
      </c>
      <c r="I14" s="187">
        <v>1</v>
      </c>
      <c r="J14" s="189">
        <v>1.3</v>
      </c>
      <c r="K14" s="189">
        <v>2.1</v>
      </c>
      <c r="L14" s="189">
        <v>2.8</v>
      </c>
      <c r="M14" s="188">
        <v>1</v>
      </c>
      <c r="N14" s="568"/>
      <c r="O14" s="145">
        <v>12.2</v>
      </c>
      <c r="P14" s="146">
        <v>5.0999999999999996</v>
      </c>
      <c r="Q14" s="147">
        <v>17.3</v>
      </c>
      <c r="R14" s="569"/>
      <c r="S14" s="145">
        <v>20.3</v>
      </c>
      <c r="T14" s="149">
        <v>0.17341040462427745</v>
      </c>
      <c r="U14" s="144"/>
      <c r="V14" s="144"/>
      <c r="W14" s="144"/>
      <c r="X14" s="144"/>
      <c r="Y14" s="144"/>
      <c r="Z14" s="144"/>
      <c r="AA14"/>
      <c r="AB14"/>
      <c r="AC14" s="570"/>
      <c r="AD14" s="570"/>
      <c r="AE14" s="570"/>
      <c r="AF14" s="570"/>
      <c r="AG14" s="570"/>
      <c r="AH14" s="570"/>
      <c r="AI14" s="570"/>
      <c r="AJ14" s="570"/>
    </row>
    <row r="15" spans="1:36" ht="25.5">
      <c r="C15" s="571" t="s">
        <v>989</v>
      </c>
      <c r="D15" s="263"/>
      <c r="E15" s="264"/>
      <c r="F15" s="264"/>
      <c r="G15" s="187">
        <v>0</v>
      </c>
      <c r="H15" s="188">
        <v>0</v>
      </c>
      <c r="I15" s="187">
        <v>0</v>
      </c>
      <c r="J15" s="189">
        <v>0</v>
      </c>
      <c r="K15" s="189">
        <v>0</v>
      </c>
      <c r="L15" s="189">
        <v>0</v>
      </c>
      <c r="M15" s="188">
        <v>0</v>
      </c>
      <c r="N15" s="569"/>
      <c r="O15" s="145">
        <v>0</v>
      </c>
      <c r="P15" s="146">
        <v>0</v>
      </c>
      <c r="Q15" s="147">
        <v>0</v>
      </c>
      <c r="R15" s="569"/>
      <c r="S15" s="145">
        <v>0</v>
      </c>
      <c r="T15" s="149" t="s">
        <v>987</v>
      </c>
      <c r="U15" s="144"/>
      <c r="V15" s="144"/>
      <c r="W15" s="144"/>
      <c r="X15" s="144"/>
      <c r="Y15" s="144"/>
      <c r="Z15" s="144"/>
      <c r="AA15"/>
      <c r="AB15"/>
      <c r="AC15" s="570"/>
      <c r="AD15" s="570"/>
      <c r="AE15" s="570"/>
      <c r="AF15" s="570"/>
      <c r="AG15" s="570"/>
      <c r="AH15" s="570"/>
      <c r="AI15" s="570"/>
      <c r="AJ15" s="570"/>
    </row>
    <row r="16" spans="1:36">
      <c r="C16" s="571" t="s">
        <v>200</v>
      </c>
      <c r="D16" s="155">
        <v>8.4</v>
      </c>
      <c r="E16" s="158">
        <v>8.8000000000000007</v>
      </c>
      <c r="F16" s="158">
        <v>5.7</v>
      </c>
      <c r="G16" s="158">
        <v>6.7</v>
      </c>
      <c r="H16" s="157">
        <v>4.2</v>
      </c>
      <c r="I16" s="158">
        <v>3.3</v>
      </c>
      <c r="J16" s="156">
        <v>3.7</v>
      </c>
      <c r="K16" s="156">
        <v>4.2</v>
      </c>
      <c r="L16" s="156">
        <v>5.85</v>
      </c>
      <c r="M16" s="157">
        <v>3.2</v>
      </c>
      <c r="N16" s="572"/>
      <c r="O16" s="155">
        <v>22.9</v>
      </c>
      <c r="P16" s="156">
        <v>10.9</v>
      </c>
      <c r="Q16" s="157">
        <v>33.799999999999997</v>
      </c>
      <c r="R16" s="572"/>
      <c r="S16" s="155">
        <v>34.4</v>
      </c>
      <c r="T16" s="573">
        <v>1.7751479289940659E-2</v>
      </c>
      <c r="U16" s="144"/>
      <c r="V16" s="144"/>
      <c r="W16" s="144"/>
      <c r="X16" s="144"/>
      <c r="Y16" s="144"/>
      <c r="Z16" s="144"/>
      <c r="AA16"/>
      <c r="AB16"/>
      <c r="AC16" s="574"/>
      <c r="AD16" s="574"/>
      <c r="AE16" s="574"/>
      <c r="AF16" s="574"/>
      <c r="AG16" s="574"/>
      <c r="AH16" s="574"/>
      <c r="AI16" s="574"/>
      <c r="AJ16" s="574"/>
    </row>
    <row r="17" spans="1:36">
      <c r="C17" s="571"/>
      <c r="D17" s="575"/>
      <c r="E17" s="576"/>
      <c r="F17" s="576"/>
      <c r="G17" s="576"/>
      <c r="H17" s="577"/>
      <c r="I17" s="576"/>
      <c r="J17" s="576"/>
      <c r="K17" s="576"/>
      <c r="L17" s="576"/>
      <c r="M17" s="577"/>
      <c r="N17" s="568"/>
      <c r="O17" s="575"/>
      <c r="P17" s="578"/>
      <c r="Q17" s="579"/>
      <c r="R17" s="568"/>
      <c r="S17" s="575"/>
      <c r="T17" s="580"/>
      <c r="U17" s="144"/>
      <c r="V17" s="144"/>
      <c r="W17" s="144"/>
      <c r="X17" s="144"/>
      <c r="Y17" s="144"/>
      <c r="Z17" s="144"/>
      <c r="AA17"/>
      <c r="AB17"/>
      <c r="AC17" s="570"/>
      <c r="AD17" s="570"/>
      <c r="AE17" s="570"/>
      <c r="AF17" s="570"/>
      <c r="AG17" s="570"/>
      <c r="AH17" s="570"/>
      <c r="AI17" s="570"/>
      <c r="AJ17" s="570"/>
    </row>
    <row r="18" spans="1:36">
      <c r="C18" s="571" t="s">
        <v>255</v>
      </c>
      <c r="D18" s="263"/>
      <c r="E18" s="264"/>
      <c r="F18" s="264"/>
      <c r="G18" s="187">
        <v>0</v>
      </c>
      <c r="H18" s="188">
        <v>0</v>
      </c>
      <c r="I18" s="187">
        <v>0</v>
      </c>
      <c r="J18" s="189">
        <v>0</v>
      </c>
      <c r="K18" s="189">
        <v>0</v>
      </c>
      <c r="L18" s="189">
        <v>0</v>
      </c>
      <c r="M18" s="188">
        <v>0</v>
      </c>
      <c r="N18" s="569"/>
      <c r="O18" s="145">
        <v>0</v>
      </c>
      <c r="P18" s="146">
        <v>0</v>
      </c>
      <c r="Q18" s="147">
        <v>0</v>
      </c>
      <c r="R18" s="569"/>
      <c r="S18" s="145">
        <v>0</v>
      </c>
      <c r="T18" s="149" t="s">
        <v>987</v>
      </c>
      <c r="U18" s="144"/>
      <c r="V18" s="144"/>
      <c r="W18" s="144"/>
      <c r="X18" s="144"/>
      <c r="Y18" s="144"/>
      <c r="Z18" s="144"/>
      <c r="AA18"/>
      <c r="AB18"/>
      <c r="AC18" s="570"/>
      <c r="AD18" s="570"/>
      <c r="AE18" s="570"/>
      <c r="AF18" s="570"/>
      <c r="AG18" s="570"/>
      <c r="AH18" s="570"/>
      <c r="AI18" s="570"/>
      <c r="AJ18" s="570"/>
    </row>
    <row r="19" spans="1:36" ht="13.5" thickBot="1">
      <c r="C19" s="581" t="s">
        <v>256</v>
      </c>
      <c r="D19" s="266"/>
      <c r="E19" s="267"/>
      <c r="F19" s="267"/>
      <c r="G19" s="268">
        <v>0</v>
      </c>
      <c r="H19" s="269">
        <v>0</v>
      </c>
      <c r="I19" s="268">
        <v>0</v>
      </c>
      <c r="J19" s="270">
        <v>0</v>
      </c>
      <c r="K19" s="270">
        <v>0</v>
      </c>
      <c r="L19" s="270">
        <v>0</v>
      </c>
      <c r="M19" s="269">
        <v>0</v>
      </c>
      <c r="N19" s="569"/>
      <c r="O19" s="165">
        <v>0</v>
      </c>
      <c r="P19" s="166">
        <v>0</v>
      </c>
      <c r="Q19" s="167">
        <v>0</v>
      </c>
      <c r="R19" s="569"/>
      <c r="S19" s="165">
        <v>0</v>
      </c>
      <c r="T19" s="168" t="s">
        <v>987</v>
      </c>
      <c r="U19" s="144"/>
      <c r="V19" s="144"/>
      <c r="W19" s="144"/>
      <c r="X19" s="144"/>
      <c r="Y19" s="144"/>
      <c r="Z19" s="144"/>
      <c r="AA19"/>
      <c r="AB19"/>
      <c r="AC19" s="570"/>
      <c r="AD19" s="570"/>
      <c r="AE19" s="570"/>
      <c r="AF19" s="570"/>
      <c r="AG19" s="570"/>
      <c r="AH19" s="570"/>
      <c r="AI19" s="570"/>
      <c r="AJ19" s="570"/>
    </row>
    <row r="20" spans="1:36">
      <c r="U20" s="582"/>
    </row>
    <row r="21" spans="1:36" s="583" customFormat="1"/>
    <row r="22" spans="1:36" s="583" customFormat="1">
      <c r="B22" s="547" t="s">
        <v>349</v>
      </c>
    </row>
    <row r="23" spans="1:36" s="583" customFormat="1" ht="13.5" thickBot="1">
      <c r="A23" s="547"/>
      <c r="B23" s="547"/>
    </row>
    <row r="24" spans="1:36" s="583" customFormat="1" ht="27" customHeight="1">
      <c r="A24" s="547"/>
      <c r="B24" s="547"/>
      <c r="C24" s="1482" t="s">
        <v>350</v>
      </c>
      <c r="D24" s="170" t="s">
        <v>351</v>
      </c>
      <c r="E24" s="171"/>
      <c r="F24" s="171"/>
      <c r="G24" s="584"/>
      <c r="H24" s="170" t="s">
        <v>352</v>
      </c>
      <c r="I24" s="171"/>
      <c r="J24" s="171"/>
      <c r="K24" s="584"/>
      <c r="L24" s="585" t="s">
        <v>351</v>
      </c>
      <c r="M24" s="586" t="s">
        <v>352</v>
      </c>
    </row>
    <row r="25" spans="1:36" s="583" customFormat="1">
      <c r="A25" s="547"/>
      <c r="B25" s="547"/>
      <c r="C25" s="1483"/>
      <c r="D25" s="587" t="s">
        <v>353</v>
      </c>
      <c r="E25" s="588" t="s">
        <v>354</v>
      </c>
      <c r="F25" s="588" t="s">
        <v>355</v>
      </c>
      <c r="G25" s="589" t="s">
        <v>356</v>
      </c>
      <c r="H25" s="587" t="s">
        <v>353</v>
      </c>
      <c r="I25" s="588" t="s">
        <v>354</v>
      </c>
      <c r="J25" s="588" t="s">
        <v>355</v>
      </c>
      <c r="K25" s="589" t="s">
        <v>356</v>
      </c>
      <c r="L25" s="590" t="s">
        <v>200</v>
      </c>
      <c r="M25" s="589" t="s">
        <v>200</v>
      </c>
    </row>
    <row r="26" spans="1:36" s="583" customFormat="1" ht="18" customHeight="1">
      <c r="A26" s="547"/>
      <c r="B26" s="547"/>
      <c r="C26" s="591" t="s">
        <v>357</v>
      </c>
      <c r="D26" s="592"/>
      <c r="E26" s="593"/>
      <c r="F26" s="593"/>
      <c r="G26" s="594"/>
      <c r="H26" s="592"/>
      <c r="I26" s="593"/>
      <c r="J26" s="593"/>
      <c r="K26" s="594"/>
      <c r="L26" s="595">
        <f>SUM(D26:G26)</f>
        <v>0</v>
      </c>
      <c r="M26" s="596">
        <f>SUM(H26:K26)</f>
        <v>0</v>
      </c>
    </row>
    <row r="27" spans="1:36" s="583" customFormat="1" ht="18" customHeight="1">
      <c r="A27" s="547"/>
      <c r="B27" s="547"/>
      <c r="C27" s="597" t="s">
        <v>358</v>
      </c>
      <c r="D27" s="592"/>
      <c r="E27" s="593"/>
      <c r="F27" s="593"/>
      <c r="G27" s="594"/>
      <c r="H27" s="592"/>
      <c r="I27" s="593"/>
      <c r="J27" s="593"/>
      <c r="K27" s="594"/>
      <c r="L27" s="595">
        <f>SUM(D27:G27)</f>
        <v>0</v>
      </c>
      <c r="M27" s="596">
        <f>SUM(H27:K27)</f>
        <v>0</v>
      </c>
    </row>
    <row r="28" spans="1:36" s="583" customFormat="1" ht="18" customHeight="1">
      <c r="A28" s="547"/>
      <c r="B28" s="547"/>
      <c r="C28" s="597" t="s">
        <v>359</v>
      </c>
      <c r="D28" s="592"/>
      <c r="E28" s="593"/>
      <c r="F28" s="593"/>
      <c r="G28" s="594"/>
      <c r="H28" s="592"/>
      <c r="I28" s="593"/>
      <c r="J28" s="593"/>
      <c r="K28" s="594"/>
      <c r="L28" s="595">
        <f>SUM(D28:G28)</f>
        <v>0</v>
      </c>
      <c r="M28" s="596">
        <f>SUM(H28:K28)</f>
        <v>0</v>
      </c>
    </row>
    <row r="29" spans="1:36" s="583" customFormat="1" ht="26.25" thickBot="1">
      <c r="A29" s="547"/>
      <c r="B29" s="547"/>
      <c r="C29" s="598" t="s">
        <v>360</v>
      </c>
      <c r="D29" s="599" t="str">
        <f>IF(D27,D27/D28,"-")</f>
        <v>-</v>
      </c>
      <c r="E29" s="600" t="str">
        <f t="shared" ref="E29:M29" si="0">IF(E27,E27/E28,"-")</f>
        <v>-</v>
      </c>
      <c r="F29" s="600" t="str">
        <f t="shared" si="0"/>
        <v>-</v>
      </c>
      <c r="G29" s="601" t="str">
        <f t="shared" si="0"/>
        <v>-</v>
      </c>
      <c r="H29" s="599" t="str">
        <f t="shared" si="0"/>
        <v>-</v>
      </c>
      <c r="I29" s="600" t="str">
        <f t="shared" si="0"/>
        <v>-</v>
      </c>
      <c r="J29" s="600" t="str">
        <f t="shared" si="0"/>
        <v>-</v>
      </c>
      <c r="K29" s="601" t="str">
        <f t="shared" si="0"/>
        <v>-</v>
      </c>
      <c r="L29" s="602" t="str">
        <f t="shared" si="0"/>
        <v>-</v>
      </c>
      <c r="M29" s="603" t="str">
        <f t="shared" si="0"/>
        <v>-</v>
      </c>
    </row>
    <row r="30" spans="1:36" s="583" customFormat="1">
      <c r="A30" s="547"/>
      <c r="B30" s="547"/>
      <c r="C30" s="604"/>
      <c r="D30" s="605"/>
      <c r="E30" s="605"/>
      <c r="F30" s="605"/>
      <c r="G30" s="605"/>
    </row>
    <row r="31" spans="1:36" s="583" customFormat="1" ht="13.5" thickBot="1">
      <c r="A31" s="547"/>
      <c r="B31" s="547"/>
      <c r="C31" s="604"/>
      <c r="D31" s="605"/>
      <c r="E31" s="605"/>
      <c r="F31" s="605"/>
      <c r="G31" s="605"/>
    </row>
    <row r="32" spans="1:36" s="583" customFormat="1" ht="30" customHeight="1">
      <c r="A32" s="547"/>
      <c r="B32" s="547"/>
      <c r="C32" s="1484" t="s">
        <v>361</v>
      </c>
      <c r="D32" s="170" t="s">
        <v>351</v>
      </c>
      <c r="E32" s="171"/>
      <c r="F32" s="171"/>
      <c r="G32" s="584"/>
      <c r="H32" s="170" t="s">
        <v>352</v>
      </c>
      <c r="I32" s="171"/>
      <c r="J32" s="171"/>
      <c r="K32" s="584"/>
      <c r="L32" s="585" t="s">
        <v>351</v>
      </c>
      <c r="M32" s="586" t="s">
        <v>352</v>
      </c>
    </row>
    <row r="33" spans="1:37" s="583" customFormat="1">
      <c r="A33" s="547"/>
      <c r="B33" s="547"/>
      <c r="C33" s="1485"/>
      <c r="D33" s="587" t="s">
        <v>353</v>
      </c>
      <c r="E33" s="588" t="s">
        <v>354</v>
      </c>
      <c r="F33" s="588" t="s">
        <v>355</v>
      </c>
      <c r="G33" s="589" t="s">
        <v>356</v>
      </c>
      <c r="H33" s="587" t="s">
        <v>353</v>
      </c>
      <c r="I33" s="588" t="s">
        <v>354</v>
      </c>
      <c r="J33" s="588" t="s">
        <v>355</v>
      </c>
      <c r="K33" s="589" t="s">
        <v>356</v>
      </c>
      <c r="L33" s="590" t="s">
        <v>200</v>
      </c>
      <c r="M33" s="589" t="s">
        <v>200</v>
      </c>
    </row>
    <row r="34" spans="1:37" s="583" customFormat="1" ht="25.5">
      <c r="A34" s="547"/>
      <c r="B34" s="547"/>
      <c r="C34" s="606" t="s">
        <v>362</v>
      </c>
      <c r="D34" s="592"/>
      <c r="E34" s="593"/>
      <c r="F34" s="593"/>
      <c r="G34" s="594"/>
      <c r="H34" s="592"/>
      <c r="I34" s="593"/>
      <c r="J34" s="593"/>
      <c r="K34" s="594"/>
      <c r="L34" s="595">
        <f t="shared" ref="L34:L39" si="1">SUM(D34:G34)</f>
        <v>0</v>
      </c>
      <c r="M34" s="596">
        <f t="shared" ref="M34:M39" si="2">SUM(H34:K34)</f>
        <v>0</v>
      </c>
    </row>
    <row r="35" spans="1:37" s="583" customFormat="1" ht="25.5">
      <c r="A35" s="547"/>
      <c r="B35" s="547"/>
      <c r="C35" s="606" t="s">
        <v>363</v>
      </c>
      <c r="D35" s="592"/>
      <c r="E35" s="593"/>
      <c r="F35" s="593"/>
      <c r="G35" s="594"/>
      <c r="H35" s="592"/>
      <c r="I35" s="593"/>
      <c r="J35" s="593"/>
      <c r="K35" s="594"/>
      <c r="L35" s="595">
        <f t="shared" si="1"/>
        <v>0</v>
      </c>
      <c r="M35" s="596">
        <f t="shared" si="2"/>
        <v>0</v>
      </c>
    </row>
    <row r="36" spans="1:37" s="583" customFormat="1" ht="25.5">
      <c r="A36" s="547"/>
      <c r="B36" s="547"/>
      <c r="C36" s="606" t="s">
        <v>364</v>
      </c>
      <c r="D36" s="592"/>
      <c r="E36" s="593"/>
      <c r="F36" s="593"/>
      <c r="G36" s="594"/>
      <c r="H36" s="592"/>
      <c r="I36" s="593"/>
      <c r="J36" s="593"/>
      <c r="K36" s="594"/>
      <c r="L36" s="595">
        <f t="shared" si="1"/>
        <v>0</v>
      </c>
      <c r="M36" s="596">
        <f t="shared" si="2"/>
        <v>0</v>
      </c>
    </row>
    <row r="37" spans="1:37" s="583" customFormat="1" ht="38.25">
      <c r="A37" s="547"/>
      <c r="B37" s="547"/>
      <c r="C37" s="606" t="s">
        <v>365</v>
      </c>
      <c r="D37" s="607" t="str">
        <f>IF(D35,D35/D36,"-")</f>
        <v>-</v>
      </c>
      <c r="E37" s="608" t="str">
        <f t="shared" ref="E37:M37" si="3">IF(E35,E35/E36,"-")</f>
        <v>-</v>
      </c>
      <c r="F37" s="608" t="str">
        <f t="shared" si="3"/>
        <v>-</v>
      </c>
      <c r="G37" s="609" t="str">
        <f t="shared" si="3"/>
        <v>-</v>
      </c>
      <c r="H37" s="607" t="str">
        <f t="shared" si="3"/>
        <v>-</v>
      </c>
      <c r="I37" s="608" t="str">
        <f t="shared" si="3"/>
        <v>-</v>
      </c>
      <c r="J37" s="608" t="str">
        <f t="shared" si="3"/>
        <v>-</v>
      </c>
      <c r="K37" s="609" t="str">
        <f t="shared" si="3"/>
        <v>-</v>
      </c>
      <c r="L37" s="610" t="str">
        <f t="shared" si="3"/>
        <v>-</v>
      </c>
      <c r="M37" s="611" t="str">
        <f t="shared" si="3"/>
        <v>-</v>
      </c>
    </row>
    <row r="38" spans="1:37" s="583" customFormat="1" ht="25.5">
      <c r="A38" s="547"/>
      <c r="B38" s="547"/>
      <c r="C38" s="606" t="s">
        <v>366</v>
      </c>
      <c r="D38" s="592"/>
      <c r="E38" s="593"/>
      <c r="F38" s="593"/>
      <c r="G38" s="594"/>
      <c r="H38" s="592"/>
      <c r="I38" s="593"/>
      <c r="J38" s="593"/>
      <c r="K38" s="594"/>
      <c r="L38" s="595">
        <f t="shared" si="1"/>
        <v>0</v>
      </c>
      <c r="M38" s="596">
        <f t="shared" si="2"/>
        <v>0</v>
      </c>
    </row>
    <row r="39" spans="1:37" s="583" customFormat="1" ht="26.25" thickBot="1">
      <c r="A39" s="547"/>
      <c r="B39" s="547"/>
      <c r="C39" s="612" t="s">
        <v>367</v>
      </c>
      <c r="D39" s="613"/>
      <c r="E39" s="614"/>
      <c r="F39" s="614"/>
      <c r="G39" s="615"/>
      <c r="H39" s="613"/>
      <c r="I39" s="614"/>
      <c r="J39" s="614"/>
      <c r="K39" s="615"/>
      <c r="L39" s="616">
        <f t="shared" si="1"/>
        <v>0</v>
      </c>
      <c r="M39" s="617">
        <f t="shared" si="2"/>
        <v>0</v>
      </c>
    </row>
    <row r="41" spans="1:37">
      <c r="B41" s="547" t="s">
        <v>368</v>
      </c>
    </row>
    <row r="42" spans="1:37" ht="13.5" thickBot="1"/>
    <row r="43" spans="1:37" ht="13.5" thickBot="1">
      <c r="B43" s="618"/>
      <c r="C43" s="1486" t="s">
        <v>369</v>
      </c>
      <c r="D43" s="1487"/>
      <c r="E43" s="1487"/>
      <c r="F43" s="1487"/>
      <c r="G43" s="1487"/>
      <c r="H43" s="1487"/>
      <c r="I43" s="1487"/>
      <c r="J43" s="1487"/>
      <c r="K43" s="1488"/>
      <c r="L43" s="1480" t="s">
        <v>370</v>
      </c>
      <c r="M43" s="1489"/>
      <c r="N43" s="1489"/>
      <c r="O43" s="1489"/>
      <c r="P43" s="1490"/>
      <c r="Q43" s="1480" t="s">
        <v>371</v>
      </c>
      <c r="R43" s="1489"/>
      <c r="S43" s="1489"/>
      <c r="T43" s="1489"/>
      <c r="U43" s="1490"/>
      <c r="V43" s="1473" t="s">
        <v>372</v>
      </c>
      <c r="W43" s="1474"/>
      <c r="X43" s="1474"/>
      <c r="Y43" s="1474"/>
      <c r="Z43" s="1474"/>
      <c r="AA43" s="1474"/>
      <c r="AB43" s="1474"/>
      <c r="AC43" s="1474"/>
      <c r="AD43" s="1474"/>
      <c r="AE43" s="1474"/>
      <c r="AF43" s="1474"/>
      <c r="AG43" s="1474"/>
      <c r="AH43" s="1474"/>
      <c r="AI43" s="1475"/>
      <c r="AJ43" s="1476" t="s">
        <v>373</v>
      </c>
      <c r="AK43" s="619" t="s">
        <v>374</v>
      </c>
    </row>
    <row r="44" spans="1:37" ht="78.75" customHeight="1">
      <c r="B44" s="620"/>
      <c r="C44" s="621" t="s">
        <v>375</v>
      </c>
      <c r="D44" s="622" t="s">
        <v>376</v>
      </c>
      <c r="E44" s="622" t="s">
        <v>377</v>
      </c>
      <c r="F44" s="622" t="s">
        <v>378</v>
      </c>
      <c r="G44" s="622" t="s">
        <v>379</v>
      </c>
      <c r="H44" s="622" t="s">
        <v>990</v>
      </c>
      <c r="I44" s="622" t="s">
        <v>380</v>
      </c>
      <c r="J44" s="622" t="s">
        <v>381</v>
      </c>
      <c r="K44" s="623" t="s">
        <v>382</v>
      </c>
      <c r="L44" s="552" t="s">
        <v>79</v>
      </c>
      <c r="M44" s="248" t="s">
        <v>80</v>
      </c>
      <c r="N44" s="248" t="s">
        <v>81</v>
      </c>
      <c r="O44" s="248" t="s">
        <v>82</v>
      </c>
      <c r="P44" s="249" t="s">
        <v>44</v>
      </c>
      <c r="Q44" s="247" t="s">
        <v>193</v>
      </c>
      <c r="R44" s="248" t="s">
        <v>194</v>
      </c>
      <c r="S44" s="248" t="s">
        <v>195</v>
      </c>
      <c r="T44" s="248" t="s">
        <v>196</v>
      </c>
      <c r="U44" s="249" t="s">
        <v>197</v>
      </c>
      <c r="V44" s="1478" t="s">
        <v>383</v>
      </c>
      <c r="W44" s="1479"/>
      <c r="X44" s="1479"/>
      <c r="Y44" s="1479"/>
      <c r="Z44" s="1479"/>
      <c r="AA44" s="1479"/>
      <c r="AB44" s="1479"/>
      <c r="AC44" s="1479"/>
      <c r="AD44" s="1479"/>
      <c r="AE44" s="1479"/>
      <c r="AF44" s="175" t="s">
        <v>384</v>
      </c>
      <c r="AG44" s="175" t="s">
        <v>385</v>
      </c>
      <c r="AH44" s="175" t="s">
        <v>386</v>
      </c>
      <c r="AI44" s="175" t="s">
        <v>387</v>
      </c>
      <c r="AJ44" s="1477"/>
      <c r="AK44" s="624" t="s">
        <v>388</v>
      </c>
    </row>
    <row r="45" spans="1:37" ht="13.5" thickBot="1">
      <c r="B45" s="625"/>
      <c r="C45" s="626" t="s">
        <v>389</v>
      </c>
      <c r="D45" s="627" t="s">
        <v>390</v>
      </c>
      <c r="E45" s="627" t="s">
        <v>390</v>
      </c>
      <c r="F45" s="628" t="s">
        <v>391</v>
      </c>
      <c r="G45" s="629" t="s">
        <v>392</v>
      </c>
      <c r="H45" s="629" t="s">
        <v>392</v>
      </c>
      <c r="I45" s="628" t="s">
        <v>393</v>
      </c>
      <c r="J45" s="628" t="s">
        <v>343</v>
      </c>
      <c r="K45" s="630" t="s">
        <v>343</v>
      </c>
      <c r="L45" s="558" t="s">
        <v>343</v>
      </c>
      <c r="M45" s="556" t="s">
        <v>343</v>
      </c>
      <c r="N45" s="556" t="s">
        <v>343</v>
      </c>
      <c r="O45" s="556" t="s">
        <v>343</v>
      </c>
      <c r="P45" s="557" t="s">
        <v>343</v>
      </c>
      <c r="Q45" s="555" t="s">
        <v>343</v>
      </c>
      <c r="R45" s="556" t="s">
        <v>343</v>
      </c>
      <c r="S45" s="556" t="s">
        <v>343</v>
      </c>
      <c r="T45" s="556" t="s">
        <v>343</v>
      </c>
      <c r="U45" s="557" t="s">
        <v>343</v>
      </c>
      <c r="V45" s="631" t="s">
        <v>79</v>
      </c>
      <c r="W45" s="632" t="s">
        <v>80</v>
      </c>
      <c r="X45" s="632" t="s">
        <v>81</v>
      </c>
      <c r="Y45" s="632" t="s">
        <v>82</v>
      </c>
      <c r="Z45" s="632" t="s">
        <v>44</v>
      </c>
      <c r="AA45" s="632" t="s">
        <v>193</v>
      </c>
      <c r="AB45" s="632" t="s">
        <v>194</v>
      </c>
      <c r="AC45" s="632" t="s">
        <v>195</v>
      </c>
      <c r="AD45" s="632" t="s">
        <v>196</v>
      </c>
      <c r="AE45" s="633" t="s">
        <v>197</v>
      </c>
      <c r="AF45" s="634" t="s">
        <v>393</v>
      </c>
      <c r="AG45" s="635" t="s">
        <v>393</v>
      </c>
      <c r="AH45" s="635" t="s">
        <v>393</v>
      </c>
      <c r="AI45" s="635" t="s">
        <v>394</v>
      </c>
      <c r="AJ45" s="636" t="s">
        <v>395</v>
      </c>
      <c r="AK45" s="637" t="s">
        <v>396</v>
      </c>
    </row>
    <row r="46" spans="1:37" s="638" customFormat="1">
      <c r="B46" s="639">
        <v>1</v>
      </c>
      <c r="C46" s="640"/>
      <c r="D46" s="641"/>
      <c r="E46" s="641"/>
      <c r="F46" s="642"/>
      <c r="G46" s="642"/>
      <c r="H46" s="642"/>
      <c r="I46" s="641"/>
      <c r="J46" s="643"/>
      <c r="K46" s="644">
        <f>SUM(Q46:U46)</f>
        <v>0</v>
      </c>
      <c r="L46" s="645"/>
      <c r="M46" s="645"/>
      <c r="N46" s="645"/>
      <c r="O46" s="645"/>
      <c r="P46" s="646"/>
      <c r="Q46" s="645"/>
      <c r="R46" s="643"/>
      <c r="S46" s="643"/>
      <c r="T46" s="643"/>
      <c r="U46" s="646"/>
      <c r="V46" s="647"/>
      <c r="W46" s="648"/>
      <c r="X46" s="648"/>
      <c r="Y46" s="648"/>
      <c r="Z46" s="649"/>
      <c r="AA46" s="647"/>
      <c r="AB46" s="648"/>
      <c r="AC46" s="648"/>
      <c r="AD46" s="648"/>
      <c r="AE46" s="649"/>
      <c r="AF46" s="645"/>
      <c r="AG46" s="643"/>
      <c r="AH46" s="643"/>
      <c r="AI46" s="650"/>
      <c r="AJ46" s="651"/>
      <c r="AK46" s="652"/>
    </row>
    <row r="47" spans="1:37" s="638" customFormat="1">
      <c r="B47" s="653">
        <v>2</v>
      </c>
      <c r="C47" s="640"/>
      <c r="D47" s="641"/>
      <c r="E47" s="641"/>
      <c r="F47" s="642"/>
      <c r="G47" s="642"/>
      <c r="H47" s="642"/>
      <c r="I47" s="641"/>
      <c r="J47" s="643"/>
      <c r="K47" s="644">
        <f t="shared" ref="K47:K79" si="4">SUM(Q47:U47)</f>
        <v>0</v>
      </c>
      <c r="L47" s="645"/>
      <c r="M47" s="645"/>
      <c r="N47" s="645"/>
      <c r="O47" s="645"/>
      <c r="P47" s="646"/>
      <c r="Q47" s="645"/>
      <c r="R47" s="643"/>
      <c r="S47" s="643"/>
      <c r="T47" s="643"/>
      <c r="U47" s="646"/>
      <c r="V47" s="654"/>
      <c r="W47" s="643"/>
      <c r="X47" s="643"/>
      <c r="Y47" s="643"/>
      <c r="Z47" s="646"/>
      <c r="AA47" s="654"/>
      <c r="AB47" s="643"/>
      <c r="AC47" s="643"/>
      <c r="AD47" s="643"/>
      <c r="AE47" s="646"/>
      <c r="AF47" s="645"/>
      <c r="AG47" s="643"/>
      <c r="AH47" s="643"/>
      <c r="AI47" s="650"/>
      <c r="AJ47" s="651"/>
      <c r="AK47" s="652"/>
    </row>
    <row r="48" spans="1:37" s="638" customFormat="1">
      <c r="B48" s="653">
        <v>3</v>
      </c>
      <c r="C48" s="640"/>
      <c r="D48" s="641"/>
      <c r="E48" s="641"/>
      <c r="F48" s="642"/>
      <c r="G48" s="642"/>
      <c r="H48" s="642"/>
      <c r="I48" s="641"/>
      <c r="J48" s="643"/>
      <c r="K48" s="644">
        <f t="shared" si="4"/>
        <v>0</v>
      </c>
      <c r="L48" s="645"/>
      <c r="M48" s="645"/>
      <c r="N48" s="645"/>
      <c r="O48" s="645"/>
      <c r="P48" s="646"/>
      <c r="Q48" s="645"/>
      <c r="R48" s="643"/>
      <c r="S48" s="643"/>
      <c r="T48" s="643"/>
      <c r="U48" s="646"/>
      <c r="V48" s="654"/>
      <c r="W48" s="643"/>
      <c r="X48" s="643"/>
      <c r="Y48" s="643"/>
      <c r="Z48" s="646"/>
      <c r="AA48" s="654"/>
      <c r="AB48" s="643"/>
      <c r="AC48" s="643"/>
      <c r="AD48" s="643"/>
      <c r="AE48" s="646"/>
      <c r="AF48" s="645"/>
      <c r="AG48" s="643"/>
      <c r="AH48" s="643"/>
      <c r="AI48" s="650"/>
      <c r="AJ48" s="651"/>
      <c r="AK48" s="652"/>
    </row>
    <row r="49" spans="2:41" s="638" customFormat="1">
      <c r="B49" s="653">
        <v>4</v>
      </c>
      <c r="C49" s="640"/>
      <c r="D49" s="641"/>
      <c r="E49" s="641"/>
      <c r="F49" s="642"/>
      <c r="G49" s="642"/>
      <c r="H49" s="642"/>
      <c r="I49" s="641"/>
      <c r="J49" s="643"/>
      <c r="K49" s="644">
        <f t="shared" si="4"/>
        <v>0</v>
      </c>
      <c r="L49" s="645"/>
      <c r="M49" s="645"/>
      <c r="N49" s="645"/>
      <c r="O49" s="645"/>
      <c r="P49" s="646"/>
      <c r="Q49" s="645"/>
      <c r="R49" s="643"/>
      <c r="S49" s="643"/>
      <c r="T49" s="643"/>
      <c r="U49" s="646"/>
      <c r="V49" s="654"/>
      <c r="W49" s="643"/>
      <c r="X49" s="643"/>
      <c r="Y49" s="643"/>
      <c r="Z49" s="646"/>
      <c r="AA49" s="654"/>
      <c r="AB49" s="643"/>
      <c r="AC49" s="643"/>
      <c r="AD49" s="643"/>
      <c r="AE49" s="646"/>
      <c r="AF49" s="645"/>
      <c r="AG49" s="643"/>
      <c r="AH49" s="643"/>
      <c r="AI49" s="650"/>
      <c r="AJ49" s="651"/>
      <c r="AK49" s="652"/>
    </row>
    <row r="50" spans="2:41" s="638" customFormat="1">
      <c r="B50" s="653">
        <v>5</v>
      </c>
      <c r="C50" s="640"/>
      <c r="D50" s="641"/>
      <c r="E50" s="641"/>
      <c r="F50" s="642"/>
      <c r="G50" s="642"/>
      <c r="H50" s="642"/>
      <c r="I50" s="641"/>
      <c r="J50" s="643"/>
      <c r="K50" s="644">
        <f t="shared" si="4"/>
        <v>0</v>
      </c>
      <c r="L50" s="645"/>
      <c r="M50" s="645"/>
      <c r="N50" s="645"/>
      <c r="O50" s="645"/>
      <c r="P50" s="646"/>
      <c r="Q50" s="645"/>
      <c r="R50" s="643"/>
      <c r="S50" s="643"/>
      <c r="T50" s="643"/>
      <c r="U50" s="646"/>
      <c r="V50" s="654"/>
      <c r="W50" s="643"/>
      <c r="X50" s="643"/>
      <c r="Y50" s="643"/>
      <c r="Z50" s="646"/>
      <c r="AA50" s="654"/>
      <c r="AB50" s="643"/>
      <c r="AC50" s="643"/>
      <c r="AD50" s="643"/>
      <c r="AE50" s="646"/>
      <c r="AF50" s="645"/>
      <c r="AG50" s="643"/>
      <c r="AH50" s="643"/>
      <c r="AI50" s="650"/>
      <c r="AJ50" s="651"/>
      <c r="AK50" s="652"/>
    </row>
    <row r="51" spans="2:41" s="638" customFormat="1">
      <c r="B51" s="653">
        <v>6</v>
      </c>
      <c r="C51" s="640"/>
      <c r="D51" s="641"/>
      <c r="E51" s="641"/>
      <c r="F51" s="642"/>
      <c r="G51" s="642"/>
      <c r="H51" s="642"/>
      <c r="I51" s="641"/>
      <c r="J51" s="643"/>
      <c r="K51" s="644">
        <f t="shared" si="4"/>
        <v>0</v>
      </c>
      <c r="L51" s="645"/>
      <c r="M51" s="645"/>
      <c r="N51" s="645"/>
      <c r="O51" s="645"/>
      <c r="P51" s="646"/>
      <c r="Q51" s="645"/>
      <c r="R51" s="643"/>
      <c r="S51" s="643"/>
      <c r="T51" s="643"/>
      <c r="U51" s="646"/>
      <c r="V51" s="654"/>
      <c r="W51" s="643"/>
      <c r="X51" s="643"/>
      <c r="Y51" s="643"/>
      <c r="Z51" s="646"/>
      <c r="AA51" s="654"/>
      <c r="AB51" s="643"/>
      <c r="AC51" s="643"/>
      <c r="AD51" s="643"/>
      <c r="AE51" s="646"/>
      <c r="AF51" s="645"/>
      <c r="AG51" s="643"/>
      <c r="AH51" s="643"/>
      <c r="AI51" s="650"/>
      <c r="AJ51" s="651"/>
      <c r="AK51" s="652"/>
    </row>
    <row r="52" spans="2:41" s="638" customFormat="1">
      <c r="B52" s="653">
        <v>7</v>
      </c>
      <c r="C52" s="640"/>
      <c r="D52" s="641"/>
      <c r="E52" s="641"/>
      <c r="F52" s="642"/>
      <c r="G52" s="642"/>
      <c r="H52" s="642"/>
      <c r="I52" s="641"/>
      <c r="J52" s="643"/>
      <c r="K52" s="644">
        <f t="shared" si="4"/>
        <v>0</v>
      </c>
      <c r="L52" s="645"/>
      <c r="M52" s="645"/>
      <c r="N52" s="645"/>
      <c r="O52" s="645"/>
      <c r="P52" s="646"/>
      <c r="Q52" s="645"/>
      <c r="R52" s="643"/>
      <c r="S52" s="643"/>
      <c r="T52" s="643"/>
      <c r="U52" s="646"/>
      <c r="V52" s="654"/>
      <c r="W52" s="643"/>
      <c r="X52" s="643"/>
      <c r="Y52" s="643"/>
      <c r="Z52" s="646"/>
      <c r="AA52" s="654"/>
      <c r="AB52" s="643"/>
      <c r="AC52" s="643"/>
      <c r="AD52" s="643"/>
      <c r="AE52" s="646"/>
      <c r="AF52" s="645"/>
      <c r="AG52" s="643"/>
      <c r="AH52" s="643"/>
      <c r="AI52" s="650"/>
      <c r="AJ52" s="651"/>
      <c r="AK52" s="652"/>
      <c r="AO52" s="638" t="s">
        <v>47</v>
      </c>
    </row>
    <row r="53" spans="2:41" s="638" customFormat="1">
      <c r="B53" s="653">
        <v>8</v>
      </c>
      <c r="C53" s="640"/>
      <c r="D53" s="641"/>
      <c r="E53" s="641"/>
      <c r="F53" s="642"/>
      <c r="G53" s="642"/>
      <c r="H53" s="642"/>
      <c r="I53" s="641"/>
      <c r="J53" s="643"/>
      <c r="K53" s="644">
        <f t="shared" si="4"/>
        <v>0</v>
      </c>
      <c r="L53" s="645"/>
      <c r="M53" s="645"/>
      <c r="N53" s="645"/>
      <c r="O53" s="645"/>
      <c r="P53" s="646"/>
      <c r="Q53" s="645"/>
      <c r="R53" s="643"/>
      <c r="S53" s="643"/>
      <c r="T53" s="643"/>
      <c r="U53" s="646"/>
      <c r="V53" s="654"/>
      <c r="W53" s="643"/>
      <c r="X53" s="643"/>
      <c r="Y53" s="643"/>
      <c r="Z53" s="646"/>
      <c r="AA53" s="654"/>
      <c r="AB53" s="643"/>
      <c r="AC53" s="643"/>
      <c r="AD53" s="643"/>
      <c r="AE53" s="646"/>
      <c r="AF53" s="645"/>
      <c r="AG53" s="643"/>
      <c r="AH53" s="643"/>
      <c r="AI53" s="650"/>
      <c r="AJ53" s="651"/>
      <c r="AK53" s="652"/>
    </row>
    <row r="54" spans="2:41" s="638" customFormat="1">
      <c r="B54" s="653">
        <v>9</v>
      </c>
      <c r="C54" s="640"/>
      <c r="D54" s="641"/>
      <c r="E54" s="641"/>
      <c r="F54" s="642"/>
      <c r="G54" s="642"/>
      <c r="H54" s="642"/>
      <c r="I54" s="641"/>
      <c r="J54" s="643"/>
      <c r="K54" s="644">
        <f t="shared" si="4"/>
        <v>0</v>
      </c>
      <c r="L54" s="645"/>
      <c r="M54" s="645"/>
      <c r="N54" s="645"/>
      <c r="O54" s="645"/>
      <c r="P54" s="646"/>
      <c r="Q54" s="645"/>
      <c r="R54" s="643"/>
      <c r="S54" s="643"/>
      <c r="T54" s="643"/>
      <c r="U54" s="646"/>
      <c r="V54" s="654"/>
      <c r="W54" s="643"/>
      <c r="X54" s="643"/>
      <c r="Y54" s="643"/>
      <c r="Z54" s="646"/>
      <c r="AA54" s="654"/>
      <c r="AB54" s="643"/>
      <c r="AC54" s="643"/>
      <c r="AD54" s="643"/>
      <c r="AE54" s="646"/>
      <c r="AF54" s="645"/>
      <c r="AG54" s="643"/>
      <c r="AH54" s="643"/>
      <c r="AI54" s="650"/>
      <c r="AJ54" s="651"/>
      <c r="AK54" s="652"/>
    </row>
    <row r="55" spans="2:41" s="638" customFormat="1">
      <c r="B55" s="653">
        <v>10</v>
      </c>
      <c r="C55" s="640"/>
      <c r="D55" s="641"/>
      <c r="E55" s="641"/>
      <c r="F55" s="642"/>
      <c r="G55" s="642"/>
      <c r="H55" s="642"/>
      <c r="I55" s="641"/>
      <c r="J55" s="643"/>
      <c r="K55" s="644">
        <f t="shared" si="4"/>
        <v>0</v>
      </c>
      <c r="L55" s="645"/>
      <c r="M55" s="645"/>
      <c r="N55" s="645"/>
      <c r="O55" s="645"/>
      <c r="P55" s="646"/>
      <c r="Q55" s="645"/>
      <c r="R55" s="643"/>
      <c r="S55" s="643"/>
      <c r="T55" s="643"/>
      <c r="U55" s="646"/>
      <c r="V55" s="654"/>
      <c r="W55" s="643"/>
      <c r="X55" s="643"/>
      <c r="Y55" s="643"/>
      <c r="Z55" s="646"/>
      <c r="AA55" s="654"/>
      <c r="AB55" s="643"/>
      <c r="AC55" s="643"/>
      <c r="AD55" s="643"/>
      <c r="AE55" s="646"/>
      <c r="AF55" s="645"/>
      <c r="AG55" s="643"/>
      <c r="AH55" s="643"/>
      <c r="AI55" s="650"/>
      <c r="AJ55" s="651"/>
      <c r="AK55" s="655"/>
    </row>
    <row r="56" spans="2:41" s="638" customFormat="1">
      <c r="B56" s="653">
        <v>11</v>
      </c>
      <c r="C56" s="640"/>
      <c r="D56" s="641"/>
      <c r="E56" s="641"/>
      <c r="F56" s="642"/>
      <c r="G56" s="642"/>
      <c r="H56" s="642"/>
      <c r="I56" s="641"/>
      <c r="J56" s="643"/>
      <c r="K56" s="644">
        <f t="shared" si="4"/>
        <v>0</v>
      </c>
      <c r="L56" s="645"/>
      <c r="M56" s="645"/>
      <c r="N56" s="645"/>
      <c r="O56" s="645"/>
      <c r="P56" s="646"/>
      <c r="Q56" s="645"/>
      <c r="R56" s="643"/>
      <c r="S56" s="643"/>
      <c r="T56" s="643"/>
      <c r="U56" s="646"/>
      <c r="V56" s="654"/>
      <c r="W56" s="643"/>
      <c r="X56" s="643"/>
      <c r="Y56" s="643"/>
      <c r="Z56" s="646"/>
      <c r="AA56" s="654"/>
      <c r="AB56" s="643"/>
      <c r="AC56" s="643"/>
      <c r="AD56" s="643"/>
      <c r="AE56" s="646"/>
      <c r="AF56" s="645"/>
      <c r="AG56" s="643"/>
      <c r="AH56" s="643"/>
      <c r="AI56" s="650"/>
      <c r="AJ56" s="651"/>
      <c r="AK56" s="652"/>
    </row>
    <row r="57" spans="2:41" s="638" customFormat="1">
      <c r="B57" s="653">
        <v>12</v>
      </c>
      <c r="C57" s="640"/>
      <c r="D57" s="641"/>
      <c r="E57" s="641"/>
      <c r="F57" s="642"/>
      <c r="G57" s="642"/>
      <c r="H57" s="642"/>
      <c r="I57" s="641"/>
      <c r="J57" s="643"/>
      <c r="K57" s="644">
        <f t="shared" si="4"/>
        <v>0</v>
      </c>
      <c r="L57" s="645"/>
      <c r="M57" s="645"/>
      <c r="N57" s="645"/>
      <c r="O57" s="645"/>
      <c r="P57" s="646"/>
      <c r="Q57" s="645"/>
      <c r="R57" s="643"/>
      <c r="S57" s="643"/>
      <c r="T57" s="643"/>
      <c r="U57" s="646"/>
      <c r="V57" s="654"/>
      <c r="W57" s="643"/>
      <c r="X57" s="643"/>
      <c r="Y57" s="643"/>
      <c r="Z57" s="646"/>
      <c r="AA57" s="654"/>
      <c r="AB57" s="643"/>
      <c r="AC57" s="643"/>
      <c r="AD57" s="643"/>
      <c r="AE57" s="646"/>
      <c r="AF57" s="645"/>
      <c r="AG57" s="643"/>
      <c r="AH57" s="643"/>
      <c r="AI57" s="650"/>
      <c r="AJ57" s="651"/>
      <c r="AK57" s="652"/>
    </row>
    <row r="58" spans="2:41" s="638" customFormat="1">
      <c r="B58" s="653">
        <v>13</v>
      </c>
      <c r="C58" s="640"/>
      <c r="D58" s="641"/>
      <c r="E58" s="641"/>
      <c r="F58" s="642"/>
      <c r="G58" s="642"/>
      <c r="H58" s="642"/>
      <c r="I58" s="641"/>
      <c r="J58" s="643"/>
      <c r="K58" s="644">
        <f t="shared" si="4"/>
        <v>0</v>
      </c>
      <c r="L58" s="645"/>
      <c r="M58" s="645"/>
      <c r="N58" s="645"/>
      <c r="O58" s="645"/>
      <c r="P58" s="646"/>
      <c r="Q58" s="645"/>
      <c r="R58" s="643"/>
      <c r="S58" s="643"/>
      <c r="T58" s="643"/>
      <c r="U58" s="646"/>
      <c r="V58" s="654"/>
      <c r="W58" s="643"/>
      <c r="X58" s="643"/>
      <c r="Y58" s="643"/>
      <c r="Z58" s="646"/>
      <c r="AA58" s="654"/>
      <c r="AB58" s="643"/>
      <c r="AC58" s="643"/>
      <c r="AD58" s="643"/>
      <c r="AE58" s="646"/>
      <c r="AF58" s="645"/>
      <c r="AG58" s="643"/>
      <c r="AH58" s="643"/>
      <c r="AI58" s="650"/>
      <c r="AJ58" s="651"/>
      <c r="AK58" s="652"/>
    </row>
    <row r="59" spans="2:41" s="638" customFormat="1">
      <c r="B59" s="653">
        <v>14</v>
      </c>
      <c r="C59" s="640"/>
      <c r="D59" s="641"/>
      <c r="E59" s="641"/>
      <c r="F59" s="642"/>
      <c r="G59" s="642"/>
      <c r="H59" s="642"/>
      <c r="I59" s="641"/>
      <c r="J59" s="643"/>
      <c r="K59" s="644">
        <f t="shared" si="4"/>
        <v>0</v>
      </c>
      <c r="L59" s="645"/>
      <c r="M59" s="645"/>
      <c r="N59" s="645"/>
      <c r="O59" s="645"/>
      <c r="P59" s="646"/>
      <c r="Q59" s="645"/>
      <c r="R59" s="643"/>
      <c r="S59" s="643"/>
      <c r="T59" s="643"/>
      <c r="U59" s="646"/>
      <c r="V59" s="654"/>
      <c r="W59" s="643"/>
      <c r="X59" s="643"/>
      <c r="Y59" s="643"/>
      <c r="Z59" s="646"/>
      <c r="AA59" s="654"/>
      <c r="AB59" s="643"/>
      <c r="AC59" s="643"/>
      <c r="AD59" s="643"/>
      <c r="AE59" s="646"/>
      <c r="AF59" s="645"/>
      <c r="AG59" s="643"/>
      <c r="AH59" s="643"/>
      <c r="AI59" s="650"/>
      <c r="AJ59" s="651"/>
      <c r="AK59" s="652"/>
    </row>
    <row r="60" spans="2:41" s="638" customFormat="1">
      <c r="B60" s="653">
        <v>15</v>
      </c>
      <c r="C60" s="640"/>
      <c r="D60" s="641"/>
      <c r="E60" s="641"/>
      <c r="F60" s="642"/>
      <c r="G60" s="642"/>
      <c r="H60" s="642"/>
      <c r="I60" s="641"/>
      <c r="J60" s="643"/>
      <c r="K60" s="644">
        <f t="shared" si="4"/>
        <v>0</v>
      </c>
      <c r="L60" s="645"/>
      <c r="M60" s="645"/>
      <c r="N60" s="645"/>
      <c r="O60" s="645"/>
      <c r="P60" s="646"/>
      <c r="Q60" s="645"/>
      <c r="R60" s="643"/>
      <c r="S60" s="643"/>
      <c r="T60" s="643"/>
      <c r="U60" s="646"/>
      <c r="V60" s="654"/>
      <c r="W60" s="643"/>
      <c r="X60" s="643"/>
      <c r="Y60" s="643"/>
      <c r="Z60" s="646"/>
      <c r="AA60" s="654"/>
      <c r="AB60" s="643"/>
      <c r="AC60" s="643"/>
      <c r="AD60" s="643"/>
      <c r="AE60" s="646"/>
      <c r="AF60" s="645"/>
      <c r="AG60" s="643"/>
      <c r="AH60" s="643"/>
      <c r="AI60" s="650"/>
      <c r="AJ60" s="651"/>
      <c r="AK60" s="652"/>
    </row>
    <row r="61" spans="2:41" s="638" customFormat="1">
      <c r="B61" s="653">
        <v>16</v>
      </c>
      <c r="C61" s="640"/>
      <c r="D61" s="641"/>
      <c r="E61" s="641"/>
      <c r="F61" s="642"/>
      <c r="G61" s="642"/>
      <c r="H61" s="642"/>
      <c r="I61" s="641"/>
      <c r="J61" s="643"/>
      <c r="K61" s="644">
        <f t="shared" si="4"/>
        <v>0</v>
      </c>
      <c r="L61" s="645"/>
      <c r="M61" s="645"/>
      <c r="N61" s="645"/>
      <c r="O61" s="645"/>
      <c r="P61" s="646"/>
      <c r="Q61" s="645"/>
      <c r="R61" s="643"/>
      <c r="S61" s="643"/>
      <c r="T61" s="643"/>
      <c r="U61" s="646"/>
      <c r="V61" s="654"/>
      <c r="W61" s="643"/>
      <c r="X61" s="643"/>
      <c r="Y61" s="643"/>
      <c r="Z61" s="646"/>
      <c r="AA61" s="654"/>
      <c r="AB61" s="643"/>
      <c r="AC61" s="643"/>
      <c r="AD61" s="643"/>
      <c r="AE61" s="646"/>
      <c r="AF61" s="645"/>
      <c r="AG61" s="643"/>
      <c r="AH61" s="643"/>
      <c r="AI61" s="650"/>
      <c r="AJ61" s="651"/>
      <c r="AK61" s="652"/>
    </row>
    <row r="62" spans="2:41" s="638" customFormat="1">
      <c r="B62" s="653">
        <v>17</v>
      </c>
      <c r="C62" s="640"/>
      <c r="D62" s="641"/>
      <c r="E62" s="641"/>
      <c r="F62" s="642"/>
      <c r="G62" s="642"/>
      <c r="H62" s="642"/>
      <c r="I62" s="641"/>
      <c r="J62" s="643"/>
      <c r="K62" s="644">
        <f t="shared" si="4"/>
        <v>0</v>
      </c>
      <c r="L62" s="645"/>
      <c r="M62" s="645"/>
      <c r="N62" s="645"/>
      <c r="O62" s="645"/>
      <c r="P62" s="646"/>
      <c r="Q62" s="645"/>
      <c r="R62" s="643"/>
      <c r="S62" s="643"/>
      <c r="T62" s="643"/>
      <c r="U62" s="646"/>
      <c r="V62" s="654"/>
      <c r="W62" s="643"/>
      <c r="X62" s="643"/>
      <c r="Y62" s="643"/>
      <c r="Z62" s="646"/>
      <c r="AA62" s="654"/>
      <c r="AB62" s="643"/>
      <c r="AC62" s="643"/>
      <c r="AD62" s="643"/>
      <c r="AE62" s="646"/>
      <c r="AF62" s="645"/>
      <c r="AG62" s="643"/>
      <c r="AH62" s="643"/>
      <c r="AI62" s="650"/>
      <c r="AJ62" s="651"/>
      <c r="AK62" s="652"/>
    </row>
    <row r="63" spans="2:41" s="638" customFormat="1">
      <c r="B63" s="653">
        <v>18</v>
      </c>
      <c r="C63" s="640"/>
      <c r="D63" s="641"/>
      <c r="E63" s="641"/>
      <c r="F63" s="642"/>
      <c r="G63" s="642"/>
      <c r="H63" s="642"/>
      <c r="I63" s="641"/>
      <c r="J63" s="643"/>
      <c r="K63" s="644">
        <f t="shared" si="4"/>
        <v>0</v>
      </c>
      <c r="L63" s="645"/>
      <c r="M63" s="645"/>
      <c r="N63" s="645"/>
      <c r="O63" s="645"/>
      <c r="P63" s="646"/>
      <c r="Q63" s="645"/>
      <c r="R63" s="643"/>
      <c r="S63" s="643"/>
      <c r="T63" s="643"/>
      <c r="U63" s="646"/>
      <c r="V63" s="654"/>
      <c r="W63" s="643"/>
      <c r="X63" s="643"/>
      <c r="Y63" s="643"/>
      <c r="Z63" s="646"/>
      <c r="AA63" s="654"/>
      <c r="AB63" s="643"/>
      <c r="AC63" s="643"/>
      <c r="AD63" s="643"/>
      <c r="AE63" s="646"/>
      <c r="AF63" s="645"/>
      <c r="AG63" s="643"/>
      <c r="AH63" s="643"/>
      <c r="AI63" s="650"/>
      <c r="AJ63" s="651"/>
      <c r="AK63" s="652"/>
    </row>
    <row r="64" spans="2:41" s="638" customFormat="1">
      <c r="B64" s="653">
        <v>19</v>
      </c>
      <c r="C64" s="640"/>
      <c r="D64" s="641"/>
      <c r="E64" s="641"/>
      <c r="F64" s="642"/>
      <c r="G64" s="642"/>
      <c r="H64" s="642"/>
      <c r="I64" s="641"/>
      <c r="J64" s="643"/>
      <c r="K64" s="644">
        <f t="shared" si="4"/>
        <v>0</v>
      </c>
      <c r="L64" s="645"/>
      <c r="M64" s="645"/>
      <c r="N64" s="645"/>
      <c r="O64" s="645"/>
      <c r="P64" s="646"/>
      <c r="Q64" s="645"/>
      <c r="R64" s="643"/>
      <c r="S64" s="643"/>
      <c r="T64" s="643"/>
      <c r="U64" s="646"/>
      <c r="V64" s="654"/>
      <c r="W64" s="643"/>
      <c r="X64" s="643"/>
      <c r="Y64" s="643"/>
      <c r="Z64" s="646"/>
      <c r="AA64" s="654"/>
      <c r="AB64" s="643"/>
      <c r="AC64" s="643"/>
      <c r="AD64" s="643"/>
      <c r="AE64" s="646"/>
      <c r="AF64" s="645"/>
      <c r="AG64" s="643"/>
      <c r="AH64" s="643"/>
      <c r="AI64" s="650"/>
      <c r="AJ64" s="651"/>
      <c r="AK64" s="652"/>
    </row>
    <row r="65" spans="2:37" s="638" customFormat="1">
      <c r="B65" s="653">
        <v>20</v>
      </c>
      <c r="C65" s="640"/>
      <c r="D65" s="641"/>
      <c r="E65" s="641"/>
      <c r="F65" s="642"/>
      <c r="G65" s="642"/>
      <c r="H65" s="642"/>
      <c r="I65" s="641"/>
      <c r="J65" s="643"/>
      <c r="K65" s="644">
        <f t="shared" si="4"/>
        <v>0</v>
      </c>
      <c r="L65" s="645"/>
      <c r="M65" s="645"/>
      <c r="N65" s="645"/>
      <c r="O65" s="645"/>
      <c r="P65" s="646"/>
      <c r="Q65" s="645"/>
      <c r="R65" s="643"/>
      <c r="S65" s="643"/>
      <c r="T65" s="643"/>
      <c r="U65" s="646"/>
      <c r="V65" s="654"/>
      <c r="W65" s="643"/>
      <c r="X65" s="643"/>
      <c r="Y65" s="643"/>
      <c r="Z65" s="646"/>
      <c r="AA65" s="654"/>
      <c r="AB65" s="643"/>
      <c r="AC65" s="643"/>
      <c r="AD65" s="643"/>
      <c r="AE65" s="646"/>
      <c r="AF65" s="645"/>
      <c r="AG65" s="643"/>
      <c r="AH65" s="643"/>
      <c r="AI65" s="650"/>
      <c r="AJ65" s="651"/>
      <c r="AK65" s="652"/>
    </row>
    <row r="66" spans="2:37" s="638" customFormat="1">
      <c r="B66" s="653">
        <v>21</v>
      </c>
      <c r="C66" s="640"/>
      <c r="D66" s="641"/>
      <c r="E66" s="641"/>
      <c r="F66" s="642"/>
      <c r="G66" s="642"/>
      <c r="H66" s="642"/>
      <c r="I66" s="641"/>
      <c r="J66" s="643"/>
      <c r="K66" s="644">
        <f t="shared" si="4"/>
        <v>0</v>
      </c>
      <c r="L66" s="645"/>
      <c r="M66" s="645"/>
      <c r="N66" s="645"/>
      <c r="O66" s="645"/>
      <c r="P66" s="646"/>
      <c r="Q66" s="645"/>
      <c r="R66" s="643"/>
      <c r="S66" s="643"/>
      <c r="T66" s="643"/>
      <c r="U66" s="646"/>
      <c r="V66" s="654"/>
      <c r="W66" s="643"/>
      <c r="X66" s="643"/>
      <c r="Y66" s="643"/>
      <c r="Z66" s="646"/>
      <c r="AA66" s="654"/>
      <c r="AB66" s="643"/>
      <c r="AC66" s="643"/>
      <c r="AD66" s="643"/>
      <c r="AE66" s="646"/>
      <c r="AF66" s="645"/>
      <c r="AG66" s="643"/>
      <c r="AH66" s="643"/>
      <c r="AI66" s="650"/>
      <c r="AJ66" s="651"/>
      <c r="AK66" s="655"/>
    </row>
    <row r="67" spans="2:37" s="638" customFormat="1">
      <c r="B67" s="653">
        <v>22</v>
      </c>
      <c r="C67" s="640"/>
      <c r="D67" s="641"/>
      <c r="E67" s="641"/>
      <c r="F67" s="642"/>
      <c r="G67" s="642"/>
      <c r="H67" s="642"/>
      <c r="I67" s="641"/>
      <c r="J67" s="643"/>
      <c r="K67" s="644">
        <f t="shared" si="4"/>
        <v>0</v>
      </c>
      <c r="L67" s="645"/>
      <c r="M67" s="645"/>
      <c r="N67" s="645"/>
      <c r="O67" s="645"/>
      <c r="P67" s="646"/>
      <c r="Q67" s="645"/>
      <c r="R67" s="643"/>
      <c r="S67" s="643"/>
      <c r="T67" s="643"/>
      <c r="U67" s="646"/>
      <c r="V67" s="654"/>
      <c r="W67" s="643"/>
      <c r="X67" s="643"/>
      <c r="Y67" s="643"/>
      <c r="Z67" s="646"/>
      <c r="AA67" s="654"/>
      <c r="AB67" s="643"/>
      <c r="AC67" s="643"/>
      <c r="AD67" s="643"/>
      <c r="AE67" s="646"/>
      <c r="AF67" s="645"/>
      <c r="AG67" s="643"/>
      <c r="AH67" s="643"/>
      <c r="AI67" s="650"/>
      <c r="AJ67" s="651"/>
      <c r="AK67" s="652"/>
    </row>
    <row r="68" spans="2:37" s="638" customFormat="1">
      <c r="B68" s="653">
        <v>23</v>
      </c>
      <c r="C68" s="640"/>
      <c r="D68" s="641"/>
      <c r="E68" s="641"/>
      <c r="F68" s="642"/>
      <c r="G68" s="642"/>
      <c r="H68" s="642"/>
      <c r="I68" s="641"/>
      <c r="J68" s="643"/>
      <c r="K68" s="644">
        <f t="shared" si="4"/>
        <v>0</v>
      </c>
      <c r="L68" s="645"/>
      <c r="M68" s="645"/>
      <c r="N68" s="645"/>
      <c r="O68" s="645"/>
      <c r="P68" s="646"/>
      <c r="Q68" s="645"/>
      <c r="R68" s="643"/>
      <c r="S68" s="643"/>
      <c r="T68" s="643"/>
      <c r="U68" s="646"/>
      <c r="V68" s="654"/>
      <c r="W68" s="643"/>
      <c r="X68" s="643"/>
      <c r="Y68" s="643"/>
      <c r="Z68" s="646"/>
      <c r="AA68" s="654"/>
      <c r="AB68" s="643"/>
      <c r="AC68" s="643"/>
      <c r="AD68" s="643"/>
      <c r="AE68" s="646"/>
      <c r="AF68" s="645"/>
      <c r="AG68" s="643"/>
      <c r="AH68" s="643"/>
      <c r="AI68" s="650"/>
      <c r="AJ68" s="651"/>
      <c r="AK68" s="652"/>
    </row>
    <row r="69" spans="2:37" s="638" customFormat="1">
      <c r="B69" s="653">
        <v>24</v>
      </c>
      <c r="C69" s="640"/>
      <c r="D69" s="641"/>
      <c r="E69" s="641"/>
      <c r="F69" s="642"/>
      <c r="G69" s="642"/>
      <c r="H69" s="642"/>
      <c r="I69" s="641"/>
      <c r="J69" s="643"/>
      <c r="K69" s="644">
        <f t="shared" si="4"/>
        <v>0</v>
      </c>
      <c r="L69" s="645"/>
      <c r="M69" s="645"/>
      <c r="N69" s="645"/>
      <c r="O69" s="645"/>
      <c r="P69" s="646"/>
      <c r="Q69" s="645"/>
      <c r="R69" s="643"/>
      <c r="S69" s="643"/>
      <c r="T69" s="643"/>
      <c r="U69" s="646"/>
      <c r="V69" s="654"/>
      <c r="W69" s="643"/>
      <c r="X69" s="643"/>
      <c r="Y69" s="643"/>
      <c r="Z69" s="646"/>
      <c r="AA69" s="654"/>
      <c r="AB69" s="643"/>
      <c r="AC69" s="643"/>
      <c r="AD69" s="643"/>
      <c r="AE69" s="646"/>
      <c r="AF69" s="645"/>
      <c r="AG69" s="643"/>
      <c r="AH69" s="643"/>
      <c r="AI69" s="650"/>
      <c r="AJ69" s="651"/>
      <c r="AK69" s="652"/>
    </row>
    <row r="70" spans="2:37" s="638" customFormat="1">
      <c r="B70" s="653">
        <v>25</v>
      </c>
      <c r="C70" s="640"/>
      <c r="D70" s="641"/>
      <c r="E70" s="641"/>
      <c r="F70" s="642"/>
      <c r="G70" s="642"/>
      <c r="H70" s="642"/>
      <c r="I70" s="641"/>
      <c r="J70" s="643"/>
      <c r="K70" s="644">
        <f t="shared" si="4"/>
        <v>0</v>
      </c>
      <c r="L70" s="645"/>
      <c r="M70" s="645"/>
      <c r="N70" s="645"/>
      <c r="O70" s="645"/>
      <c r="P70" s="646"/>
      <c r="Q70" s="645"/>
      <c r="R70" s="643"/>
      <c r="S70" s="643"/>
      <c r="T70" s="643"/>
      <c r="U70" s="646"/>
      <c r="V70" s="654"/>
      <c r="W70" s="643"/>
      <c r="X70" s="643"/>
      <c r="Y70" s="643"/>
      <c r="Z70" s="646"/>
      <c r="AA70" s="654"/>
      <c r="AB70" s="643"/>
      <c r="AC70" s="643"/>
      <c r="AD70" s="643"/>
      <c r="AE70" s="646"/>
      <c r="AF70" s="645"/>
      <c r="AG70" s="643"/>
      <c r="AH70" s="643"/>
      <c r="AI70" s="650"/>
      <c r="AJ70" s="651"/>
      <c r="AK70" s="652"/>
    </row>
    <row r="71" spans="2:37" s="638" customFormat="1">
      <c r="B71" s="653">
        <v>26</v>
      </c>
      <c r="C71" s="640"/>
      <c r="D71" s="641"/>
      <c r="E71" s="641"/>
      <c r="F71" s="642"/>
      <c r="G71" s="642"/>
      <c r="H71" s="642"/>
      <c r="I71" s="641"/>
      <c r="J71" s="643"/>
      <c r="K71" s="644">
        <f t="shared" si="4"/>
        <v>0</v>
      </c>
      <c r="L71" s="645"/>
      <c r="M71" s="645"/>
      <c r="N71" s="645"/>
      <c r="O71" s="645"/>
      <c r="P71" s="646"/>
      <c r="Q71" s="645"/>
      <c r="R71" s="643"/>
      <c r="S71" s="643"/>
      <c r="T71" s="643"/>
      <c r="U71" s="646"/>
      <c r="V71" s="654"/>
      <c r="W71" s="643"/>
      <c r="X71" s="643"/>
      <c r="Y71" s="643"/>
      <c r="Z71" s="646"/>
      <c r="AA71" s="654"/>
      <c r="AB71" s="643"/>
      <c r="AC71" s="643"/>
      <c r="AD71" s="643"/>
      <c r="AE71" s="646"/>
      <c r="AF71" s="645"/>
      <c r="AG71" s="643"/>
      <c r="AH71" s="643"/>
      <c r="AI71" s="650"/>
      <c r="AJ71" s="651"/>
      <c r="AK71" s="652"/>
    </row>
    <row r="72" spans="2:37" s="638" customFormat="1">
      <c r="B72" s="653">
        <v>27</v>
      </c>
      <c r="C72" s="640"/>
      <c r="D72" s="641"/>
      <c r="E72" s="641"/>
      <c r="F72" s="642"/>
      <c r="G72" s="642"/>
      <c r="H72" s="642"/>
      <c r="I72" s="641"/>
      <c r="J72" s="643"/>
      <c r="K72" s="644">
        <f t="shared" si="4"/>
        <v>0</v>
      </c>
      <c r="L72" s="645"/>
      <c r="M72" s="645"/>
      <c r="N72" s="645"/>
      <c r="O72" s="645"/>
      <c r="P72" s="646"/>
      <c r="Q72" s="645"/>
      <c r="R72" s="643"/>
      <c r="S72" s="643"/>
      <c r="T72" s="643"/>
      <c r="U72" s="646"/>
      <c r="V72" s="654"/>
      <c r="W72" s="643"/>
      <c r="X72" s="643"/>
      <c r="Y72" s="643"/>
      <c r="Z72" s="646"/>
      <c r="AA72" s="654"/>
      <c r="AB72" s="643"/>
      <c r="AC72" s="643"/>
      <c r="AD72" s="643"/>
      <c r="AE72" s="646"/>
      <c r="AF72" s="645"/>
      <c r="AG72" s="643"/>
      <c r="AH72" s="643"/>
      <c r="AI72" s="650"/>
      <c r="AJ72" s="651"/>
      <c r="AK72" s="655"/>
    </row>
    <row r="73" spans="2:37" s="638" customFormat="1">
      <c r="B73" s="653">
        <v>28</v>
      </c>
      <c r="C73" s="640"/>
      <c r="D73" s="641"/>
      <c r="E73" s="641"/>
      <c r="F73" s="642"/>
      <c r="G73" s="642"/>
      <c r="H73" s="642"/>
      <c r="I73" s="641"/>
      <c r="J73" s="643"/>
      <c r="K73" s="644">
        <f t="shared" si="4"/>
        <v>0</v>
      </c>
      <c r="L73" s="645"/>
      <c r="M73" s="645"/>
      <c r="N73" s="645"/>
      <c r="O73" s="645"/>
      <c r="P73" s="646"/>
      <c r="Q73" s="645"/>
      <c r="R73" s="643"/>
      <c r="S73" s="643"/>
      <c r="T73" s="643"/>
      <c r="U73" s="646"/>
      <c r="V73" s="654"/>
      <c r="W73" s="643"/>
      <c r="X73" s="643"/>
      <c r="Y73" s="643"/>
      <c r="Z73" s="646"/>
      <c r="AA73" s="654"/>
      <c r="AB73" s="643"/>
      <c r="AC73" s="643"/>
      <c r="AD73" s="643"/>
      <c r="AE73" s="646"/>
      <c r="AF73" s="645"/>
      <c r="AG73" s="643"/>
      <c r="AH73" s="643"/>
      <c r="AI73" s="650"/>
      <c r="AJ73" s="651"/>
      <c r="AK73" s="652"/>
    </row>
    <row r="74" spans="2:37" s="638" customFormat="1">
      <c r="B74" s="653">
        <v>29</v>
      </c>
      <c r="C74" s="640"/>
      <c r="D74" s="641"/>
      <c r="E74" s="641"/>
      <c r="F74" s="642"/>
      <c r="G74" s="642"/>
      <c r="H74" s="642"/>
      <c r="I74" s="641"/>
      <c r="J74" s="643"/>
      <c r="K74" s="644">
        <f t="shared" si="4"/>
        <v>0</v>
      </c>
      <c r="L74" s="645"/>
      <c r="M74" s="645"/>
      <c r="N74" s="645"/>
      <c r="O74" s="645"/>
      <c r="P74" s="646"/>
      <c r="Q74" s="645"/>
      <c r="R74" s="643"/>
      <c r="S74" s="643"/>
      <c r="T74" s="643"/>
      <c r="U74" s="646"/>
      <c r="V74" s="654"/>
      <c r="W74" s="643"/>
      <c r="X74" s="643"/>
      <c r="Y74" s="643"/>
      <c r="Z74" s="646"/>
      <c r="AA74" s="654"/>
      <c r="AB74" s="643"/>
      <c r="AC74" s="643"/>
      <c r="AD74" s="643"/>
      <c r="AE74" s="646"/>
      <c r="AF74" s="645"/>
      <c r="AG74" s="643"/>
      <c r="AH74" s="643"/>
      <c r="AI74" s="650"/>
      <c r="AJ74" s="651"/>
      <c r="AK74" s="652"/>
    </row>
    <row r="75" spans="2:37" s="638" customFormat="1">
      <c r="B75" s="653">
        <v>30</v>
      </c>
      <c r="C75" s="640"/>
      <c r="D75" s="641"/>
      <c r="E75" s="641"/>
      <c r="F75" s="642"/>
      <c r="G75" s="642"/>
      <c r="H75" s="642"/>
      <c r="I75" s="641"/>
      <c r="J75" s="643"/>
      <c r="K75" s="644">
        <f t="shared" si="4"/>
        <v>0</v>
      </c>
      <c r="L75" s="645"/>
      <c r="M75" s="645"/>
      <c r="N75" s="645"/>
      <c r="O75" s="645"/>
      <c r="P75" s="646"/>
      <c r="Q75" s="645"/>
      <c r="R75" s="643"/>
      <c r="S75" s="643"/>
      <c r="T75" s="643"/>
      <c r="U75" s="646"/>
      <c r="V75" s="654"/>
      <c r="W75" s="643"/>
      <c r="X75" s="643"/>
      <c r="Y75" s="643"/>
      <c r="Z75" s="646"/>
      <c r="AA75" s="654"/>
      <c r="AB75" s="643"/>
      <c r="AC75" s="643"/>
      <c r="AD75" s="643"/>
      <c r="AE75" s="646"/>
      <c r="AF75" s="645"/>
      <c r="AG75" s="643"/>
      <c r="AH75" s="643"/>
      <c r="AI75" s="650"/>
      <c r="AJ75" s="651"/>
      <c r="AK75" s="652"/>
    </row>
    <row r="76" spans="2:37" s="638" customFormat="1">
      <c r="B76" s="653">
        <v>31</v>
      </c>
      <c r="C76" s="640"/>
      <c r="D76" s="641"/>
      <c r="E76" s="641"/>
      <c r="F76" s="642"/>
      <c r="G76" s="642"/>
      <c r="H76" s="642"/>
      <c r="I76" s="641"/>
      <c r="J76" s="643"/>
      <c r="K76" s="644">
        <f t="shared" si="4"/>
        <v>0</v>
      </c>
      <c r="L76" s="645"/>
      <c r="M76" s="645"/>
      <c r="N76" s="645"/>
      <c r="O76" s="645"/>
      <c r="P76" s="646"/>
      <c r="Q76" s="645"/>
      <c r="R76" s="643"/>
      <c r="S76" s="643"/>
      <c r="T76" s="643"/>
      <c r="U76" s="646"/>
      <c r="V76" s="654"/>
      <c r="W76" s="643"/>
      <c r="X76" s="643"/>
      <c r="Y76" s="643"/>
      <c r="Z76" s="646"/>
      <c r="AA76" s="654"/>
      <c r="AB76" s="643"/>
      <c r="AC76" s="643"/>
      <c r="AD76" s="643"/>
      <c r="AE76" s="646"/>
      <c r="AF76" s="645"/>
      <c r="AG76" s="643"/>
      <c r="AH76" s="643"/>
      <c r="AI76" s="650"/>
      <c r="AJ76" s="651"/>
      <c r="AK76" s="652"/>
    </row>
    <row r="77" spans="2:37" s="638" customFormat="1">
      <c r="B77" s="653">
        <v>32</v>
      </c>
      <c r="C77" s="640"/>
      <c r="D77" s="641"/>
      <c r="E77" s="641"/>
      <c r="F77" s="642"/>
      <c r="G77" s="642"/>
      <c r="H77" s="642"/>
      <c r="I77" s="641"/>
      <c r="J77" s="643"/>
      <c r="K77" s="644">
        <f t="shared" si="4"/>
        <v>0</v>
      </c>
      <c r="L77" s="645"/>
      <c r="M77" s="645"/>
      <c r="N77" s="645"/>
      <c r="O77" s="645"/>
      <c r="P77" s="646"/>
      <c r="Q77" s="645"/>
      <c r="R77" s="643"/>
      <c r="S77" s="643"/>
      <c r="T77" s="643"/>
      <c r="U77" s="646"/>
      <c r="V77" s="654"/>
      <c r="W77" s="643"/>
      <c r="X77" s="643"/>
      <c r="Y77" s="643"/>
      <c r="Z77" s="646"/>
      <c r="AA77" s="654"/>
      <c r="AB77" s="643"/>
      <c r="AC77" s="643"/>
      <c r="AD77" s="643"/>
      <c r="AE77" s="646"/>
      <c r="AF77" s="645"/>
      <c r="AG77" s="643"/>
      <c r="AH77" s="643"/>
      <c r="AI77" s="650"/>
      <c r="AJ77" s="651"/>
      <c r="AK77" s="652"/>
    </row>
    <row r="78" spans="2:37" s="638" customFormat="1">
      <c r="B78" s="653">
        <v>33</v>
      </c>
      <c r="C78" s="640"/>
      <c r="D78" s="641"/>
      <c r="E78" s="641"/>
      <c r="F78" s="642"/>
      <c r="G78" s="642"/>
      <c r="H78" s="642"/>
      <c r="I78" s="641"/>
      <c r="J78" s="643"/>
      <c r="K78" s="644">
        <f t="shared" si="4"/>
        <v>0</v>
      </c>
      <c r="L78" s="645"/>
      <c r="M78" s="645"/>
      <c r="N78" s="645"/>
      <c r="O78" s="645"/>
      <c r="P78" s="646"/>
      <c r="Q78" s="645"/>
      <c r="R78" s="643"/>
      <c r="S78" s="643"/>
      <c r="T78" s="643"/>
      <c r="U78" s="646"/>
      <c r="V78" s="654"/>
      <c r="W78" s="643"/>
      <c r="X78" s="643"/>
      <c r="Y78" s="643"/>
      <c r="Z78" s="646"/>
      <c r="AA78" s="654"/>
      <c r="AB78" s="643"/>
      <c r="AC78" s="643"/>
      <c r="AD78" s="643"/>
      <c r="AE78" s="646"/>
      <c r="AF78" s="645"/>
      <c r="AG78" s="643"/>
      <c r="AH78" s="643"/>
      <c r="AI78" s="650"/>
      <c r="AJ78" s="651"/>
      <c r="AK78" s="652"/>
    </row>
    <row r="79" spans="2:37" s="638" customFormat="1">
      <c r="B79" s="653">
        <v>34</v>
      </c>
      <c r="C79" s="656"/>
      <c r="D79" s="641"/>
      <c r="E79" s="641"/>
      <c r="F79" s="642"/>
      <c r="G79" s="642"/>
      <c r="H79" s="642"/>
      <c r="I79" s="641"/>
      <c r="J79" s="643"/>
      <c r="K79" s="644">
        <f t="shared" si="4"/>
        <v>0</v>
      </c>
      <c r="L79" s="645"/>
      <c r="M79" s="645"/>
      <c r="N79" s="645"/>
      <c r="O79" s="645"/>
      <c r="P79" s="646"/>
      <c r="Q79" s="645"/>
      <c r="R79" s="643"/>
      <c r="S79" s="643"/>
      <c r="T79" s="643"/>
      <c r="U79" s="646"/>
      <c r="V79" s="654"/>
      <c r="W79" s="643"/>
      <c r="X79" s="643"/>
      <c r="Y79" s="643"/>
      <c r="Z79" s="646"/>
      <c r="AA79" s="654"/>
      <c r="AB79" s="643"/>
      <c r="AC79" s="643"/>
      <c r="AD79" s="643"/>
      <c r="AE79" s="646"/>
      <c r="AF79" s="645"/>
      <c r="AG79" s="643"/>
      <c r="AH79" s="643"/>
      <c r="AI79" s="650"/>
      <c r="AJ79" s="651"/>
      <c r="AK79" s="652"/>
    </row>
    <row r="80" spans="2:37" s="638" customFormat="1" ht="13.5" thickBot="1">
      <c r="B80" s="653">
        <v>35</v>
      </c>
      <c r="C80" s="657"/>
      <c r="D80" s="658"/>
      <c r="E80" s="658"/>
      <c r="F80" s="659"/>
      <c r="G80" s="659"/>
      <c r="H80" s="659"/>
      <c r="I80" s="641"/>
      <c r="J80" s="643"/>
      <c r="K80" s="644">
        <f>SUM(Q80:U80)</f>
        <v>0</v>
      </c>
      <c r="L80" s="660"/>
      <c r="M80" s="660"/>
      <c r="N80" s="660"/>
      <c r="O80" s="660"/>
      <c r="P80" s="661"/>
      <c r="Q80" s="660"/>
      <c r="R80" s="662"/>
      <c r="S80" s="662"/>
      <c r="T80" s="662"/>
      <c r="U80" s="661"/>
      <c r="V80" s="663"/>
      <c r="W80" s="664"/>
      <c r="X80" s="664"/>
      <c r="Y80" s="664"/>
      <c r="Z80" s="665"/>
      <c r="AA80" s="663"/>
      <c r="AB80" s="664"/>
      <c r="AC80" s="664"/>
      <c r="AD80" s="664"/>
      <c r="AE80" s="665"/>
      <c r="AF80" s="645"/>
      <c r="AG80" s="643"/>
      <c r="AH80" s="643"/>
      <c r="AI80" s="650"/>
      <c r="AJ80" s="651"/>
      <c r="AK80" s="652"/>
    </row>
    <row r="81" spans="2:37" s="638" customFormat="1">
      <c r="B81" s="653">
        <v>36</v>
      </c>
      <c r="C81" s="640"/>
      <c r="D81" s="641"/>
      <c r="E81" s="641"/>
      <c r="F81" s="642"/>
      <c r="G81" s="642"/>
      <c r="H81" s="642"/>
      <c r="I81" s="641"/>
      <c r="J81" s="643"/>
      <c r="K81" s="644">
        <f t="shared" ref="K81:K98" si="5">SUM(Q81:U81)</f>
        <v>0</v>
      </c>
      <c r="L81" s="645"/>
      <c r="M81" s="645"/>
      <c r="N81" s="645"/>
      <c r="O81" s="645"/>
      <c r="P81" s="646"/>
      <c r="Q81" s="645"/>
      <c r="R81" s="643"/>
      <c r="S81" s="643"/>
      <c r="T81" s="643"/>
      <c r="U81" s="646"/>
      <c r="V81" s="654"/>
      <c r="W81" s="643"/>
      <c r="X81" s="643"/>
      <c r="Y81" s="643"/>
      <c r="Z81" s="646"/>
      <c r="AA81" s="654"/>
      <c r="AB81" s="643"/>
      <c r="AC81" s="643"/>
      <c r="AD81" s="643"/>
      <c r="AE81" s="646"/>
      <c r="AF81" s="645"/>
      <c r="AG81" s="643"/>
      <c r="AH81" s="643"/>
      <c r="AI81" s="650"/>
      <c r="AJ81" s="651"/>
      <c r="AK81" s="652"/>
    </row>
    <row r="82" spans="2:37" s="638" customFormat="1">
      <c r="B82" s="653">
        <v>37</v>
      </c>
      <c r="C82" s="640"/>
      <c r="D82" s="641"/>
      <c r="E82" s="641"/>
      <c r="F82" s="642"/>
      <c r="G82" s="642"/>
      <c r="H82" s="642"/>
      <c r="I82" s="641"/>
      <c r="J82" s="643"/>
      <c r="K82" s="644">
        <f t="shared" si="5"/>
        <v>0</v>
      </c>
      <c r="L82" s="645"/>
      <c r="M82" s="645"/>
      <c r="N82" s="645"/>
      <c r="O82" s="645"/>
      <c r="P82" s="646"/>
      <c r="Q82" s="645"/>
      <c r="R82" s="643"/>
      <c r="S82" s="643"/>
      <c r="T82" s="643"/>
      <c r="U82" s="646"/>
      <c r="V82" s="654"/>
      <c r="W82" s="643"/>
      <c r="X82" s="643"/>
      <c r="Y82" s="643"/>
      <c r="Z82" s="646"/>
      <c r="AA82" s="654"/>
      <c r="AB82" s="643"/>
      <c r="AC82" s="643"/>
      <c r="AD82" s="643"/>
      <c r="AE82" s="646"/>
      <c r="AF82" s="645"/>
      <c r="AG82" s="643"/>
      <c r="AH82" s="643"/>
      <c r="AI82" s="650"/>
      <c r="AJ82" s="651"/>
      <c r="AK82" s="652"/>
    </row>
    <row r="83" spans="2:37" s="638" customFormat="1">
      <c r="B83" s="653">
        <v>38</v>
      </c>
      <c r="C83" s="640"/>
      <c r="D83" s="641"/>
      <c r="E83" s="641"/>
      <c r="F83" s="642"/>
      <c r="G83" s="642"/>
      <c r="H83" s="642"/>
      <c r="I83" s="641"/>
      <c r="J83" s="643"/>
      <c r="K83" s="644">
        <f t="shared" si="5"/>
        <v>0</v>
      </c>
      <c r="L83" s="645"/>
      <c r="M83" s="645"/>
      <c r="N83" s="645"/>
      <c r="O83" s="645"/>
      <c r="P83" s="646"/>
      <c r="Q83" s="645"/>
      <c r="R83" s="643"/>
      <c r="S83" s="643"/>
      <c r="T83" s="643"/>
      <c r="U83" s="646"/>
      <c r="V83" s="654"/>
      <c r="W83" s="643"/>
      <c r="X83" s="643"/>
      <c r="Y83" s="643"/>
      <c r="Z83" s="646"/>
      <c r="AA83" s="654"/>
      <c r="AB83" s="643"/>
      <c r="AC83" s="643"/>
      <c r="AD83" s="643"/>
      <c r="AE83" s="646"/>
      <c r="AF83" s="645"/>
      <c r="AG83" s="643"/>
      <c r="AH83" s="643"/>
      <c r="AI83" s="650"/>
      <c r="AJ83" s="651"/>
      <c r="AK83" s="652"/>
    </row>
    <row r="84" spans="2:37" s="638" customFormat="1">
      <c r="B84" s="653">
        <v>39</v>
      </c>
      <c r="C84" s="640"/>
      <c r="D84" s="641"/>
      <c r="E84" s="641"/>
      <c r="F84" s="642"/>
      <c r="G84" s="642"/>
      <c r="H84" s="642"/>
      <c r="I84" s="641"/>
      <c r="J84" s="643"/>
      <c r="K84" s="644">
        <f t="shared" si="5"/>
        <v>0</v>
      </c>
      <c r="L84" s="645"/>
      <c r="M84" s="645"/>
      <c r="N84" s="645"/>
      <c r="O84" s="645"/>
      <c r="P84" s="646"/>
      <c r="Q84" s="645"/>
      <c r="R84" s="643"/>
      <c r="S84" s="643"/>
      <c r="T84" s="643"/>
      <c r="U84" s="646"/>
      <c r="V84" s="654"/>
      <c r="W84" s="643"/>
      <c r="X84" s="643"/>
      <c r="Y84" s="643"/>
      <c r="Z84" s="646"/>
      <c r="AA84" s="654"/>
      <c r="AB84" s="643"/>
      <c r="AC84" s="643"/>
      <c r="AD84" s="643"/>
      <c r="AE84" s="646"/>
      <c r="AF84" s="645"/>
      <c r="AG84" s="643"/>
      <c r="AH84" s="643"/>
      <c r="AI84" s="650"/>
      <c r="AJ84" s="651"/>
      <c r="AK84" s="652"/>
    </row>
    <row r="85" spans="2:37" s="638" customFormat="1">
      <c r="B85" s="653">
        <v>40</v>
      </c>
      <c r="C85" s="640"/>
      <c r="D85" s="641"/>
      <c r="E85" s="641"/>
      <c r="F85" s="642"/>
      <c r="G85" s="642"/>
      <c r="H85" s="642"/>
      <c r="I85" s="641"/>
      <c r="J85" s="643"/>
      <c r="K85" s="644">
        <f t="shared" si="5"/>
        <v>0</v>
      </c>
      <c r="L85" s="645"/>
      <c r="M85" s="645"/>
      <c r="N85" s="645"/>
      <c r="O85" s="645"/>
      <c r="P85" s="646"/>
      <c r="Q85" s="645"/>
      <c r="R85" s="643"/>
      <c r="S85" s="643"/>
      <c r="T85" s="643"/>
      <c r="U85" s="646"/>
      <c r="V85" s="654"/>
      <c r="W85" s="643"/>
      <c r="X85" s="643"/>
      <c r="Y85" s="643"/>
      <c r="Z85" s="646"/>
      <c r="AA85" s="654"/>
      <c r="AB85" s="643"/>
      <c r="AC85" s="643"/>
      <c r="AD85" s="643"/>
      <c r="AE85" s="646"/>
      <c r="AF85" s="645"/>
      <c r="AG85" s="643"/>
      <c r="AH85" s="643"/>
      <c r="AI85" s="650"/>
      <c r="AJ85" s="651"/>
      <c r="AK85" s="652"/>
    </row>
    <row r="86" spans="2:37" s="638" customFormat="1">
      <c r="B86" s="653">
        <v>41</v>
      </c>
      <c r="C86" s="640"/>
      <c r="D86" s="641"/>
      <c r="E86" s="641"/>
      <c r="F86" s="642"/>
      <c r="G86" s="642"/>
      <c r="H86" s="642"/>
      <c r="I86" s="641"/>
      <c r="J86" s="643"/>
      <c r="K86" s="644">
        <f t="shared" si="5"/>
        <v>0</v>
      </c>
      <c r="L86" s="645"/>
      <c r="M86" s="645"/>
      <c r="N86" s="645"/>
      <c r="O86" s="645"/>
      <c r="P86" s="646"/>
      <c r="Q86" s="645"/>
      <c r="R86" s="643"/>
      <c r="S86" s="643"/>
      <c r="T86" s="643"/>
      <c r="U86" s="646"/>
      <c r="V86" s="654"/>
      <c r="W86" s="643"/>
      <c r="X86" s="643"/>
      <c r="Y86" s="643"/>
      <c r="Z86" s="646"/>
      <c r="AA86" s="654"/>
      <c r="AB86" s="643"/>
      <c r="AC86" s="643"/>
      <c r="AD86" s="643"/>
      <c r="AE86" s="646"/>
      <c r="AF86" s="645"/>
      <c r="AG86" s="643"/>
      <c r="AH86" s="643"/>
      <c r="AI86" s="650"/>
      <c r="AJ86" s="651"/>
      <c r="AK86" s="652"/>
    </row>
    <row r="87" spans="2:37" s="638" customFormat="1">
      <c r="B87" s="653">
        <v>42</v>
      </c>
      <c r="C87" s="640"/>
      <c r="D87" s="641"/>
      <c r="E87" s="641"/>
      <c r="F87" s="642"/>
      <c r="G87" s="642"/>
      <c r="H87" s="642"/>
      <c r="I87" s="641"/>
      <c r="J87" s="643"/>
      <c r="K87" s="644">
        <f t="shared" si="5"/>
        <v>0</v>
      </c>
      <c r="L87" s="645"/>
      <c r="M87" s="645"/>
      <c r="N87" s="645"/>
      <c r="O87" s="645"/>
      <c r="P87" s="646"/>
      <c r="Q87" s="645"/>
      <c r="R87" s="643"/>
      <c r="S87" s="643"/>
      <c r="T87" s="643"/>
      <c r="U87" s="646"/>
      <c r="V87" s="654"/>
      <c r="W87" s="643"/>
      <c r="X87" s="643"/>
      <c r="Y87" s="643"/>
      <c r="Z87" s="646"/>
      <c r="AA87" s="654"/>
      <c r="AB87" s="643"/>
      <c r="AC87" s="643"/>
      <c r="AD87" s="643"/>
      <c r="AE87" s="646"/>
      <c r="AF87" s="645"/>
      <c r="AG87" s="643"/>
      <c r="AH87" s="643"/>
      <c r="AI87" s="650"/>
      <c r="AJ87" s="651"/>
      <c r="AK87" s="652"/>
    </row>
    <row r="88" spans="2:37" s="638" customFormat="1">
      <c r="B88" s="653">
        <v>43</v>
      </c>
      <c r="C88" s="640"/>
      <c r="D88" s="641"/>
      <c r="E88" s="641"/>
      <c r="F88" s="642"/>
      <c r="G88" s="642"/>
      <c r="H88" s="642"/>
      <c r="I88" s="641"/>
      <c r="J88" s="643"/>
      <c r="K88" s="644">
        <f t="shared" si="5"/>
        <v>0</v>
      </c>
      <c r="L88" s="645"/>
      <c r="M88" s="645"/>
      <c r="N88" s="645"/>
      <c r="O88" s="645"/>
      <c r="P88" s="646"/>
      <c r="Q88" s="645"/>
      <c r="R88" s="643"/>
      <c r="S88" s="643"/>
      <c r="T88" s="643"/>
      <c r="U88" s="646"/>
      <c r="V88" s="654"/>
      <c r="W88" s="643"/>
      <c r="X88" s="643"/>
      <c r="Y88" s="643"/>
      <c r="Z88" s="646"/>
      <c r="AA88" s="654"/>
      <c r="AB88" s="643"/>
      <c r="AC88" s="643"/>
      <c r="AD88" s="643"/>
      <c r="AE88" s="646"/>
      <c r="AF88" s="645"/>
      <c r="AG88" s="643"/>
      <c r="AH88" s="643"/>
      <c r="AI88" s="650"/>
      <c r="AJ88" s="651"/>
      <c r="AK88" s="652"/>
    </row>
    <row r="89" spans="2:37" s="638" customFormat="1">
      <c r="B89" s="653">
        <v>44</v>
      </c>
      <c r="C89" s="640"/>
      <c r="D89" s="641"/>
      <c r="E89" s="641"/>
      <c r="F89" s="642"/>
      <c r="G89" s="642"/>
      <c r="H89" s="642"/>
      <c r="I89" s="641"/>
      <c r="J89" s="643"/>
      <c r="K89" s="644">
        <f t="shared" si="5"/>
        <v>0</v>
      </c>
      <c r="L89" s="645"/>
      <c r="M89" s="645"/>
      <c r="N89" s="645"/>
      <c r="O89" s="645"/>
      <c r="P89" s="646"/>
      <c r="Q89" s="645"/>
      <c r="R89" s="643"/>
      <c r="S89" s="643"/>
      <c r="T89" s="643"/>
      <c r="U89" s="646"/>
      <c r="V89" s="654"/>
      <c r="W89" s="643"/>
      <c r="X89" s="643"/>
      <c r="Y89" s="643"/>
      <c r="Z89" s="646"/>
      <c r="AA89" s="654"/>
      <c r="AB89" s="643"/>
      <c r="AC89" s="643"/>
      <c r="AD89" s="643"/>
      <c r="AE89" s="646"/>
      <c r="AF89" s="645"/>
      <c r="AG89" s="643"/>
      <c r="AH89" s="643"/>
      <c r="AI89" s="650"/>
      <c r="AJ89" s="651"/>
      <c r="AK89" s="652"/>
    </row>
    <row r="90" spans="2:37" s="638" customFormat="1">
      <c r="B90" s="653">
        <v>45</v>
      </c>
      <c r="C90" s="640"/>
      <c r="D90" s="641"/>
      <c r="E90" s="641"/>
      <c r="F90" s="642"/>
      <c r="G90" s="642"/>
      <c r="H90" s="642"/>
      <c r="I90" s="641"/>
      <c r="J90" s="643"/>
      <c r="K90" s="644">
        <f t="shared" si="5"/>
        <v>0</v>
      </c>
      <c r="L90" s="645"/>
      <c r="M90" s="645"/>
      <c r="N90" s="645"/>
      <c r="O90" s="645"/>
      <c r="P90" s="646"/>
      <c r="Q90" s="645"/>
      <c r="R90" s="643"/>
      <c r="S90" s="643"/>
      <c r="T90" s="643"/>
      <c r="U90" s="646"/>
      <c r="V90" s="654"/>
      <c r="W90" s="643"/>
      <c r="X90" s="643"/>
      <c r="Y90" s="643"/>
      <c r="Z90" s="646"/>
      <c r="AA90" s="654"/>
      <c r="AB90" s="643"/>
      <c r="AC90" s="643"/>
      <c r="AD90" s="643"/>
      <c r="AE90" s="646"/>
      <c r="AF90" s="645"/>
      <c r="AG90" s="643"/>
      <c r="AH90" s="643"/>
      <c r="AI90" s="650"/>
      <c r="AJ90" s="651"/>
      <c r="AK90" s="652"/>
    </row>
    <row r="91" spans="2:37" s="638" customFormat="1">
      <c r="B91" s="653">
        <v>46</v>
      </c>
      <c r="C91" s="640"/>
      <c r="D91" s="641"/>
      <c r="E91" s="641"/>
      <c r="F91" s="642"/>
      <c r="G91" s="642"/>
      <c r="H91" s="642"/>
      <c r="I91" s="641"/>
      <c r="J91" s="643"/>
      <c r="K91" s="644">
        <f t="shared" si="5"/>
        <v>0</v>
      </c>
      <c r="L91" s="645"/>
      <c r="M91" s="645"/>
      <c r="N91" s="645"/>
      <c r="O91" s="645"/>
      <c r="P91" s="646"/>
      <c r="Q91" s="645"/>
      <c r="R91" s="643"/>
      <c r="S91" s="643"/>
      <c r="T91" s="643"/>
      <c r="U91" s="646"/>
      <c r="V91" s="654"/>
      <c r="W91" s="643"/>
      <c r="X91" s="643"/>
      <c r="Y91" s="643"/>
      <c r="Z91" s="646"/>
      <c r="AA91" s="654"/>
      <c r="AB91" s="643"/>
      <c r="AC91" s="643"/>
      <c r="AD91" s="643"/>
      <c r="AE91" s="646"/>
      <c r="AF91" s="645"/>
      <c r="AG91" s="643"/>
      <c r="AH91" s="643"/>
      <c r="AI91" s="650"/>
      <c r="AJ91" s="651"/>
      <c r="AK91" s="655"/>
    </row>
    <row r="92" spans="2:37">
      <c r="B92" s="653">
        <v>47</v>
      </c>
      <c r="C92" s="640"/>
      <c r="D92" s="641"/>
      <c r="E92" s="641"/>
      <c r="F92" s="642"/>
      <c r="G92" s="642"/>
      <c r="H92" s="642"/>
      <c r="I92" s="641"/>
      <c r="J92" s="643"/>
      <c r="K92" s="644">
        <f t="shared" si="5"/>
        <v>0</v>
      </c>
      <c r="L92" s="645"/>
      <c r="M92" s="645"/>
      <c r="N92" s="645"/>
      <c r="O92" s="645"/>
      <c r="P92" s="646"/>
      <c r="Q92" s="645"/>
      <c r="R92" s="643"/>
      <c r="S92" s="643"/>
      <c r="T92" s="643"/>
      <c r="U92" s="646"/>
      <c r="V92" s="654"/>
      <c r="W92" s="643"/>
      <c r="X92" s="643"/>
      <c r="Y92" s="643"/>
      <c r="Z92" s="646"/>
      <c r="AA92" s="654"/>
      <c r="AB92" s="643"/>
      <c r="AC92" s="643"/>
      <c r="AD92" s="643"/>
      <c r="AE92" s="646"/>
      <c r="AF92" s="645"/>
      <c r="AG92" s="643"/>
      <c r="AH92" s="643"/>
      <c r="AI92" s="650"/>
      <c r="AJ92" s="651"/>
      <c r="AK92" s="652"/>
    </row>
    <row r="93" spans="2:37">
      <c r="B93" s="653">
        <v>48</v>
      </c>
      <c r="C93" s="640"/>
      <c r="D93" s="641"/>
      <c r="E93" s="641"/>
      <c r="F93" s="642"/>
      <c r="G93" s="642"/>
      <c r="H93" s="642"/>
      <c r="I93" s="641"/>
      <c r="J93" s="643"/>
      <c r="K93" s="644">
        <f t="shared" si="5"/>
        <v>0</v>
      </c>
      <c r="L93" s="645"/>
      <c r="M93" s="645"/>
      <c r="N93" s="645"/>
      <c r="O93" s="645"/>
      <c r="P93" s="646"/>
      <c r="Q93" s="645"/>
      <c r="R93" s="643"/>
      <c r="S93" s="643"/>
      <c r="T93" s="643"/>
      <c r="U93" s="646"/>
      <c r="V93" s="654"/>
      <c r="W93" s="643"/>
      <c r="X93" s="643"/>
      <c r="Y93" s="643"/>
      <c r="Z93" s="646"/>
      <c r="AA93" s="654"/>
      <c r="AB93" s="643"/>
      <c r="AC93" s="643"/>
      <c r="AD93" s="643"/>
      <c r="AE93" s="646"/>
      <c r="AF93" s="645"/>
      <c r="AG93" s="643"/>
      <c r="AH93" s="643"/>
      <c r="AI93" s="650"/>
      <c r="AJ93" s="651"/>
      <c r="AK93" s="652"/>
    </row>
    <row r="94" spans="2:37">
      <c r="B94" s="653">
        <v>49</v>
      </c>
      <c r="C94" s="640"/>
      <c r="D94" s="641"/>
      <c r="E94" s="641"/>
      <c r="F94" s="642"/>
      <c r="G94" s="642"/>
      <c r="H94" s="642"/>
      <c r="I94" s="641"/>
      <c r="J94" s="643"/>
      <c r="K94" s="644">
        <f t="shared" si="5"/>
        <v>0</v>
      </c>
      <c r="L94" s="645"/>
      <c r="M94" s="645"/>
      <c r="N94" s="645"/>
      <c r="O94" s="645"/>
      <c r="P94" s="646"/>
      <c r="Q94" s="645"/>
      <c r="R94" s="643"/>
      <c r="S94" s="643"/>
      <c r="T94" s="643"/>
      <c r="U94" s="646"/>
      <c r="V94" s="654"/>
      <c r="W94" s="643"/>
      <c r="X94" s="643"/>
      <c r="Y94" s="643"/>
      <c r="Z94" s="646"/>
      <c r="AA94" s="654"/>
      <c r="AB94" s="643"/>
      <c r="AC94" s="643"/>
      <c r="AD94" s="643"/>
      <c r="AE94" s="646"/>
      <c r="AF94" s="645"/>
      <c r="AG94" s="643"/>
      <c r="AH94" s="643"/>
      <c r="AI94" s="650"/>
      <c r="AJ94" s="651"/>
      <c r="AK94" s="652"/>
    </row>
    <row r="95" spans="2:37">
      <c r="B95" s="653">
        <v>50</v>
      </c>
      <c r="C95" s="640"/>
      <c r="D95" s="641"/>
      <c r="E95" s="641"/>
      <c r="F95" s="642"/>
      <c r="G95" s="642"/>
      <c r="H95" s="642"/>
      <c r="I95" s="641"/>
      <c r="J95" s="643"/>
      <c r="K95" s="644">
        <f t="shared" si="5"/>
        <v>0</v>
      </c>
      <c r="L95" s="645"/>
      <c r="M95" s="645"/>
      <c r="N95" s="645"/>
      <c r="O95" s="645"/>
      <c r="P95" s="646"/>
      <c r="Q95" s="645"/>
      <c r="R95" s="643"/>
      <c r="S95" s="643"/>
      <c r="T95" s="643"/>
      <c r="U95" s="646"/>
      <c r="V95" s="654"/>
      <c r="W95" s="643"/>
      <c r="X95" s="643"/>
      <c r="Y95" s="643"/>
      <c r="Z95" s="646"/>
      <c r="AA95" s="654"/>
      <c r="AB95" s="643"/>
      <c r="AC95" s="643"/>
      <c r="AD95" s="643"/>
      <c r="AE95" s="646"/>
      <c r="AF95" s="645"/>
      <c r="AG95" s="643"/>
      <c r="AH95" s="643"/>
      <c r="AI95" s="650"/>
      <c r="AJ95" s="651"/>
      <c r="AK95" s="652"/>
    </row>
    <row r="96" spans="2:37">
      <c r="B96" s="653">
        <v>51</v>
      </c>
      <c r="C96" s="640"/>
      <c r="D96" s="641"/>
      <c r="E96" s="641"/>
      <c r="F96" s="642"/>
      <c r="G96" s="642"/>
      <c r="H96" s="642"/>
      <c r="I96" s="641"/>
      <c r="J96" s="643"/>
      <c r="K96" s="644">
        <f t="shared" si="5"/>
        <v>0</v>
      </c>
      <c r="L96" s="645"/>
      <c r="M96" s="645"/>
      <c r="N96" s="645"/>
      <c r="O96" s="645"/>
      <c r="P96" s="646"/>
      <c r="Q96" s="645"/>
      <c r="R96" s="643"/>
      <c r="S96" s="643"/>
      <c r="T96" s="643"/>
      <c r="U96" s="646"/>
      <c r="V96" s="654"/>
      <c r="W96" s="643"/>
      <c r="X96" s="643"/>
      <c r="Y96" s="643"/>
      <c r="Z96" s="646"/>
      <c r="AA96" s="654"/>
      <c r="AB96" s="643"/>
      <c r="AC96" s="643"/>
      <c r="AD96" s="643"/>
      <c r="AE96" s="646"/>
      <c r="AF96" s="645"/>
      <c r="AG96" s="643"/>
      <c r="AH96" s="643"/>
      <c r="AI96" s="650"/>
      <c r="AJ96" s="651"/>
      <c r="AK96" s="652"/>
    </row>
    <row r="97" spans="2:37">
      <c r="B97" s="653">
        <v>52</v>
      </c>
      <c r="C97" s="640"/>
      <c r="D97" s="641"/>
      <c r="E97" s="641"/>
      <c r="F97" s="642"/>
      <c r="G97" s="642"/>
      <c r="H97" s="642"/>
      <c r="I97" s="641"/>
      <c r="J97" s="643"/>
      <c r="K97" s="644">
        <f t="shared" si="5"/>
        <v>0</v>
      </c>
      <c r="L97" s="645"/>
      <c r="M97" s="645"/>
      <c r="N97" s="645"/>
      <c r="O97" s="645"/>
      <c r="P97" s="646"/>
      <c r="Q97" s="645"/>
      <c r="R97" s="643"/>
      <c r="S97" s="643"/>
      <c r="T97" s="643"/>
      <c r="U97" s="646"/>
      <c r="V97" s="654"/>
      <c r="W97" s="643"/>
      <c r="X97" s="643"/>
      <c r="Y97" s="643"/>
      <c r="Z97" s="646"/>
      <c r="AA97" s="654"/>
      <c r="AB97" s="643"/>
      <c r="AC97" s="643"/>
      <c r="AD97" s="643"/>
      <c r="AE97" s="646"/>
      <c r="AF97" s="645"/>
      <c r="AG97" s="643"/>
      <c r="AH97" s="643"/>
      <c r="AI97" s="650"/>
      <c r="AJ97" s="651"/>
      <c r="AK97" s="652"/>
    </row>
    <row r="98" spans="2:37">
      <c r="B98" s="653">
        <v>53</v>
      </c>
      <c r="C98" s="640"/>
      <c r="D98" s="641"/>
      <c r="E98" s="641"/>
      <c r="F98" s="642"/>
      <c r="G98" s="642"/>
      <c r="H98" s="642"/>
      <c r="I98" s="641"/>
      <c r="J98" s="643"/>
      <c r="K98" s="644">
        <f t="shared" si="5"/>
        <v>0</v>
      </c>
      <c r="L98" s="645"/>
      <c r="M98" s="645"/>
      <c r="N98" s="645"/>
      <c r="O98" s="645"/>
      <c r="P98" s="646"/>
      <c r="Q98" s="645"/>
      <c r="R98" s="643"/>
      <c r="S98" s="643"/>
      <c r="T98" s="643"/>
      <c r="U98" s="646"/>
      <c r="V98" s="654"/>
      <c r="W98" s="643"/>
      <c r="X98" s="643"/>
      <c r="Y98" s="643"/>
      <c r="Z98" s="646"/>
      <c r="AA98" s="654"/>
      <c r="AB98" s="643"/>
      <c r="AC98" s="643"/>
      <c r="AD98" s="643"/>
      <c r="AE98" s="646"/>
      <c r="AF98" s="645"/>
      <c r="AG98" s="643"/>
      <c r="AH98" s="643"/>
      <c r="AI98" s="650"/>
      <c r="AJ98" s="651"/>
      <c r="AK98" s="652"/>
    </row>
    <row r="99" spans="2:37" s="638" customFormat="1" ht="13.5" thickBot="1">
      <c r="B99" s="666"/>
      <c r="C99" s="667" t="s">
        <v>200</v>
      </c>
      <c r="D99" s="668"/>
      <c r="E99" s="668"/>
      <c r="F99" s="668"/>
      <c r="G99" s="668"/>
      <c r="H99" s="668"/>
      <c r="I99" s="669">
        <f t="shared" ref="I99:U99" si="6">SUM(I46:I98)</f>
        <v>0</v>
      </c>
      <c r="J99" s="670">
        <f t="shared" si="6"/>
        <v>0</v>
      </c>
      <c r="K99" s="671">
        <f t="shared" si="6"/>
        <v>0</v>
      </c>
      <c r="L99" s="672">
        <f t="shared" si="6"/>
        <v>0</v>
      </c>
      <c r="M99" s="673">
        <f t="shared" si="6"/>
        <v>0</v>
      </c>
      <c r="N99" s="673">
        <f t="shared" si="6"/>
        <v>0</v>
      </c>
      <c r="O99" s="673">
        <f t="shared" si="6"/>
        <v>0</v>
      </c>
      <c r="P99" s="674">
        <f t="shared" si="6"/>
        <v>0</v>
      </c>
      <c r="Q99" s="675">
        <f t="shared" si="6"/>
        <v>0</v>
      </c>
      <c r="R99" s="673">
        <f t="shared" si="6"/>
        <v>0</v>
      </c>
      <c r="S99" s="676">
        <f t="shared" si="6"/>
        <v>0</v>
      </c>
      <c r="T99" s="676">
        <f t="shared" si="6"/>
        <v>0</v>
      </c>
      <c r="U99" s="674">
        <f t="shared" si="6"/>
        <v>0</v>
      </c>
      <c r="V99" s="677">
        <f>SUM(V46:V98)</f>
        <v>0</v>
      </c>
      <c r="W99" s="677">
        <f t="shared" ref="W99:AH99" si="7">SUM(W46:W98)</f>
        <v>0</v>
      </c>
      <c r="X99" s="677">
        <f t="shared" si="7"/>
        <v>0</v>
      </c>
      <c r="Y99" s="677">
        <f t="shared" si="7"/>
        <v>0</v>
      </c>
      <c r="Z99" s="677">
        <f t="shared" si="7"/>
        <v>0</v>
      </c>
      <c r="AA99" s="677">
        <f t="shared" si="7"/>
        <v>0</v>
      </c>
      <c r="AB99" s="677">
        <f t="shared" si="7"/>
        <v>0</v>
      </c>
      <c r="AC99" s="677">
        <f t="shared" si="7"/>
        <v>0</v>
      </c>
      <c r="AD99" s="677">
        <f t="shared" si="7"/>
        <v>0</v>
      </c>
      <c r="AE99" s="677">
        <f t="shared" si="7"/>
        <v>0</v>
      </c>
      <c r="AF99" s="677">
        <f t="shared" si="7"/>
        <v>0</v>
      </c>
      <c r="AG99" s="677">
        <f t="shared" si="7"/>
        <v>0</v>
      </c>
      <c r="AH99" s="677">
        <f t="shared" si="7"/>
        <v>0</v>
      </c>
      <c r="AI99" s="678"/>
      <c r="AJ99" s="679"/>
      <c r="AK99" s="680"/>
    </row>
    <row r="100" spans="2:37" s="638" customFormat="1"/>
    <row r="101" spans="2:37" s="638" customFormat="1"/>
    <row r="102" spans="2:37" s="638" customFormat="1"/>
    <row r="103" spans="2:37" s="638" customFormat="1"/>
    <row r="104" spans="2:37" s="638" customFormat="1"/>
    <row r="105" spans="2:37" s="638" customFormat="1"/>
    <row r="106" spans="2:37" s="638" customFormat="1"/>
    <row r="107" spans="2:37" s="638" customFormat="1"/>
    <row r="108" spans="2:37" s="638" customFormat="1"/>
    <row r="109" spans="2:37" s="638" customFormat="1"/>
    <row r="110" spans="2:37" ht="15.75" customHeight="1"/>
    <row r="111" spans="2:37" ht="15.75" customHeight="1"/>
    <row r="112" spans="2:37" ht="15.75" customHeight="1"/>
    <row r="113" ht="15.75" customHeight="1"/>
    <row r="114" ht="15.75" customHeight="1"/>
    <row r="115" ht="15.75" customHeight="1"/>
    <row r="116" ht="15.75" customHeight="1"/>
  </sheetData>
  <mergeCells count="9">
    <mergeCell ref="V43:AI43"/>
    <mergeCell ref="AJ43:AJ44"/>
    <mergeCell ref="V44:AE44"/>
    <mergeCell ref="S7:T7"/>
    <mergeCell ref="C24:C25"/>
    <mergeCell ref="C32:C33"/>
    <mergeCell ref="C43:K43"/>
    <mergeCell ref="L43:P43"/>
    <mergeCell ref="Q43:U43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12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5FFFF"/>
    <pageSetUpPr fitToPage="1"/>
  </sheetPr>
  <dimension ref="A1:S33"/>
  <sheetViews>
    <sheetView workbookViewId="0">
      <selection sqref="A1:XFD1048576"/>
    </sheetView>
  </sheetViews>
  <sheetFormatPr defaultColWidth="8.85546875" defaultRowHeight="12.75"/>
  <cols>
    <col min="1" max="1" width="5.5703125" style="62" customWidth="1"/>
    <col min="2" max="2" width="18.140625" style="62" customWidth="1"/>
    <col min="3" max="3" width="15.7109375" style="62" customWidth="1"/>
    <col min="4" max="18" width="8.85546875" style="62"/>
    <col min="19" max="19" width="10.7109375" style="62" customWidth="1"/>
    <col min="20" max="16384" width="8.85546875" style="62"/>
  </cols>
  <sheetData>
    <row r="1" spans="1:19">
      <c r="A1" s="681" t="s">
        <v>74</v>
      </c>
      <c r="F1" s="118" t="s">
        <v>984</v>
      </c>
    </row>
    <row r="2" spans="1:19">
      <c r="A2" s="681"/>
    </row>
    <row r="3" spans="1:19">
      <c r="A3" s="681" t="s">
        <v>397</v>
      </c>
    </row>
    <row r="6" spans="1:19">
      <c r="B6" s="547" t="s">
        <v>398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</row>
    <row r="7" spans="1:19" ht="13.5" thickBot="1">
      <c r="B7" s="583"/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  <c r="Q7" s="583"/>
      <c r="R7" s="583"/>
      <c r="S7" s="583"/>
    </row>
    <row r="8" spans="1:19" ht="15" customHeight="1">
      <c r="B8" s="1498"/>
      <c r="C8" s="1499"/>
      <c r="D8" s="682" t="s">
        <v>399</v>
      </c>
      <c r="E8" s="683"/>
      <c r="F8" s="684"/>
      <c r="G8" s="682" t="s">
        <v>400</v>
      </c>
      <c r="H8" s="683"/>
      <c r="I8" s="684"/>
      <c r="J8" s="583"/>
      <c r="K8" s="583"/>
      <c r="L8" s="583"/>
      <c r="M8" s="583"/>
      <c r="N8" s="583"/>
      <c r="O8" s="583"/>
      <c r="P8" s="583"/>
      <c r="Q8" s="583"/>
      <c r="R8" s="583"/>
      <c r="S8" s="583"/>
    </row>
    <row r="9" spans="1:19" ht="15" customHeight="1">
      <c r="B9" s="1500"/>
      <c r="C9" s="1501"/>
      <c r="D9" s="685" t="s">
        <v>401</v>
      </c>
      <c r="E9" s="686" t="s">
        <v>402</v>
      </c>
      <c r="F9" s="687" t="s">
        <v>223</v>
      </c>
      <c r="G9" s="685" t="s">
        <v>401</v>
      </c>
      <c r="H9" s="686" t="s">
        <v>402</v>
      </c>
      <c r="I9" s="687" t="s">
        <v>223</v>
      </c>
      <c r="J9" s="583"/>
      <c r="K9" s="583"/>
      <c r="L9" s="583"/>
      <c r="M9" s="583"/>
      <c r="N9" s="583"/>
      <c r="O9" s="583"/>
      <c r="P9" s="583"/>
      <c r="Q9" s="583"/>
      <c r="R9" s="583"/>
      <c r="S9" s="583"/>
    </row>
    <row r="10" spans="1:19" ht="15" customHeight="1">
      <c r="B10" s="1491" t="s">
        <v>403</v>
      </c>
      <c r="C10" s="1492"/>
      <c r="D10" s="688">
        <v>62</v>
      </c>
      <c r="E10" s="689">
        <v>324</v>
      </c>
      <c r="F10" s="690">
        <v>307</v>
      </c>
      <c r="G10" s="688">
        <v>62</v>
      </c>
      <c r="H10" s="689">
        <v>324</v>
      </c>
      <c r="I10" s="690">
        <v>307</v>
      </c>
      <c r="J10" s="583"/>
      <c r="K10" s="583"/>
      <c r="L10" s="583"/>
      <c r="M10" s="583"/>
      <c r="N10" s="583"/>
      <c r="O10" s="583"/>
      <c r="P10" s="583"/>
      <c r="Q10" s="583"/>
      <c r="R10" s="583"/>
      <c r="S10" s="583"/>
    </row>
    <row r="11" spans="1:19" ht="27" customHeight="1">
      <c r="B11" s="1502" t="s">
        <v>404</v>
      </c>
      <c r="C11" s="1503"/>
      <c r="D11" s="691">
        <v>1</v>
      </c>
      <c r="E11" s="692">
        <v>7</v>
      </c>
      <c r="F11" s="693">
        <v>4</v>
      </c>
      <c r="G11" s="691">
        <v>1</v>
      </c>
      <c r="H11" s="692">
        <v>7</v>
      </c>
      <c r="I11" s="693">
        <v>4</v>
      </c>
      <c r="J11" s="583"/>
      <c r="K11" s="583"/>
      <c r="L11" s="583"/>
      <c r="M11" s="583"/>
      <c r="N11" s="583"/>
      <c r="O11" s="583"/>
      <c r="P11" s="583"/>
      <c r="Q11" s="583"/>
      <c r="R11" s="583"/>
      <c r="S11" s="583"/>
    </row>
    <row r="12" spans="1:19" ht="30" customHeight="1" thickBot="1">
      <c r="B12" s="1504" t="s">
        <v>405</v>
      </c>
      <c r="C12" s="1505"/>
      <c r="D12" s="694">
        <v>0</v>
      </c>
      <c r="E12" s="695">
        <v>2</v>
      </c>
      <c r="F12" s="696">
        <v>1</v>
      </c>
      <c r="G12" s="694">
        <v>0</v>
      </c>
      <c r="H12" s="695">
        <v>2</v>
      </c>
      <c r="I12" s="696">
        <v>1</v>
      </c>
      <c r="J12" s="583"/>
      <c r="K12" s="583"/>
      <c r="L12" s="583"/>
      <c r="M12" s="583"/>
      <c r="N12" s="583"/>
      <c r="O12" s="583"/>
      <c r="P12" s="583"/>
      <c r="Q12" s="583"/>
      <c r="R12" s="583"/>
      <c r="S12" s="583"/>
    </row>
    <row r="13" spans="1:19">
      <c r="B13" s="583"/>
      <c r="C13" s="583"/>
      <c r="D13" s="697"/>
      <c r="E13" s="697"/>
      <c r="F13" s="697"/>
      <c r="G13" s="697"/>
      <c r="H13" s="697"/>
      <c r="I13" s="697"/>
      <c r="J13" s="583"/>
      <c r="K13" s="583"/>
      <c r="L13" s="583"/>
      <c r="M13" s="583"/>
      <c r="N13" s="583"/>
      <c r="O13" s="583"/>
      <c r="P13" s="583"/>
      <c r="Q13" s="583"/>
      <c r="R13" s="583"/>
      <c r="S13" s="583"/>
    </row>
    <row r="14" spans="1:19">
      <c r="B14" s="547" t="s">
        <v>406</v>
      </c>
      <c r="C14" s="583"/>
      <c r="D14" s="697"/>
      <c r="E14" s="697"/>
      <c r="F14" s="697"/>
      <c r="G14" s="697"/>
      <c r="H14" s="697"/>
      <c r="I14" s="697"/>
      <c r="J14" s="583"/>
      <c r="K14" s="583"/>
      <c r="L14" s="583"/>
      <c r="M14" s="583"/>
      <c r="N14" s="583"/>
      <c r="O14" s="583"/>
      <c r="P14" s="583"/>
      <c r="Q14" s="583"/>
      <c r="R14" s="583"/>
      <c r="S14" s="583"/>
    </row>
    <row r="15" spans="1:19" ht="13.5" thickBot="1">
      <c r="B15" s="583"/>
      <c r="C15" s="583"/>
      <c r="D15" s="697"/>
      <c r="E15" s="697"/>
      <c r="F15" s="697"/>
      <c r="G15" s="697"/>
      <c r="H15" s="697"/>
      <c r="I15" s="697"/>
      <c r="J15" s="583"/>
      <c r="K15" s="583"/>
      <c r="L15" s="583"/>
      <c r="M15" s="583"/>
      <c r="N15" s="583"/>
      <c r="O15" s="583"/>
      <c r="P15" s="583"/>
      <c r="Q15" s="583"/>
      <c r="R15" s="583"/>
      <c r="S15" s="583"/>
    </row>
    <row r="16" spans="1:19">
      <c r="B16" s="1506" t="s">
        <v>407</v>
      </c>
      <c r="C16" s="1507"/>
      <c r="D16" s="682" t="s">
        <v>191</v>
      </c>
      <c r="E16" s="683"/>
      <c r="F16" s="684"/>
      <c r="G16" s="682" t="s">
        <v>192</v>
      </c>
      <c r="H16" s="683"/>
      <c r="I16" s="684"/>
      <c r="J16" s="583"/>
      <c r="K16" s="583"/>
      <c r="L16" s="583"/>
      <c r="M16" s="583"/>
      <c r="N16" s="583"/>
      <c r="O16" s="583"/>
      <c r="P16" s="583"/>
      <c r="Q16" s="583"/>
      <c r="R16" s="583"/>
      <c r="S16" s="583"/>
    </row>
    <row r="17" spans="2:19">
      <c r="B17" s="1508"/>
      <c r="C17" s="1509"/>
      <c r="D17" s="698" t="s">
        <v>401</v>
      </c>
      <c r="E17" s="699" t="s">
        <v>402</v>
      </c>
      <c r="F17" s="700" t="s">
        <v>223</v>
      </c>
      <c r="G17" s="698" t="s">
        <v>401</v>
      </c>
      <c r="H17" s="699" t="s">
        <v>402</v>
      </c>
      <c r="I17" s="700" t="s">
        <v>223</v>
      </c>
      <c r="J17" s="583"/>
      <c r="K17" s="583"/>
      <c r="L17" s="583"/>
      <c r="M17" s="583"/>
      <c r="N17" s="583"/>
      <c r="O17" s="583"/>
      <c r="P17" s="583"/>
      <c r="Q17" s="583"/>
      <c r="R17" s="583"/>
      <c r="S17" s="583"/>
    </row>
    <row r="18" spans="2:19" ht="15" customHeight="1">
      <c r="B18" s="1491" t="s">
        <v>408</v>
      </c>
      <c r="C18" s="1492"/>
      <c r="D18" s="691">
        <v>0</v>
      </c>
      <c r="E18" s="692">
        <v>0</v>
      </c>
      <c r="F18" s="701">
        <v>0</v>
      </c>
      <c r="G18" s="691">
        <v>0</v>
      </c>
      <c r="H18" s="692">
        <v>1</v>
      </c>
      <c r="I18" s="701">
        <v>0</v>
      </c>
      <c r="J18" s="583"/>
      <c r="K18" s="583"/>
      <c r="L18" s="583"/>
      <c r="M18" s="583"/>
      <c r="N18" s="583"/>
      <c r="O18" s="583"/>
      <c r="P18" s="583"/>
      <c r="Q18" s="583"/>
      <c r="R18" s="583"/>
      <c r="S18" s="583"/>
    </row>
    <row r="19" spans="2:19" ht="15" customHeight="1">
      <c r="B19" s="1491" t="s">
        <v>409</v>
      </c>
      <c r="C19" s="1492"/>
      <c r="D19" s="691">
        <v>0</v>
      </c>
      <c r="E19" s="692">
        <v>0</v>
      </c>
      <c r="F19" s="701">
        <v>0</v>
      </c>
      <c r="G19" s="691">
        <v>0</v>
      </c>
      <c r="H19" s="692">
        <v>0</v>
      </c>
      <c r="I19" s="701">
        <v>0</v>
      </c>
      <c r="J19" s="583"/>
      <c r="K19" s="583"/>
      <c r="L19" s="583"/>
      <c r="M19" s="583"/>
      <c r="N19" s="583"/>
      <c r="O19" s="583"/>
      <c r="P19" s="583"/>
      <c r="Q19" s="583"/>
      <c r="R19" s="583"/>
      <c r="S19" s="583"/>
    </row>
    <row r="20" spans="2:19" ht="15" customHeight="1" thickBot="1">
      <c r="B20" s="1493" t="s">
        <v>410</v>
      </c>
      <c r="C20" s="1494"/>
      <c r="D20" s="694">
        <v>0</v>
      </c>
      <c r="E20" s="702">
        <v>0</v>
      </c>
      <c r="F20" s="696">
        <v>0</v>
      </c>
      <c r="G20" s="694">
        <v>0</v>
      </c>
      <c r="H20" s="702">
        <v>0</v>
      </c>
      <c r="I20" s="696">
        <v>0</v>
      </c>
      <c r="J20" s="583"/>
      <c r="K20" s="583"/>
      <c r="L20" s="583"/>
      <c r="M20" s="583"/>
      <c r="N20" s="583"/>
      <c r="O20" s="583"/>
      <c r="P20" s="583"/>
      <c r="Q20" s="583"/>
      <c r="R20" s="583"/>
      <c r="S20" s="583"/>
    </row>
    <row r="21" spans="2:19">
      <c r="B21" s="583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</row>
    <row r="22" spans="2:19">
      <c r="B22" s="547" t="s">
        <v>411</v>
      </c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</row>
    <row r="23" spans="2:19" ht="13.5" thickBot="1">
      <c r="B23" s="547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</row>
    <row r="24" spans="2:19">
      <c r="B24" s="1495"/>
      <c r="C24" s="170" t="s">
        <v>191</v>
      </c>
      <c r="D24" s="171"/>
      <c r="E24" s="171"/>
      <c r="F24" s="171"/>
      <c r="G24" s="703"/>
      <c r="H24" s="170" t="s">
        <v>192</v>
      </c>
      <c r="I24" s="704"/>
      <c r="J24" s="704"/>
      <c r="K24" s="704"/>
      <c r="L24" s="703"/>
      <c r="M24" s="705"/>
      <c r="N24" s="244" t="s">
        <v>191</v>
      </c>
      <c r="O24" s="245"/>
      <c r="P24" s="246"/>
      <c r="Q24" s="705"/>
      <c r="R24" s="244" t="s">
        <v>192</v>
      </c>
      <c r="S24" s="246"/>
    </row>
    <row r="25" spans="2:19">
      <c r="B25" s="1496"/>
      <c r="C25" s="247" t="s">
        <v>79</v>
      </c>
      <c r="D25" s="248" t="s">
        <v>80</v>
      </c>
      <c r="E25" s="248" t="s">
        <v>81</v>
      </c>
      <c r="F25" s="248" t="s">
        <v>82</v>
      </c>
      <c r="G25" s="249" t="s">
        <v>44</v>
      </c>
      <c r="H25" s="247" t="s">
        <v>193</v>
      </c>
      <c r="I25" s="248" t="s">
        <v>194</v>
      </c>
      <c r="J25" s="248" t="s">
        <v>195</v>
      </c>
      <c r="K25" s="248" t="s">
        <v>196</v>
      </c>
      <c r="L25" s="249" t="s">
        <v>197</v>
      </c>
      <c r="M25" s="705"/>
      <c r="N25" s="247" t="s">
        <v>198</v>
      </c>
      <c r="O25" s="248" t="s">
        <v>199</v>
      </c>
      <c r="P25" s="249" t="s">
        <v>200</v>
      </c>
      <c r="Q25" s="705"/>
      <c r="R25" s="247" t="s">
        <v>199</v>
      </c>
      <c r="S25" s="249" t="s">
        <v>201</v>
      </c>
    </row>
    <row r="26" spans="2:19">
      <c r="B26" s="1497"/>
      <c r="C26" s="555" t="s">
        <v>343</v>
      </c>
      <c r="D26" s="556" t="s">
        <v>343</v>
      </c>
      <c r="E26" s="556" t="s">
        <v>343</v>
      </c>
      <c r="F26" s="556" t="s">
        <v>343</v>
      </c>
      <c r="G26" s="557" t="s">
        <v>343</v>
      </c>
      <c r="H26" s="555" t="s">
        <v>343</v>
      </c>
      <c r="I26" s="556" t="s">
        <v>343</v>
      </c>
      <c r="J26" s="556" t="s">
        <v>343</v>
      </c>
      <c r="K26" s="556" t="s">
        <v>343</v>
      </c>
      <c r="L26" s="557" t="s">
        <v>343</v>
      </c>
      <c r="M26" s="706"/>
      <c r="N26" s="555" t="s">
        <v>343</v>
      </c>
      <c r="O26" s="556" t="s">
        <v>343</v>
      </c>
      <c r="P26" s="557" t="s">
        <v>343</v>
      </c>
      <c r="Q26" s="706"/>
      <c r="R26" s="555" t="s">
        <v>343</v>
      </c>
      <c r="S26" s="557" t="s">
        <v>343</v>
      </c>
    </row>
    <row r="27" spans="2:19" ht="25.5">
      <c r="B27" s="571" t="s">
        <v>412</v>
      </c>
      <c r="C27" s="707"/>
      <c r="D27" s="708"/>
      <c r="E27" s="708"/>
      <c r="F27" s="708"/>
      <c r="G27" s="709"/>
      <c r="H27" s="707"/>
      <c r="I27" s="708"/>
      <c r="J27" s="708"/>
      <c r="K27" s="708"/>
      <c r="L27" s="709"/>
      <c r="M27" s="706"/>
      <c r="N27" s="707"/>
      <c r="O27" s="710"/>
      <c r="P27" s="711"/>
      <c r="Q27" s="706"/>
      <c r="R27" s="707"/>
      <c r="S27" s="565"/>
    </row>
    <row r="28" spans="2:19">
      <c r="B28" s="567" t="s">
        <v>413</v>
      </c>
      <c r="C28" s="186">
        <v>0</v>
      </c>
      <c r="D28" s="187">
        <v>0</v>
      </c>
      <c r="E28" s="187">
        <v>0</v>
      </c>
      <c r="F28" s="187">
        <v>0</v>
      </c>
      <c r="G28" s="188">
        <v>0</v>
      </c>
      <c r="H28" s="186">
        <v>0</v>
      </c>
      <c r="I28" s="189">
        <v>0</v>
      </c>
      <c r="J28" s="189">
        <v>0</v>
      </c>
      <c r="K28" s="189">
        <v>0</v>
      </c>
      <c r="L28" s="188">
        <v>0</v>
      </c>
      <c r="M28" s="712"/>
      <c r="N28" s="713">
        <v>0</v>
      </c>
      <c r="O28" s="714">
        <v>0</v>
      </c>
      <c r="P28" s="715">
        <v>0</v>
      </c>
      <c r="Q28" s="712"/>
      <c r="R28" s="713">
        <v>0</v>
      </c>
      <c r="S28" s="149" t="s">
        <v>987</v>
      </c>
    </row>
    <row r="29" spans="2:19">
      <c r="B29" s="567" t="s">
        <v>223</v>
      </c>
      <c r="C29" s="186">
        <v>0</v>
      </c>
      <c r="D29" s="187">
        <v>0</v>
      </c>
      <c r="E29" s="187">
        <v>0</v>
      </c>
      <c r="F29" s="187">
        <v>0</v>
      </c>
      <c r="G29" s="188">
        <v>0</v>
      </c>
      <c r="H29" s="186">
        <v>0</v>
      </c>
      <c r="I29" s="189">
        <v>0</v>
      </c>
      <c r="J29" s="189">
        <v>0</v>
      </c>
      <c r="K29" s="189">
        <v>0</v>
      </c>
      <c r="L29" s="188">
        <v>0</v>
      </c>
      <c r="M29" s="712"/>
      <c r="N29" s="713">
        <v>0</v>
      </c>
      <c r="O29" s="714">
        <v>0</v>
      </c>
      <c r="P29" s="715">
        <v>0</v>
      </c>
      <c r="Q29" s="712"/>
      <c r="R29" s="713">
        <v>0</v>
      </c>
      <c r="S29" s="149" t="s">
        <v>987</v>
      </c>
    </row>
    <row r="30" spans="2:19">
      <c r="B30" s="567" t="s">
        <v>414</v>
      </c>
      <c r="C30" s="186">
        <v>0</v>
      </c>
      <c r="D30" s="187">
        <v>0</v>
      </c>
      <c r="E30" s="187">
        <v>0</v>
      </c>
      <c r="F30" s="187">
        <v>0</v>
      </c>
      <c r="G30" s="188">
        <v>0</v>
      </c>
      <c r="H30" s="186">
        <v>0</v>
      </c>
      <c r="I30" s="189">
        <v>1.6</v>
      </c>
      <c r="J30" s="189">
        <v>1.3</v>
      </c>
      <c r="K30" s="189">
        <v>0</v>
      </c>
      <c r="L30" s="188">
        <v>0</v>
      </c>
      <c r="M30" s="712"/>
      <c r="N30" s="713">
        <v>0</v>
      </c>
      <c r="O30" s="714">
        <v>0</v>
      </c>
      <c r="P30" s="715">
        <v>0</v>
      </c>
      <c r="Q30" s="712"/>
      <c r="R30" s="713">
        <v>2.9</v>
      </c>
      <c r="S30" s="149" t="s">
        <v>987</v>
      </c>
    </row>
    <row r="31" spans="2:19">
      <c r="B31" s="567" t="s">
        <v>415</v>
      </c>
      <c r="C31" s="186">
        <v>0</v>
      </c>
      <c r="D31" s="187">
        <v>0</v>
      </c>
      <c r="E31" s="187">
        <v>0</v>
      </c>
      <c r="F31" s="187">
        <v>0</v>
      </c>
      <c r="G31" s="188">
        <v>0</v>
      </c>
      <c r="H31" s="186">
        <v>0</v>
      </c>
      <c r="I31" s="189">
        <v>0</v>
      </c>
      <c r="J31" s="189">
        <v>0</v>
      </c>
      <c r="K31" s="189">
        <v>0</v>
      </c>
      <c r="L31" s="188">
        <v>0</v>
      </c>
      <c r="M31" s="712"/>
      <c r="N31" s="713">
        <v>0</v>
      </c>
      <c r="O31" s="714">
        <v>0</v>
      </c>
      <c r="P31" s="715">
        <v>0</v>
      </c>
      <c r="Q31" s="712"/>
      <c r="R31" s="713">
        <v>0</v>
      </c>
      <c r="S31" s="149" t="s">
        <v>987</v>
      </c>
    </row>
    <row r="32" spans="2:19" ht="13.5" thickBot="1">
      <c r="B32" s="716" t="s">
        <v>416</v>
      </c>
      <c r="C32" s="161">
        <v>0</v>
      </c>
      <c r="D32" s="164">
        <v>0</v>
      </c>
      <c r="E32" s="164">
        <v>0</v>
      </c>
      <c r="F32" s="164">
        <v>0</v>
      </c>
      <c r="G32" s="163">
        <v>0</v>
      </c>
      <c r="H32" s="161">
        <v>0</v>
      </c>
      <c r="I32" s="162">
        <v>1.6</v>
      </c>
      <c r="J32" s="162">
        <v>1.3</v>
      </c>
      <c r="K32" s="162">
        <v>0</v>
      </c>
      <c r="L32" s="163">
        <v>0</v>
      </c>
      <c r="M32" s="717"/>
      <c r="N32" s="161">
        <v>0</v>
      </c>
      <c r="O32" s="162">
        <v>0</v>
      </c>
      <c r="P32" s="163">
        <v>0</v>
      </c>
      <c r="Q32" s="717"/>
      <c r="R32" s="161">
        <v>2.9</v>
      </c>
      <c r="S32" s="271" t="s">
        <v>987</v>
      </c>
    </row>
    <row r="33" spans="2:19">
      <c r="B33" s="546"/>
      <c r="C33" s="546"/>
      <c r="D33" s="546"/>
      <c r="E33" s="546"/>
      <c r="F33" s="546"/>
      <c r="G33" s="546"/>
      <c r="H33" s="546"/>
      <c r="I33" s="546"/>
      <c r="J33" s="546"/>
      <c r="K33" s="546"/>
      <c r="L33" s="546"/>
      <c r="M33" s="549"/>
      <c r="N33" s="546"/>
      <c r="O33" s="546"/>
      <c r="P33" s="546"/>
      <c r="Q33" s="549"/>
      <c r="R33" s="546"/>
      <c r="S33" s="546"/>
    </row>
  </sheetData>
  <mergeCells count="9">
    <mergeCell ref="B19:C19"/>
    <mergeCell ref="B20:C20"/>
    <mergeCell ref="B24:B26"/>
    <mergeCell ref="B8:C9"/>
    <mergeCell ref="B10:C10"/>
    <mergeCell ref="B11:C11"/>
    <mergeCell ref="B12:C12"/>
    <mergeCell ref="B16:C17"/>
    <mergeCell ref="B18:C18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4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C5FFFF"/>
    <pageSetUpPr fitToPage="1"/>
  </sheetPr>
  <dimension ref="A1:W187"/>
  <sheetViews>
    <sheetView workbookViewId="0">
      <selection sqref="A1:XFD1048576"/>
    </sheetView>
  </sheetViews>
  <sheetFormatPr defaultRowHeight="14.25"/>
  <cols>
    <col min="1" max="1" width="4.28515625" style="820" customWidth="1"/>
    <col min="2" max="2" width="45.85546875" style="822" customWidth="1"/>
    <col min="3" max="3" width="40.28515625" style="822" customWidth="1"/>
    <col min="4" max="8" width="10.28515625" style="822" customWidth="1"/>
    <col min="9" max="13" width="10.28515625" style="823" customWidth="1"/>
    <col min="14" max="14" width="4.140625" style="823" customWidth="1"/>
    <col min="15" max="17" width="13.7109375" style="823" customWidth="1"/>
    <col min="18" max="18" width="4.28515625" style="823" customWidth="1"/>
    <col min="19" max="20" width="11.85546875" style="823" customWidth="1"/>
    <col min="21" max="23" width="9.140625" style="823"/>
    <col min="24" max="16384" width="9.140625" style="822"/>
  </cols>
  <sheetData>
    <row r="1" spans="1:20" s="718" customFormat="1" ht="20.25">
      <c r="A1" s="681" t="s">
        <v>340</v>
      </c>
      <c r="G1" s="719" t="s">
        <v>47</v>
      </c>
    </row>
    <row r="2" spans="1:20" s="718" customFormat="1" ht="20.25">
      <c r="A2" s="681" t="s">
        <v>988</v>
      </c>
      <c r="B2" s="719"/>
    </row>
    <row r="3" spans="1:20" s="718" customFormat="1" ht="20.25">
      <c r="A3" s="681" t="s">
        <v>417</v>
      </c>
    </row>
    <row r="4" spans="1:20" s="721" customFormat="1" ht="12.75">
      <c r="A4" s="720"/>
      <c r="S4" s="705"/>
      <c r="T4" s="705"/>
    </row>
    <row r="5" spans="1:20" s="721" customFormat="1" ht="12.75">
      <c r="A5" s="720"/>
      <c r="B5" s="722" t="s">
        <v>418</v>
      </c>
      <c r="O5" s="705"/>
      <c r="P5" s="705"/>
      <c r="Q5" s="705"/>
      <c r="R5" s="705"/>
      <c r="S5" s="705"/>
      <c r="T5" s="705"/>
    </row>
    <row r="6" spans="1:20" s="724" customFormat="1" ht="13.5" thickBot="1">
      <c r="A6" s="723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705"/>
      <c r="O6" s="605"/>
      <c r="P6" s="605"/>
      <c r="Q6" s="605"/>
      <c r="R6" s="705"/>
      <c r="S6" s="605"/>
      <c r="T6" s="605"/>
    </row>
    <row r="7" spans="1:20" s="724" customFormat="1" ht="12.75">
      <c r="A7" s="723"/>
      <c r="B7" s="1512" t="s">
        <v>419</v>
      </c>
      <c r="C7" s="1513"/>
      <c r="D7" s="725" t="s">
        <v>420</v>
      </c>
      <c r="E7" s="726"/>
      <c r="F7" s="726"/>
      <c r="G7" s="726"/>
      <c r="H7" s="727"/>
      <c r="I7" s="725" t="s">
        <v>421</v>
      </c>
      <c r="J7" s="726"/>
      <c r="K7" s="726"/>
      <c r="L7" s="726"/>
      <c r="M7" s="727"/>
      <c r="N7" s="705"/>
      <c r="O7" s="244" t="s">
        <v>191</v>
      </c>
      <c r="P7" s="245"/>
      <c r="Q7" s="246"/>
      <c r="R7" s="705"/>
      <c r="S7" s="244" t="s">
        <v>192</v>
      </c>
      <c r="T7" s="246"/>
    </row>
    <row r="8" spans="1:20" s="724" customFormat="1" ht="12.75">
      <c r="A8" s="723"/>
      <c r="B8" s="1514"/>
      <c r="C8" s="1515"/>
      <c r="D8" s="728" t="s">
        <v>79</v>
      </c>
      <c r="E8" s="588" t="s">
        <v>80</v>
      </c>
      <c r="F8" s="588" t="s">
        <v>81</v>
      </c>
      <c r="G8" s="588" t="s">
        <v>82</v>
      </c>
      <c r="H8" s="729" t="s">
        <v>44</v>
      </c>
      <c r="I8" s="728" t="s">
        <v>193</v>
      </c>
      <c r="J8" s="588" t="s">
        <v>194</v>
      </c>
      <c r="K8" s="588" t="s">
        <v>195</v>
      </c>
      <c r="L8" s="588" t="s">
        <v>196</v>
      </c>
      <c r="M8" s="729" t="s">
        <v>197</v>
      </c>
      <c r="N8" s="705"/>
      <c r="O8" s="247" t="s">
        <v>198</v>
      </c>
      <c r="P8" s="248" t="s">
        <v>199</v>
      </c>
      <c r="Q8" s="249" t="s">
        <v>200</v>
      </c>
      <c r="R8" s="705"/>
      <c r="S8" s="247" t="s">
        <v>199</v>
      </c>
      <c r="T8" s="249" t="s">
        <v>201</v>
      </c>
    </row>
    <row r="9" spans="1:20" s="724" customFormat="1" ht="12.75">
      <c r="A9" s="723"/>
      <c r="B9" s="1516"/>
      <c r="C9" s="1517"/>
      <c r="D9" s="728" t="s">
        <v>203</v>
      </c>
      <c r="E9" s="588" t="s">
        <v>203</v>
      </c>
      <c r="F9" s="588" t="s">
        <v>203</v>
      </c>
      <c r="G9" s="588" t="s">
        <v>203</v>
      </c>
      <c r="H9" s="729" t="s">
        <v>203</v>
      </c>
      <c r="I9" s="730" t="s">
        <v>203</v>
      </c>
      <c r="J9" s="588" t="s">
        <v>203</v>
      </c>
      <c r="K9" s="588" t="s">
        <v>203</v>
      </c>
      <c r="L9" s="588" t="s">
        <v>203</v>
      </c>
      <c r="M9" s="729" t="s">
        <v>203</v>
      </c>
      <c r="N9" s="604"/>
      <c r="O9" s="731"/>
      <c r="P9" s="732"/>
      <c r="Q9" s="733"/>
      <c r="R9" s="705"/>
      <c r="S9" s="734"/>
      <c r="T9" s="735"/>
    </row>
    <row r="10" spans="1:20" s="724" customFormat="1" ht="15" customHeight="1">
      <c r="A10" s="723"/>
      <c r="B10" s="1527" t="s">
        <v>422</v>
      </c>
      <c r="C10" s="736" t="s">
        <v>423</v>
      </c>
      <c r="D10" s="737">
        <v>1.3</v>
      </c>
      <c r="E10" s="738">
        <v>1.2</v>
      </c>
      <c r="F10" s="738">
        <v>1.7</v>
      </c>
      <c r="G10" s="738">
        <v>1.3897827259207831</v>
      </c>
      <c r="H10" s="739">
        <v>0.94341663521222741</v>
      </c>
      <c r="I10" s="737">
        <v>0.87</v>
      </c>
      <c r="J10" s="738">
        <v>1.23</v>
      </c>
      <c r="K10" s="738">
        <v>1.64</v>
      </c>
      <c r="L10" s="738">
        <v>1.64</v>
      </c>
      <c r="M10" s="739">
        <v>1.64</v>
      </c>
      <c r="N10" s="740"/>
      <c r="O10" s="145">
        <v>4.2</v>
      </c>
      <c r="P10" s="146">
        <v>2.3331993611330106</v>
      </c>
      <c r="Q10" s="147">
        <v>6.5331993611330113</v>
      </c>
      <c r="R10" s="741"/>
      <c r="S10" s="145">
        <v>7.02</v>
      </c>
      <c r="T10" s="149">
        <v>7.4511829803180163E-2</v>
      </c>
    </row>
    <row r="11" spans="1:20" s="724" customFormat="1" ht="15" customHeight="1">
      <c r="A11" s="723"/>
      <c r="B11" s="1520"/>
      <c r="C11" s="742" t="s">
        <v>424</v>
      </c>
      <c r="D11" s="743">
        <v>1.7</v>
      </c>
      <c r="E11" s="744">
        <v>1.5</v>
      </c>
      <c r="F11" s="744">
        <v>1.1000000000000001</v>
      </c>
      <c r="G11" s="744">
        <v>1.7696706246476237</v>
      </c>
      <c r="H11" s="745">
        <v>1.8857826951068464</v>
      </c>
      <c r="I11" s="743">
        <v>2.1800000000000002</v>
      </c>
      <c r="J11" s="744">
        <v>2.27</v>
      </c>
      <c r="K11" s="744">
        <v>2.35</v>
      </c>
      <c r="L11" s="744">
        <v>2.42</v>
      </c>
      <c r="M11" s="745">
        <v>2.48</v>
      </c>
      <c r="N11" s="740"/>
      <c r="O11" s="145">
        <v>4.3</v>
      </c>
      <c r="P11" s="146">
        <v>3.6554533197544701</v>
      </c>
      <c r="Q11" s="147">
        <v>7.9554533197544712</v>
      </c>
      <c r="R11" s="741"/>
      <c r="S11" s="145">
        <v>11.7</v>
      </c>
      <c r="T11" s="149">
        <v>0.4706892906966485</v>
      </c>
    </row>
    <row r="12" spans="1:20" s="724" customFormat="1" ht="15" customHeight="1">
      <c r="A12" s="723"/>
      <c r="B12" s="1520" t="s">
        <v>425</v>
      </c>
      <c r="C12" s="742" t="s">
        <v>423</v>
      </c>
      <c r="D12" s="743">
        <v>0</v>
      </c>
      <c r="E12" s="744">
        <v>0</v>
      </c>
      <c r="F12" s="744">
        <v>0</v>
      </c>
      <c r="G12" s="744">
        <v>4.2907448616530203E-2</v>
      </c>
      <c r="H12" s="745">
        <v>0</v>
      </c>
      <c r="I12" s="743">
        <v>0</v>
      </c>
      <c r="J12" s="744">
        <v>0</v>
      </c>
      <c r="K12" s="744">
        <v>0</v>
      </c>
      <c r="L12" s="744">
        <v>0</v>
      </c>
      <c r="M12" s="745">
        <v>0</v>
      </c>
      <c r="N12" s="740"/>
      <c r="O12" s="145">
        <v>0</v>
      </c>
      <c r="P12" s="146">
        <v>4.2907448616530203E-2</v>
      </c>
      <c r="Q12" s="147">
        <v>4.2907448616530203E-2</v>
      </c>
      <c r="R12" s="741"/>
      <c r="S12" s="145">
        <v>0</v>
      </c>
      <c r="T12" s="149">
        <v>-1</v>
      </c>
    </row>
    <row r="13" spans="1:20" s="724" customFormat="1" ht="15" customHeight="1">
      <c r="A13" s="723"/>
      <c r="B13" s="1520"/>
      <c r="C13" s="742" t="s">
        <v>424</v>
      </c>
      <c r="D13" s="743">
        <v>-0.43207195133507958</v>
      </c>
      <c r="E13" s="744">
        <v>-0.31239287588104236</v>
      </c>
      <c r="F13" s="744">
        <v>-0.3</v>
      </c>
      <c r="G13" s="744">
        <v>-0.38543281432700627</v>
      </c>
      <c r="H13" s="745">
        <v>-0.20109607440707422</v>
      </c>
      <c r="I13" s="743">
        <v>-0.3</v>
      </c>
      <c r="J13" s="744">
        <v>-0.3</v>
      </c>
      <c r="K13" s="744">
        <v>-0.3</v>
      </c>
      <c r="L13" s="744">
        <v>-0.3</v>
      </c>
      <c r="M13" s="745">
        <v>-0.3</v>
      </c>
      <c r="N13" s="740"/>
      <c r="O13" s="145">
        <v>-1.0444648272161219</v>
      </c>
      <c r="P13" s="146">
        <v>-0.58652888873408049</v>
      </c>
      <c r="Q13" s="147">
        <v>-1.6309937159502024</v>
      </c>
      <c r="R13" s="741"/>
      <c r="S13" s="145">
        <v>-1.5</v>
      </c>
      <c r="T13" s="149">
        <v>-8.0315279371807144E-2</v>
      </c>
    </row>
    <row r="14" spans="1:20" s="724" customFormat="1" ht="15" customHeight="1">
      <c r="A14" s="723"/>
      <c r="B14" s="1521" t="s">
        <v>345</v>
      </c>
      <c r="C14" s="742" t="s">
        <v>426</v>
      </c>
      <c r="D14" s="743">
        <v>3.3</v>
      </c>
      <c r="E14" s="744">
        <v>3.6</v>
      </c>
      <c r="F14" s="744">
        <v>5.3</v>
      </c>
      <c r="G14" s="744">
        <v>4.7585407038868981</v>
      </c>
      <c r="H14" s="745">
        <v>4.400833796743651</v>
      </c>
      <c r="I14" s="743">
        <v>4.99</v>
      </c>
      <c r="J14" s="744">
        <v>5.62</v>
      </c>
      <c r="K14" s="744">
        <v>6.42</v>
      </c>
      <c r="L14" s="744">
        <v>7.03</v>
      </c>
      <c r="M14" s="745">
        <v>6.79</v>
      </c>
      <c r="N14" s="740"/>
      <c r="O14" s="145">
        <v>12.2</v>
      </c>
      <c r="P14" s="146">
        <v>9.1593745006305483</v>
      </c>
      <c r="Q14" s="147">
        <v>21.359374500630548</v>
      </c>
      <c r="R14" s="741"/>
      <c r="S14" s="145">
        <v>30.85</v>
      </c>
      <c r="T14" s="149">
        <v>0.44433068482830723</v>
      </c>
    </row>
    <row r="15" spans="1:20" s="724" customFormat="1" ht="15" customHeight="1">
      <c r="A15" s="723"/>
      <c r="B15" s="1521"/>
      <c r="C15" s="742" t="s">
        <v>427</v>
      </c>
      <c r="D15" s="743">
        <v>2.2000000000000002</v>
      </c>
      <c r="E15" s="744">
        <v>3</v>
      </c>
      <c r="F15" s="744">
        <v>2.1</v>
      </c>
      <c r="G15" s="744">
        <v>2.1851403100320748</v>
      </c>
      <c r="H15" s="745">
        <v>2.0015846805857622</v>
      </c>
      <c r="I15" s="743">
        <v>1.77</v>
      </c>
      <c r="J15" s="744">
        <v>1.96</v>
      </c>
      <c r="K15" s="744">
        <v>2.17</v>
      </c>
      <c r="L15" s="744">
        <v>2.38</v>
      </c>
      <c r="M15" s="745">
        <v>2.61</v>
      </c>
      <c r="N15" s="740"/>
      <c r="O15" s="145">
        <v>7.3</v>
      </c>
      <c r="P15" s="146">
        <v>4.1867249906178365</v>
      </c>
      <c r="Q15" s="147">
        <v>11.486724990617837</v>
      </c>
      <c r="R15" s="741"/>
      <c r="S15" s="145">
        <v>10.89</v>
      </c>
      <c r="T15" s="149">
        <v>-5.1949096988500337E-2</v>
      </c>
    </row>
    <row r="16" spans="1:20" s="724" customFormat="1" ht="15" customHeight="1">
      <c r="A16" s="723"/>
      <c r="B16" s="1521"/>
      <c r="C16" s="746" t="s">
        <v>428</v>
      </c>
      <c r="D16" s="743">
        <v>0.2</v>
      </c>
      <c r="E16" s="744">
        <v>0.2</v>
      </c>
      <c r="F16" s="744">
        <v>0</v>
      </c>
      <c r="G16" s="744">
        <v>0.18000197956202912</v>
      </c>
      <c r="H16" s="745">
        <v>9.3501203267136124E-2</v>
      </c>
      <c r="I16" s="743">
        <v>0.53</v>
      </c>
      <c r="J16" s="744">
        <v>0.57999999999999996</v>
      </c>
      <c r="K16" s="744">
        <v>0.64</v>
      </c>
      <c r="L16" s="744">
        <v>0.7</v>
      </c>
      <c r="M16" s="745">
        <v>0.76</v>
      </c>
      <c r="N16" s="740"/>
      <c r="O16" s="145">
        <v>0.4</v>
      </c>
      <c r="P16" s="146">
        <v>0.27350318282916525</v>
      </c>
      <c r="Q16" s="147">
        <v>0.67350318282916533</v>
      </c>
      <c r="R16" s="741"/>
      <c r="S16" s="145">
        <v>3.21</v>
      </c>
      <c r="T16" s="149">
        <v>3.7661244695471905</v>
      </c>
    </row>
    <row r="17" spans="1:20" s="724" customFormat="1" ht="15" customHeight="1">
      <c r="A17" s="723"/>
      <c r="B17" s="1521" t="s">
        <v>223</v>
      </c>
      <c r="C17" s="742" t="s">
        <v>429</v>
      </c>
      <c r="D17" s="743">
        <v>2.5</v>
      </c>
      <c r="E17" s="744">
        <v>6.2</v>
      </c>
      <c r="F17" s="744">
        <v>7.1</v>
      </c>
      <c r="G17" s="744">
        <v>7.4481051659474495</v>
      </c>
      <c r="H17" s="745">
        <v>7.3895728729761077</v>
      </c>
      <c r="I17" s="743">
        <v>4.78</v>
      </c>
      <c r="J17" s="744">
        <v>6.78</v>
      </c>
      <c r="K17" s="744">
        <v>8.91</v>
      </c>
      <c r="L17" s="744">
        <v>10.14</v>
      </c>
      <c r="M17" s="745">
        <v>9.65</v>
      </c>
      <c r="N17" s="740"/>
      <c r="O17" s="145">
        <v>15.8</v>
      </c>
      <c r="P17" s="146">
        <v>14.837678038923556</v>
      </c>
      <c r="Q17" s="147">
        <v>30.637678038923557</v>
      </c>
      <c r="R17" s="741"/>
      <c r="S17" s="145">
        <v>40.26</v>
      </c>
      <c r="T17" s="149">
        <v>0.31406825115309939</v>
      </c>
    </row>
    <row r="18" spans="1:20" s="724" customFormat="1" ht="15" customHeight="1">
      <c r="A18" s="723"/>
      <c r="B18" s="1521"/>
      <c r="C18" s="742" t="s">
        <v>95</v>
      </c>
      <c r="D18" s="743">
        <v>0.8</v>
      </c>
      <c r="E18" s="744">
        <v>1.1000000000000001</v>
      </c>
      <c r="F18" s="744">
        <v>1.2</v>
      </c>
      <c r="G18" s="744">
        <v>1.2474555792903415</v>
      </c>
      <c r="H18" s="745">
        <v>0.93396145735375302</v>
      </c>
      <c r="I18" s="743">
        <v>1.03</v>
      </c>
      <c r="J18" s="744">
        <v>1.1399999999999999</v>
      </c>
      <c r="K18" s="744">
        <v>1.26</v>
      </c>
      <c r="L18" s="744">
        <v>1.39</v>
      </c>
      <c r="M18" s="745">
        <v>1.53</v>
      </c>
      <c r="N18" s="740"/>
      <c r="O18" s="145">
        <v>3.1</v>
      </c>
      <c r="P18" s="146">
        <v>2.1814170366440946</v>
      </c>
      <c r="Q18" s="147">
        <v>5.2814170366440951</v>
      </c>
      <c r="R18" s="741"/>
      <c r="S18" s="145">
        <v>6.35</v>
      </c>
      <c r="T18" s="149">
        <v>0.20232883635996693</v>
      </c>
    </row>
    <row r="19" spans="1:20" s="724" customFormat="1" ht="15" customHeight="1">
      <c r="A19" s="723"/>
      <c r="B19" s="1521"/>
      <c r="C19" s="746" t="s">
        <v>430</v>
      </c>
      <c r="D19" s="743">
        <v>0</v>
      </c>
      <c r="E19" s="744">
        <v>0.1</v>
      </c>
      <c r="F19" s="744">
        <v>0</v>
      </c>
      <c r="G19" s="744">
        <v>0</v>
      </c>
      <c r="H19" s="745">
        <v>0</v>
      </c>
      <c r="I19" s="743">
        <v>0.05</v>
      </c>
      <c r="J19" s="744">
        <v>0.05</v>
      </c>
      <c r="K19" s="744">
        <v>0.05</v>
      </c>
      <c r="L19" s="744">
        <v>0.05</v>
      </c>
      <c r="M19" s="745">
        <v>0.05</v>
      </c>
      <c r="N19" s="740"/>
      <c r="O19" s="145">
        <v>0.1</v>
      </c>
      <c r="P19" s="146">
        <v>0</v>
      </c>
      <c r="Q19" s="147">
        <v>0.1</v>
      </c>
      <c r="R19" s="741"/>
      <c r="S19" s="145">
        <v>0.25</v>
      </c>
      <c r="T19" s="149">
        <v>1.5</v>
      </c>
    </row>
    <row r="20" spans="1:20" s="724" customFormat="1" ht="15" customHeight="1">
      <c r="A20" s="723"/>
      <c r="B20" s="1521"/>
      <c r="C20" s="746" t="s">
        <v>428</v>
      </c>
      <c r="D20" s="743">
        <v>1.7</v>
      </c>
      <c r="E20" s="744">
        <v>2.5</v>
      </c>
      <c r="F20" s="744">
        <v>2.6</v>
      </c>
      <c r="G20" s="744">
        <v>2.4645619876080151</v>
      </c>
      <c r="H20" s="745">
        <v>4.0735188384858354</v>
      </c>
      <c r="I20" s="743">
        <v>3.98</v>
      </c>
      <c r="J20" s="744">
        <v>4.1100000000000003</v>
      </c>
      <c r="K20" s="744">
        <v>4.24</v>
      </c>
      <c r="L20" s="744">
        <v>4.3499999999999996</v>
      </c>
      <c r="M20" s="745">
        <v>4.46</v>
      </c>
      <c r="N20" s="740"/>
      <c r="O20" s="145">
        <v>6.8</v>
      </c>
      <c r="P20" s="146">
        <v>6.5380808260938501</v>
      </c>
      <c r="Q20" s="147">
        <v>13.338080826093851</v>
      </c>
      <c r="R20" s="741"/>
      <c r="S20" s="145">
        <v>21.14</v>
      </c>
      <c r="T20" s="149">
        <v>0.58493566470544445</v>
      </c>
    </row>
    <row r="21" spans="1:20" s="724" customFormat="1" ht="15" customHeight="1">
      <c r="A21" s="723"/>
      <c r="B21" s="1521"/>
      <c r="C21" s="742" t="s">
        <v>431</v>
      </c>
      <c r="D21" s="743">
        <v>1.1000000000000001</v>
      </c>
      <c r="E21" s="744">
        <v>1.3</v>
      </c>
      <c r="F21" s="744">
        <v>1.3</v>
      </c>
      <c r="G21" s="744">
        <v>0.96175476289246964</v>
      </c>
      <c r="H21" s="745">
        <v>0.74800962613708899</v>
      </c>
      <c r="I21" s="743">
        <v>2.38</v>
      </c>
      <c r="J21" s="744">
        <v>2.5299999999999998</v>
      </c>
      <c r="K21" s="744">
        <v>2.67</v>
      </c>
      <c r="L21" s="744">
        <v>2.81</v>
      </c>
      <c r="M21" s="745">
        <v>2.95</v>
      </c>
      <c r="N21" s="740"/>
      <c r="O21" s="145">
        <v>3.7</v>
      </c>
      <c r="P21" s="146">
        <v>1.7097643890295586</v>
      </c>
      <c r="Q21" s="147">
        <v>5.4097643890295579</v>
      </c>
      <c r="R21" s="741"/>
      <c r="S21" s="145">
        <v>13.34</v>
      </c>
      <c r="T21" s="149">
        <v>1.4659114594809597</v>
      </c>
    </row>
    <row r="22" spans="1:20" s="724" customFormat="1" ht="15" customHeight="1">
      <c r="A22" s="723"/>
      <c r="B22" s="1521"/>
      <c r="C22" s="742" t="s">
        <v>432</v>
      </c>
      <c r="D22" s="743">
        <v>1.2</v>
      </c>
      <c r="E22" s="744">
        <v>1.5</v>
      </c>
      <c r="F22" s="744">
        <v>1.1000000000000001</v>
      </c>
      <c r="G22" s="744">
        <v>1.0978027707009799</v>
      </c>
      <c r="H22" s="745">
        <v>0.6040808076247558</v>
      </c>
      <c r="I22" s="743">
        <v>1.1599999999999999</v>
      </c>
      <c r="J22" s="744">
        <v>1.1599999999999999</v>
      </c>
      <c r="K22" s="744">
        <v>1.1599999999999999</v>
      </c>
      <c r="L22" s="744">
        <v>1.1599999999999999</v>
      </c>
      <c r="M22" s="745">
        <v>1.1599999999999999</v>
      </c>
      <c r="N22" s="740"/>
      <c r="O22" s="145">
        <v>3.8</v>
      </c>
      <c r="P22" s="146">
        <v>1.7018835783257358</v>
      </c>
      <c r="Q22" s="147">
        <v>5.501883578325736</v>
      </c>
      <c r="R22" s="741"/>
      <c r="S22" s="145">
        <v>5.8</v>
      </c>
      <c r="T22" s="149">
        <v>5.4184429283213369E-2</v>
      </c>
    </row>
    <row r="23" spans="1:20" s="724" customFormat="1" ht="15" customHeight="1">
      <c r="A23" s="723"/>
      <c r="B23" s="1521" t="s">
        <v>402</v>
      </c>
      <c r="C23" s="742" t="s">
        <v>429</v>
      </c>
      <c r="D23" s="743">
        <v>0.4</v>
      </c>
      <c r="E23" s="744">
        <v>0.5</v>
      </c>
      <c r="F23" s="744">
        <v>0.6</v>
      </c>
      <c r="G23" s="744">
        <v>0.41756273165842805</v>
      </c>
      <c r="H23" s="745">
        <v>0.31307144464726483</v>
      </c>
      <c r="I23" s="743">
        <v>1.1299999999999999</v>
      </c>
      <c r="J23" s="744">
        <v>1.55</v>
      </c>
      <c r="K23" s="744">
        <v>1.98</v>
      </c>
      <c r="L23" s="744">
        <v>1.98</v>
      </c>
      <c r="M23" s="745">
        <v>1.98</v>
      </c>
      <c r="N23" s="740"/>
      <c r="O23" s="145">
        <v>1.5</v>
      </c>
      <c r="P23" s="146">
        <v>0.73063417630569294</v>
      </c>
      <c r="Q23" s="147">
        <v>2.2306341763056929</v>
      </c>
      <c r="R23" s="741"/>
      <c r="S23" s="145">
        <v>8.6199999999999992</v>
      </c>
      <c r="T23" s="149">
        <v>2.8643718865081578</v>
      </c>
    </row>
    <row r="24" spans="1:20" s="724" customFormat="1" ht="15" customHeight="1">
      <c r="A24" s="723"/>
      <c r="B24" s="1521"/>
      <c r="C24" s="742" t="s">
        <v>95</v>
      </c>
      <c r="D24" s="743">
        <v>0.4</v>
      </c>
      <c r="E24" s="744">
        <v>0.5</v>
      </c>
      <c r="F24" s="744">
        <v>0.8</v>
      </c>
      <c r="G24" s="744">
        <v>0.67396090022062072</v>
      </c>
      <c r="H24" s="745">
        <v>0.91715225227202057</v>
      </c>
      <c r="I24" s="743">
        <v>0.44</v>
      </c>
      <c r="J24" s="744">
        <v>0.44</v>
      </c>
      <c r="K24" s="744">
        <v>0.47</v>
      </c>
      <c r="L24" s="744">
        <v>0.49</v>
      </c>
      <c r="M24" s="745">
        <v>0.52</v>
      </c>
      <c r="N24" s="740"/>
      <c r="O24" s="145">
        <v>1.7</v>
      </c>
      <c r="P24" s="146">
        <v>1.5911131524926412</v>
      </c>
      <c r="Q24" s="147">
        <v>3.2911131524926418</v>
      </c>
      <c r="R24" s="741"/>
      <c r="S24" s="145">
        <v>2.36</v>
      </c>
      <c r="T24" s="149">
        <v>-0.28291739279381195</v>
      </c>
    </row>
    <row r="25" spans="1:20" s="724" customFormat="1" ht="15" customHeight="1">
      <c r="A25" s="723"/>
      <c r="B25" s="1521"/>
      <c r="C25" s="742" t="s">
        <v>430</v>
      </c>
      <c r="D25" s="743">
        <v>0</v>
      </c>
      <c r="E25" s="744">
        <v>0.1</v>
      </c>
      <c r="F25" s="744">
        <v>0</v>
      </c>
      <c r="G25" s="744">
        <v>0</v>
      </c>
      <c r="H25" s="745">
        <v>0</v>
      </c>
      <c r="I25" s="743">
        <v>0.61</v>
      </c>
      <c r="J25" s="744">
        <v>0.61</v>
      </c>
      <c r="K25" s="744">
        <v>0.71</v>
      </c>
      <c r="L25" s="744">
        <v>0.71</v>
      </c>
      <c r="M25" s="745">
        <v>0.82</v>
      </c>
      <c r="N25" s="740"/>
      <c r="O25" s="145">
        <v>0.1</v>
      </c>
      <c r="P25" s="146">
        <v>0</v>
      </c>
      <c r="Q25" s="147">
        <v>0.1</v>
      </c>
      <c r="R25" s="741"/>
      <c r="S25" s="145">
        <v>3.46</v>
      </c>
      <c r="T25" s="149">
        <v>33.6</v>
      </c>
    </row>
    <row r="26" spans="1:20" s="724" customFormat="1" ht="15" customHeight="1">
      <c r="A26" s="723"/>
      <c r="B26" s="1521"/>
      <c r="C26" s="742" t="s">
        <v>428</v>
      </c>
      <c r="D26" s="743">
        <v>1.4</v>
      </c>
      <c r="E26" s="744">
        <v>2.5</v>
      </c>
      <c r="F26" s="744">
        <v>0.7</v>
      </c>
      <c r="G26" s="744">
        <v>1.5509472890170184</v>
      </c>
      <c r="H26" s="745">
        <v>1.7859780399340608</v>
      </c>
      <c r="I26" s="743">
        <v>0.96</v>
      </c>
      <c r="J26" s="744">
        <v>0.97</v>
      </c>
      <c r="K26" s="744">
        <v>0.98</v>
      </c>
      <c r="L26" s="744">
        <v>0.98</v>
      </c>
      <c r="M26" s="745">
        <v>0.99</v>
      </c>
      <c r="N26" s="740"/>
      <c r="O26" s="145">
        <v>4.5999999999999996</v>
      </c>
      <c r="P26" s="146">
        <v>3.3369253289510792</v>
      </c>
      <c r="Q26" s="147">
        <v>7.9369253289510784</v>
      </c>
      <c r="R26" s="741"/>
      <c r="S26" s="145">
        <v>4.88</v>
      </c>
      <c r="T26" s="149">
        <v>-0.38515233572886254</v>
      </c>
    </row>
    <row r="27" spans="1:20" s="724" customFormat="1" ht="15" customHeight="1">
      <c r="A27" s="723"/>
      <c r="B27" s="1521"/>
      <c r="C27" s="742" t="s">
        <v>431</v>
      </c>
      <c r="D27" s="743">
        <v>1.3</v>
      </c>
      <c r="E27" s="744">
        <v>1.2</v>
      </c>
      <c r="F27" s="744">
        <v>1.4</v>
      </c>
      <c r="G27" s="744">
        <v>1.0967562475639916</v>
      </c>
      <c r="H27" s="745">
        <v>0.62929461524735431</v>
      </c>
      <c r="I27" s="743">
        <v>1.75</v>
      </c>
      <c r="J27" s="744">
        <v>1.88</v>
      </c>
      <c r="K27" s="744">
        <v>2.0099999999999998</v>
      </c>
      <c r="L27" s="744">
        <v>2.15</v>
      </c>
      <c r="M27" s="745">
        <v>2.2799999999999998</v>
      </c>
      <c r="N27" s="740"/>
      <c r="O27" s="145">
        <v>3.9</v>
      </c>
      <c r="P27" s="146">
        <v>1.7260508628113458</v>
      </c>
      <c r="Q27" s="147">
        <v>5.6260508628113461</v>
      </c>
      <c r="R27" s="741"/>
      <c r="S27" s="145">
        <v>10.07</v>
      </c>
      <c r="T27" s="149">
        <v>0.78988783527776429</v>
      </c>
    </row>
    <row r="28" spans="1:20" s="724" customFormat="1" ht="15" customHeight="1">
      <c r="A28" s="723"/>
      <c r="B28" s="1521"/>
      <c r="C28" s="746" t="s">
        <v>432</v>
      </c>
      <c r="D28" s="743">
        <v>0.7</v>
      </c>
      <c r="E28" s="744">
        <v>0.6</v>
      </c>
      <c r="F28" s="744">
        <v>0.7</v>
      </c>
      <c r="G28" s="744">
        <v>0.92826602250883627</v>
      </c>
      <c r="H28" s="745">
        <v>0.16283917422928201</v>
      </c>
      <c r="I28" s="743">
        <v>0.75</v>
      </c>
      <c r="J28" s="744">
        <v>0.75</v>
      </c>
      <c r="K28" s="744">
        <v>0.75</v>
      </c>
      <c r="L28" s="744">
        <v>0.75</v>
      </c>
      <c r="M28" s="745">
        <v>0.75</v>
      </c>
      <c r="N28" s="740"/>
      <c r="O28" s="145">
        <v>2</v>
      </c>
      <c r="P28" s="146">
        <v>1.0911051967381182</v>
      </c>
      <c r="Q28" s="147">
        <v>3.091105196738118</v>
      </c>
      <c r="R28" s="741"/>
      <c r="S28" s="145">
        <v>3.75</v>
      </c>
      <c r="T28" s="149">
        <v>0.21315832407036139</v>
      </c>
    </row>
    <row r="29" spans="1:20" s="724" customFormat="1" ht="15" customHeight="1">
      <c r="A29" s="723"/>
      <c r="B29" s="1521" t="s">
        <v>401</v>
      </c>
      <c r="C29" s="742" t="s">
        <v>429</v>
      </c>
      <c r="D29" s="743">
        <v>1.5</v>
      </c>
      <c r="E29" s="744">
        <v>3.9</v>
      </c>
      <c r="F29" s="744">
        <v>2.9</v>
      </c>
      <c r="G29" s="744">
        <v>3.0443358054996672</v>
      </c>
      <c r="H29" s="745">
        <v>0.98018677132851695</v>
      </c>
      <c r="I29" s="743">
        <v>0.62</v>
      </c>
      <c r="J29" s="744">
        <v>0.87</v>
      </c>
      <c r="K29" s="744">
        <v>1.1200000000000001</v>
      </c>
      <c r="L29" s="744">
        <v>1.26</v>
      </c>
      <c r="M29" s="745">
        <v>1.25</v>
      </c>
      <c r="N29" s="740"/>
      <c r="O29" s="145">
        <v>8.3000000000000007</v>
      </c>
      <c r="P29" s="146">
        <v>4.0245225768281845</v>
      </c>
      <c r="Q29" s="147">
        <v>12.324522576828185</v>
      </c>
      <c r="R29" s="741"/>
      <c r="S29" s="145">
        <v>5.12</v>
      </c>
      <c r="T29" s="149">
        <v>-0.58456808626191237</v>
      </c>
    </row>
    <row r="30" spans="1:20" s="724" customFormat="1" ht="15" customHeight="1">
      <c r="A30" s="723"/>
      <c r="B30" s="1521"/>
      <c r="C30" s="742" t="s">
        <v>95</v>
      </c>
      <c r="D30" s="743">
        <v>0.1</v>
      </c>
      <c r="E30" s="744">
        <v>0</v>
      </c>
      <c r="F30" s="744">
        <v>0.8</v>
      </c>
      <c r="G30" s="744">
        <v>0.716868348837151</v>
      </c>
      <c r="H30" s="745">
        <v>0.55785549364999187</v>
      </c>
      <c r="I30" s="743">
        <v>1.19</v>
      </c>
      <c r="J30" s="744">
        <v>1.31</v>
      </c>
      <c r="K30" s="744">
        <v>1.55</v>
      </c>
      <c r="L30" s="744">
        <v>1.67</v>
      </c>
      <c r="M30" s="745">
        <v>1.91</v>
      </c>
      <c r="N30" s="740"/>
      <c r="O30" s="145">
        <v>0.9</v>
      </c>
      <c r="P30" s="146">
        <v>1.274723842487143</v>
      </c>
      <c r="Q30" s="147">
        <v>2.1747238424871429</v>
      </c>
      <c r="R30" s="741"/>
      <c r="S30" s="145">
        <v>7.63</v>
      </c>
      <c r="T30" s="149">
        <v>2.5084914465617301</v>
      </c>
    </row>
    <row r="31" spans="1:20" s="724" customFormat="1" ht="15" customHeight="1">
      <c r="A31" s="723"/>
      <c r="B31" s="1521"/>
      <c r="C31" s="746" t="s">
        <v>433</v>
      </c>
      <c r="D31" s="743">
        <v>0</v>
      </c>
      <c r="E31" s="744">
        <v>0</v>
      </c>
      <c r="F31" s="744">
        <v>0</v>
      </c>
      <c r="G31" s="744">
        <v>0</v>
      </c>
      <c r="H31" s="745">
        <v>0</v>
      </c>
      <c r="I31" s="743">
        <v>0</v>
      </c>
      <c r="J31" s="744">
        <v>0</v>
      </c>
      <c r="K31" s="744">
        <v>0</v>
      </c>
      <c r="L31" s="744">
        <v>0</v>
      </c>
      <c r="M31" s="745">
        <v>0</v>
      </c>
      <c r="N31" s="740"/>
      <c r="O31" s="145">
        <v>0</v>
      </c>
      <c r="P31" s="146">
        <v>0</v>
      </c>
      <c r="Q31" s="147">
        <v>0</v>
      </c>
      <c r="R31" s="741"/>
      <c r="S31" s="145">
        <v>0</v>
      </c>
      <c r="T31" s="149" t="s">
        <v>987</v>
      </c>
    </row>
    <row r="32" spans="1:20" s="724" customFormat="1" ht="15" customHeight="1">
      <c r="A32" s="723"/>
      <c r="B32" s="1521"/>
      <c r="C32" s="746" t="s">
        <v>428</v>
      </c>
      <c r="D32" s="743">
        <v>0.8</v>
      </c>
      <c r="E32" s="744">
        <v>0.4</v>
      </c>
      <c r="F32" s="744">
        <v>0.3</v>
      </c>
      <c r="G32" s="744">
        <v>0.76291536686464678</v>
      </c>
      <c r="H32" s="745">
        <v>1.3415846805857621</v>
      </c>
      <c r="I32" s="743">
        <v>0.16</v>
      </c>
      <c r="J32" s="744">
        <v>0.16</v>
      </c>
      <c r="K32" s="744">
        <v>0.16</v>
      </c>
      <c r="L32" s="744">
        <v>0.14000000000000001</v>
      </c>
      <c r="M32" s="745">
        <v>0.14000000000000001</v>
      </c>
      <c r="N32" s="740"/>
      <c r="O32" s="145">
        <v>1.5</v>
      </c>
      <c r="P32" s="146">
        <v>2.1045000474504088</v>
      </c>
      <c r="Q32" s="147">
        <v>3.6045000474504092</v>
      </c>
      <c r="R32" s="741"/>
      <c r="S32" s="145">
        <v>0.76</v>
      </c>
      <c r="T32" s="149">
        <v>-0.78915245110412047</v>
      </c>
    </row>
    <row r="33" spans="1:20" s="724" customFormat="1" ht="15" customHeight="1">
      <c r="A33" s="723"/>
      <c r="B33" s="1521"/>
      <c r="C33" s="746" t="s">
        <v>431</v>
      </c>
      <c r="D33" s="743">
        <v>1.8</v>
      </c>
      <c r="E33" s="744">
        <v>1.9</v>
      </c>
      <c r="F33" s="744">
        <v>1</v>
      </c>
      <c r="G33" s="744">
        <v>1.6336226168391133</v>
      </c>
      <c r="H33" s="745">
        <v>0.58411987659019871</v>
      </c>
      <c r="I33" s="743">
        <v>2.81</v>
      </c>
      <c r="J33" s="744">
        <v>2.81</v>
      </c>
      <c r="K33" s="744">
        <v>2.92</v>
      </c>
      <c r="L33" s="744">
        <v>2.04</v>
      </c>
      <c r="M33" s="745">
        <v>2.04</v>
      </c>
      <c r="N33" s="740"/>
      <c r="O33" s="145">
        <v>4.7</v>
      </c>
      <c r="P33" s="146">
        <v>2.217742493429312</v>
      </c>
      <c r="Q33" s="147">
        <v>6.9177424934293121</v>
      </c>
      <c r="R33" s="741"/>
      <c r="S33" s="145">
        <v>12.62</v>
      </c>
      <c r="T33" s="149">
        <v>0.82429456025384984</v>
      </c>
    </row>
    <row r="34" spans="1:20" s="724" customFormat="1" ht="15" customHeight="1">
      <c r="A34" s="723"/>
      <c r="B34" s="1521"/>
      <c r="C34" s="746" t="s">
        <v>432</v>
      </c>
      <c r="D34" s="743">
        <v>0.2</v>
      </c>
      <c r="E34" s="744">
        <v>0.3</v>
      </c>
      <c r="F34" s="744">
        <v>0.8</v>
      </c>
      <c r="G34" s="744">
        <v>1.1197797565777394</v>
      </c>
      <c r="H34" s="745">
        <v>0.33513352631703847</v>
      </c>
      <c r="I34" s="743">
        <v>0.15</v>
      </c>
      <c r="J34" s="744">
        <v>0.15</v>
      </c>
      <c r="K34" s="744">
        <v>0.15</v>
      </c>
      <c r="L34" s="744">
        <v>0.15</v>
      </c>
      <c r="M34" s="745">
        <v>0.15</v>
      </c>
      <c r="N34" s="740"/>
      <c r="O34" s="145">
        <v>1.3</v>
      </c>
      <c r="P34" s="146">
        <v>1.4549132828947779</v>
      </c>
      <c r="Q34" s="147">
        <v>2.7549132828947775</v>
      </c>
      <c r="R34" s="741"/>
      <c r="S34" s="145">
        <v>0.75</v>
      </c>
      <c r="T34" s="149">
        <v>-0.7277591259744034</v>
      </c>
    </row>
    <row r="35" spans="1:20" s="724" customFormat="1" ht="15" customHeight="1" thickBot="1">
      <c r="A35" s="723"/>
      <c r="B35" s="1522" t="s">
        <v>434</v>
      </c>
      <c r="C35" s="1523"/>
      <c r="D35" s="747">
        <v>24.167928048664923</v>
      </c>
      <c r="E35" s="748">
        <v>33.787607124118956</v>
      </c>
      <c r="F35" s="748">
        <v>33.200000000000003</v>
      </c>
      <c r="G35" s="748">
        <v>35.105306330365408</v>
      </c>
      <c r="H35" s="749">
        <v>30.480382413887572</v>
      </c>
      <c r="I35" s="747">
        <v>33.99</v>
      </c>
      <c r="J35" s="748">
        <v>38.630000000000003</v>
      </c>
      <c r="K35" s="748">
        <v>44.01</v>
      </c>
      <c r="L35" s="748">
        <v>46.09</v>
      </c>
      <c r="M35" s="749">
        <v>46.61</v>
      </c>
      <c r="N35" s="740"/>
      <c r="O35" s="165">
        <v>91.155535172783885</v>
      </c>
      <c r="P35" s="166">
        <v>65.585688744252977</v>
      </c>
      <c r="Q35" s="167">
        <v>156.74122391703688</v>
      </c>
      <c r="R35" s="741"/>
      <c r="S35" s="165">
        <v>209.33</v>
      </c>
      <c r="T35" s="168">
        <v>0.33551336890669137</v>
      </c>
    </row>
    <row r="36" spans="1:20" s="724" customFormat="1">
      <c r="A36" s="723"/>
      <c r="B36" s="750"/>
      <c r="C36" s="750"/>
      <c r="D36" s="751"/>
      <c r="E36" s="751"/>
      <c r="F36" s="751"/>
      <c r="G36" s="751"/>
      <c r="H36" s="751"/>
      <c r="I36" s="751"/>
      <c r="J36" s="751"/>
      <c r="K36" s="751"/>
      <c r="L36" s="751"/>
      <c r="M36" s="751"/>
      <c r="N36" s="740"/>
      <c r="O36" s="740"/>
      <c r="P36" s="740"/>
      <c r="Q36" s="740"/>
      <c r="R36" s="752"/>
      <c r="S36" s="752"/>
      <c r="T36" s="752"/>
    </row>
    <row r="37" spans="1:20" s="724" customFormat="1">
      <c r="A37" s="723"/>
      <c r="B37" s="604"/>
      <c r="C37" s="604"/>
      <c r="D37" s="740"/>
      <c r="E37" s="740"/>
      <c r="F37" s="740"/>
      <c r="G37" s="740"/>
      <c r="H37" s="740"/>
      <c r="I37" s="740"/>
      <c r="J37" s="740"/>
      <c r="K37" s="740"/>
      <c r="L37" s="740"/>
      <c r="M37" s="740"/>
      <c r="N37" s="740"/>
      <c r="O37" s="740"/>
      <c r="P37" s="740"/>
      <c r="Q37" s="740"/>
      <c r="R37" s="752"/>
      <c r="S37" s="752"/>
      <c r="T37" s="752"/>
    </row>
    <row r="38" spans="1:20" s="724" customFormat="1">
      <c r="A38" s="723"/>
      <c r="B38" s="722" t="s">
        <v>435</v>
      </c>
      <c r="C38" s="604"/>
      <c r="D38" s="740"/>
      <c r="E38" s="740"/>
      <c r="F38" s="740"/>
      <c r="G38" s="740"/>
      <c r="H38" s="740"/>
      <c r="I38" s="740"/>
      <c r="J38" s="740"/>
      <c r="K38" s="740"/>
      <c r="L38" s="740"/>
      <c r="M38" s="740"/>
      <c r="N38" s="752"/>
      <c r="O38" s="740"/>
      <c r="P38" s="740"/>
      <c r="Q38" s="740"/>
      <c r="R38" s="752"/>
      <c r="S38" s="752"/>
      <c r="T38" s="752"/>
    </row>
    <row r="39" spans="1:20" s="724" customFormat="1" ht="15" thickBot="1">
      <c r="A39" s="723"/>
      <c r="B39" s="604"/>
      <c r="C39" s="604"/>
      <c r="D39" s="740"/>
      <c r="E39" s="740"/>
      <c r="F39" s="740"/>
      <c r="G39" s="740"/>
      <c r="H39" s="740"/>
      <c r="I39" s="740"/>
      <c r="J39" s="740"/>
      <c r="K39" s="740"/>
      <c r="L39" s="740"/>
      <c r="M39" s="740"/>
      <c r="N39" s="741"/>
      <c r="O39" s="740"/>
      <c r="P39" s="740"/>
      <c r="Q39" s="740"/>
      <c r="R39" s="752"/>
      <c r="S39" s="752"/>
      <c r="T39" s="752"/>
    </row>
    <row r="40" spans="1:20" s="724" customFormat="1" ht="15">
      <c r="A40" s="723"/>
      <c r="B40" s="1512" t="s">
        <v>419</v>
      </c>
      <c r="C40" s="1513"/>
      <c r="D40" s="753" t="s">
        <v>420</v>
      </c>
      <c r="E40" s="753"/>
      <c r="F40" s="753"/>
      <c r="G40" s="753"/>
      <c r="H40" s="754"/>
      <c r="I40" s="755" t="s">
        <v>421</v>
      </c>
      <c r="J40" s="753"/>
      <c r="K40" s="753"/>
      <c r="L40" s="753"/>
      <c r="M40" s="754"/>
      <c r="N40" s="741"/>
      <c r="O40" s="244" t="s">
        <v>191</v>
      </c>
      <c r="P40" s="245"/>
      <c r="Q40" s="246"/>
      <c r="R40" s="741"/>
      <c r="S40" s="244" t="s">
        <v>192</v>
      </c>
      <c r="T40" s="246"/>
    </row>
    <row r="41" spans="1:20" s="724" customFormat="1" ht="15">
      <c r="A41" s="723"/>
      <c r="B41" s="1514"/>
      <c r="C41" s="1515"/>
      <c r="D41" s="756" t="s">
        <v>79</v>
      </c>
      <c r="E41" s="757" t="s">
        <v>80</v>
      </c>
      <c r="F41" s="757" t="s">
        <v>81</v>
      </c>
      <c r="G41" s="757" t="s">
        <v>82</v>
      </c>
      <c r="H41" s="758" t="s">
        <v>44</v>
      </c>
      <c r="I41" s="759" t="s">
        <v>193</v>
      </c>
      <c r="J41" s="757" t="s">
        <v>194</v>
      </c>
      <c r="K41" s="757" t="s">
        <v>195</v>
      </c>
      <c r="L41" s="757" t="s">
        <v>196</v>
      </c>
      <c r="M41" s="758" t="s">
        <v>197</v>
      </c>
      <c r="N41" s="741"/>
      <c r="O41" s="247" t="s">
        <v>198</v>
      </c>
      <c r="P41" s="248" t="s">
        <v>199</v>
      </c>
      <c r="Q41" s="249" t="s">
        <v>200</v>
      </c>
      <c r="R41" s="741"/>
      <c r="S41" s="247" t="s">
        <v>199</v>
      </c>
      <c r="T41" s="249" t="s">
        <v>201</v>
      </c>
    </row>
    <row r="42" spans="1:20" s="724" customFormat="1" ht="15">
      <c r="A42" s="723"/>
      <c r="B42" s="1516"/>
      <c r="C42" s="1517"/>
      <c r="D42" s="756" t="s">
        <v>203</v>
      </c>
      <c r="E42" s="757" t="s">
        <v>203</v>
      </c>
      <c r="F42" s="757" t="s">
        <v>203</v>
      </c>
      <c r="G42" s="757" t="s">
        <v>203</v>
      </c>
      <c r="H42" s="758" t="s">
        <v>203</v>
      </c>
      <c r="I42" s="756" t="s">
        <v>203</v>
      </c>
      <c r="J42" s="757" t="s">
        <v>203</v>
      </c>
      <c r="K42" s="757" t="s">
        <v>203</v>
      </c>
      <c r="L42" s="757" t="s">
        <v>203</v>
      </c>
      <c r="M42" s="758" t="s">
        <v>203</v>
      </c>
      <c r="N42" s="740"/>
      <c r="O42" s="254"/>
      <c r="P42" s="255"/>
      <c r="Q42" s="256"/>
      <c r="R42" s="741"/>
      <c r="S42" s="180"/>
      <c r="T42" s="182"/>
    </row>
    <row r="43" spans="1:20" s="724" customFormat="1" ht="15" customHeight="1">
      <c r="A43" s="723"/>
      <c r="B43" s="1527" t="s">
        <v>422</v>
      </c>
      <c r="C43" s="736" t="s">
        <v>423</v>
      </c>
      <c r="D43" s="760">
        <v>1.3</v>
      </c>
      <c r="E43" s="760">
        <v>1.2</v>
      </c>
      <c r="F43" s="760">
        <v>1.7</v>
      </c>
      <c r="G43" s="760">
        <v>1.3897827259207831</v>
      </c>
      <c r="H43" s="761">
        <v>0.94341663521222741</v>
      </c>
      <c r="I43" s="762">
        <v>0.87</v>
      </c>
      <c r="J43" s="763">
        <v>1.23</v>
      </c>
      <c r="K43" s="763">
        <v>1.64</v>
      </c>
      <c r="L43" s="763">
        <v>1.64</v>
      </c>
      <c r="M43" s="764">
        <v>1.64</v>
      </c>
      <c r="N43" s="740"/>
      <c r="O43" s="145">
        <v>4.2</v>
      </c>
      <c r="P43" s="146">
        <v>2.3331993611330106</v>
      </c>
      <c r="Q43" s="147">
        <v>6.5331993611330113</v>
      </c>
      <c r="R43" s="741"/>
      <c r="S43" s="145">
        <v>7.02</v>
      </c>
      <c r="T43" s="149">
        <v>7.4511829803180163E-2</v>
      </c>
    </row>
    <row r="44" spans="1:20" s="724" customFormat="1" ht="15" customHeight="1">
      <c r="A44" s="723"/>
      <c r="B44" s="1520"/>
      <c r="C44" s="742" t="s">
        <v>424</v>
      </c>
      <c r="D44" s="765">
        <v>1.7</v>
      </c>
      <c r="E44" s="765">
        <v>1.5</v>
      </c>
      <c r="F44" s="765">
        <v>1.1000000000000001</v>
      </c>
      <c r="G44" s="765">
        <v>1.7696706246476237</v>
      </c>
      <c r="H44" s="766">
        <v>1.8857826951068464</v>
      </c>
      <c r="I44" s="767">
        <v>2.1800000000000002</v>
      </c>
      <c r="J44" s="768">
        <v>2.27</v>
      </c>
      <c r="K44" s="768">
        <v>2.35</v>
      </c>
      <c r="L44" s="768">
        <v>2.42</v>
      </c>
      <c r="M44" s="769">
        <v>2.48</v>
      </c>
      <c r="N44" s="740"/>
      <c r="O44" s="145">
        <v>4.3</v>
      </c>
      <c r="P44" s="146">
        <v>3.6554533197544701</v>
      </c>
      <c r="Q44" s="147">
        <v>7.9554533197544712</v>
      </c>
      <c r="R44" s="741"/>
      <c r="S44" s="145">
        <v>11.7</v>
      </c>
      <c r="T44" s="149">
        <v>0.4706892906966485</v>
      </c>
    </row>
    <row r="45" spans="1:20" s="724" customFormat="1" ht="15" customHeight="1">
      <c r="A45" s="723"/>
      <c r="B45" s="1520" t="s">
        <v>425</v>
      </c>
      <c r="C45" s="742" t="s">
        <v>423</v>
      </c>
      <c r="D45" s="765">
        <v>0</v>
      </c>
      <c r="E45" s="765">
        <v>0</v>
      </c>
      <c r="F45" s="765">
        <v>0</v>
      </c>
      <c r="G45" s="765">
        <v>4.2907448616530203E-2</v>
      </c>
      <c r="H45" s="766">
        <v>0</v>
      </c>
      <c r="I45" s="767">
        <v>0</v>
      </c>
      <c r="J45" s="768">
        <v>0</v>
      </c>
      <c r="K45" s="768">
        <v>0</v>
      </c>
      <c r="L45" s="768">
        <v>0</v>
      </c>
      <c r="M45" s="769">
        <v>0</v>
      </c>
      <c r="N45" s="740"/>
      <c r="O45" s="145">
        <v>0</v>
      </c>
      <c r="P45" s="146">
        <v>4.2907448616530203E-2</v>
      </c>
      <c r="Q45" s="147">
        <v>4.2907448616530203E-2</v>
      </c>
      <c r="R45" s="741"/>
      <c r="S45" s="145">
        <v>0</v>
      </c>
      <c r="T45" s="149">
        <v>-1</v>
      </c>
    </row>
    <row r="46" spans="1:20" s="724" customFormat="1" ht="15" customHeight="1">
      <c r="A46" s="723"/>
      <c r="B46" s="1520"/>
      <c r="C46" s="742" t="s">
        <v>424</v>
      </c>
      <c r="D46" s="765">
        <v>-0.43207195133507958</v>
      </c>
      <c r="E46" s="768">
        <v>-0.31239287588104236</v>
      </c>
      <c r="F46" s="768">
        <v>-0.3</v>
      </c>
      <c r="G46" s="768">
        <v>-0.38543281432700627</v>
      </c>
      <c r="H46" s="769">
        <v>-0.20109607440707422</v>
      </c>
      <c r="I46" s="767">
        <v>-0.3</v>
      </c>
      <c r="J46" s="768">
        <v>-0.3</v>
      </c>
      <c r="K46" s="768">
        <v>-0.3</v>
      </c>
      <c r="L46" s="768">
        <v>-0.3</v>
      </c>
      <c r="M46" s="769">
        <v>-0.3</v>
      </c>
      <c r="N46" s="740"/>
      <c r="O46" s="145">
        <v>-1.0444648272161219</v>
      </c>
      <c r="P46" s="146">
        <v>-0.58652888873408049</v>
      </c>
      <c r="Q46" s="147">
        <v>-1.6309937159502024</v>
      </c>
      <c r="R46" s="741"/>
      <c r="S46" s="145">
        <v>-1.5</v>
      </c>
      <c r="T46" s="149">
        <v>-8.0315279371807144E-2</v>
      </c>
    </row>
    <row r="47" spans="1:20" s="724" customFormat="1" ht="15" customHeight="1">
      <c r="A47" s="723"/>
      <c r="B47" s="1521" t="s">
        <v>345</v>
      </c>
      <c r="C47" s="742" t="s">
        <v>426</v>
      </c>
      <c r="D47" s="770">
        <v>3.3</v>
      </c>
      <c r="E47" s="771">
        <v>3.6</v>
      </c>
      <c r="F47" s="771">
        <v>5.3</v>
      </c>
      <c r="G47" s="771">
        <v>4.7585407038868981</v>
      </c>
      <c r="H47" s="772">
        <v>4.400833796743651</v>
      </c>
      <c r="I47" s="773">
        <v>4.99</v>
      </c>
      <c r="J47" s="771">
        <v>5.62</v>
      </c>
      <c r="K47" s="771">
        <v>6.42</v>
      </c>
      <c r="L47" s="771">
        <v>7.03</v>
      </c>
      <c r="M47" s="772">
        <v>6.79</v>
      </c>
      <c r="N47" s="740"/>
      <c r="O47" s="145">
        <v>12.2</v>
      </c>
      <c r="P47" s="146">
        <v>9.1593745006305483</v>
      </c>
      <c r="Q47" s="147">
        <v>21.359374500630548</v>
      </c>
      <c r="R47" s="741"/>
      <c r="S47" s="145">
        <v>30.85</v>
      </c>
      <c r="T47" s="149">
        <v>0.44433068482830723</v>
      </c>
    </row>
    <row r="48" spans="1:20" s="724" customFormat="1" ht="15" customHeight="1">
      <c r="A48" s="723"/>
      <c r="B48" s="1521"/>
      <c r="C48" s="742" t="s">
        <v>427</v>
      </c>
      <c r="D48" s="765">
        <v>0.9</v>
      </c>
      <c r="E48" s="768">
        <v>1.1000000000000001</v>
      </c>
      <c r="F48" s="768">
        <v>0.8</v>
      </c>
      <c r="G48" s="768">
        <v>0.68514031003207476</v>
      </c>
      <c r="H48" s="769">
        <v>0.50158468058576222</v>
      </c>
      <c r="I48" s="767">
        <v>0.27</v>
      </c>
      <c r="J48" s="768">
        <v>0.46</v>
      </c>
      <c r="K48" s="768">
        <v>0.67</v>
      </c>
      <c r="L48" s="768">
        <v>0.88</v>
      </c>
      <c r="M48" s="769">
        <v>1.1100000000000001</v>
      </c>
      <c r="N48" s="774"/>
      <c r="O48" s="145">
        <v>2.8</v>
      </c>
      <c r="P48" s="146">
        <v>1.186724990617837</v>
      </c>
      <c r="Q48" s="147">
        <v>3.9867249906178368</v>
      </c>
      <c r="R48" s="741"/>
      <c r="S48" s="145">
        <v>3.39</v>
      </c>
      <c r="T48" s="149">
        <v>-0.14967799184095729</v>
      </c>
    </row>
    <row r="49" spans="1:20" s="724" customFormat="1" ht="15" customHeight="1">
      <c r="A49" s="723"/>
      <c r="B49" s="1521"/>
      <c r="C49" s="746" t="s">
        <v>428</v>
      </c>
      <c r="D49" s="765">
        <v>0.2</v>
      </c>
      <c r="E49" s="768">
        <v>0.2</v>
      </c>
      <c r="F49" s="768">
        <v>0</v>
      </c>
      <c r="G49" s="768">
        <v>0.18000197956202912</v>
      </c>
      <c r="H49" s="769">
        <v>9.3501203267136124E-2</v>
      </c>
      <c r="I49" s="767">
        <v>0.53</v>
      </c>
      <c r="J49" s="768">
        <v>0.57999999999999996</v>
      </c>
      <c r="K49" s="768">
        <v>0.64</v>
      </c>
      <c r="L49" s="768">
        <v>0.7</v>
      </c>
      <c r="M49" s="769">
        <v>0.76</v>
      </c>
      <c r="N49" s="774"/>
      <c r="O49" s="145">
        <v>0.4</v>
      </c>
      <c r="P49" s="146">
        <v>0.27350318282916525</v>
      </c>
      <c r="Q49" s="147">
        <v>0.67350318282916533</v>
      </c>
      <c r="R49" s="741"/>
      <c r="S49" s="145">
        <v>3.21</v>
      </c>
      <c r="T49" s="149">
        <v>3.7661244695471905</v>
      </c>
    </row>
    <row r="50" spans="1:20" s="724" customFormat="1" ht="15" customHeight="1">
      <c r="A50" s="723"/>
      <c r="B50" s="1521" t="s">
        <v>223</v>
      </c>
      <c r="C50" s="742" t="s">
        <v>429</v>
      </c>
      <c r="D50" s="770">
        <v>2.5</v>
      </c>
      <c r="E50" s="771">
        <v>6.2</v>
      </c>
      <c r="F50" s="771">
        <v>7.1</v>
      </c>
      <c r="G50" s="771">
        <v>7.4481051659474495</v>
      </c>
      <c r="H50" s="772">
        <v>7.3895728729761077</v>
      </c>
      <c r="I50" s="773">
        <v>4.78</v>
      </c>
      <c r="J50" s="771">
        <v>6.78</v>
      </c>
      <c r="K50" s="771">
        <v>8.91</v>
      </c>
      <c r="L50" s="771">
        <v>10.14</v>
      </c>
      <c r="M50" s="772">
        <v>9.65</v>
      </c>
      <c r="N50" s="740"/>
      <c r="O50" s="145">
        <v>15.8</v>
      </c>
      <c r="P50" s="146">
        <v>14.837678038923556</v>
      </c>
      <c r="Q50" s="147">
        <v>30.637678038923557</v>
      </c>
      <c r="R50" s="741"/>
      <c r="S50" s="145">
        <v>40.26</v>
      </c>
      <c r="T50" s="149">
        <v>0.31406825115309939</v>
      </c>
    </row>
    <row r="51" spans="1:20" s="724" customFormat="1" ht="15" customHeight="1">
      <c r="A51" s="723"/>
      <c r="B51" s="1521"/>
      <c r="C51" s="742" t="s">
        <v>95</v>
      </c>
      <c r="D51" s="765">
        <v>0.8</v>
      </c>
      <c r="E51" s="768">
        <v>1.1000000000000001</v>
      </c>
      <c r="F51" s="768">
        <v>0.6</v>
      </c>
      <c r="G51" s="768">
        <v>0.64745557929034148</v>
      </c>
      <c r="H51" s="769">
        <v>0.33396145735375304</v>
      </c>
      <c r="I51" s="767">
        <v>0.43</v>
      </c>
      <c r="J51" s="768">
        <v>0.54</v>
      </c>
      <c r="K51" s="768">
        <v>0.66</v>
      </c>
      <c r="L51" s="768">
        <v>0.79</v>
      </c>
      <c r="M51" s="769">
        <v>0.93</v>
      </c>
      <c r="N51" s="740"/>
      <c r="O51" s="145">
        <v>2.5</v>
      </c>
      <c r="P51" s="146">
        <v>0.98141703664409452</v>
      </c>
      <c r="Q51" s="147">
        <v>3.4814170366440944</v>
      </c>
      <c r="R51" s="741"/>
      <c r="S51" s="145">
        <v>3.35</v>
      </c>
      <c r="T51" s="149">
        <v>-3.774814544217131E-2</v>
      </c>
    </row>
    <row r="52" spans="1:20" s="724" customFormat="1" ht="15" customHeight="1">
      <c r="A52" s="723"/>
      <c r="B52" s="1521"/>
      <c r="C52" s="746" t="s">
        <v>430</v>
      </c>
      <c r="D52" s="765">
        <v>0</v>
      </c>
      <c r="E52" s="768">
        <v>0.1</v>
      </c>
      <c r="F52" s="768">
        <v>0</v>
      </c>
      <c r="G52" s="768">
        <v>0</v>
      </c>
      <c r="H52" s="769">
        <v>0</v>
      </c>
      <c r="I52" s="767">
        <v>0.05</v>
      </c>
      <c r="J52" s="768">
        <v>0.05</v>
      </c>
      <c r="K52" s="768">
        <v>0.05</v>
      </c>
      <c r="L52" s="768">
        <v>0.05</v>
      </c>
      <c r="M52" s="769">
        <v>0.05</v>
      </c>
      <c r="N52" s="740"/>
      <c r="O52" s="145">
        <v>0.1</v>
      </c>
      <c r="P52" s="146">
        <v>0</v>
      </c>
      <c r="Q52" s="147">
        <v>0.1</v>
      </c>
      <c r="R52" s="741"/>
      <c r="S52" s="145">
        <v>0.25</v>
      </c>
      <c r="T52" s="149">
        <v>1.5</v>
      </c>
    </row>
    <row r="53" spans="1:20" s="724" customFormat="1" ht="15" customHeight="1">
      <c r="A53" s="723"/>
      <c r="B53" s="1521"/>
      <c r="C53" s="746" t="s">
        <v>428</v>
      </c>
      <c r="D53" s="765">
        <v>1.7</v>
      </c>
      <c r="E53" s="768">
        <v>2.5</v>
      </c>
      <c r="F53" s="768">
        <v>2.5</v>
      </c>
      <c r="G53" s="768">
        <v>2.3645619876080151</v>
      </c>
      <c r="H53" s="769">
        <v>3.9735188384858353</v>
      </c>
      <c r="I53" s="767">
        <v>3.88</v>
      </c>
      <c r="J53" s="768">
        <v>4.01</v>
      </c>
      <c r="K53" s="768">
        <v>4.1399999999999997</v>
      </c>
      <c r="L53" s="768">
        <v>4.25</v>
      </c>
      <c r="M53" s="769">
        <v>4.3600000000000003</v>
      </c>
      <c r="N53" s="740"/>
      <c r="O53" s="145">
        <v>6.7</v>
      </c>
      <c r="P53" s="146">
        <v>6.3380808260938508</v>
      </c>
      <c r="Q53" s="147">
        <v>13.038080826093852</v>
      </c>
      <c r="R53" s="741"/>
      <c r="S53" s="145">
        <v>20.64</v>
      </c>
      <c r="T53" s="149">
        <v>0.58305507346541341</v>
      </c>
    </row>
    <row r="54" spans="1:20" s="724" customFormat="1" ht="15" customHeight="1">
      <c r="A54" s="723"/>
      <c r="B54" s="1521"/>
      <c r="C54" s="742" t="s">
        <v>431</v>
      </c>
      <c r="D54" s="765">
        <v>1.1000000000000001</v>
      </c>
      <c r="E54" s="768">
        <v>1.3</v>
      </c>
      <c r="F54" s="768">
        <v>1</v>
      </c>
      <c r="G54" s="768">
        <v>0.66175476289246959</v>
      </c>
      <c r="H54" s="769">
        <v>0.448009626137089</v>
      </c>
      <c r="I54" s="767">
        <v>2.08</v>
      </c>
      <c r="J54" s="768">
        <v>2.23</v>
      </c>
      <c r="K54" s="768">
        <v>2.37</v>
      </c>
      <c r="L54" s="768">
        <v>2.5099999999999998</v>
      </c>
      <c r="M54" s="769">
        <v>2.65</v>
      </c>
      <c r="N54" s="740"/>
      <c r="O54" s="145">
        <v>3.4</v>
      </c>
      <c r="P54" s="146">
        <v>1.1097643890295585</v>
      </c>
      <c r="Q54" s="147">
        <v>4.5097643890295585</v>
      </c>
      <c r="R54" s="741"/>
      <c r="S54" s="145">
        <v>11.84</v>
      </c>
      <c r="T54" s="149">
        <v>1.6254143184956527</v>
      </c>
    </row>
    <row r="55" spans="1:20" s="724" customFormat="1" ht="15" customHeight="1">
      <c r="A55" s="723"/>
      <c r="B55" s="1521"/>
      <c r="C55" s="742" t="s">
        <v>432</v>
      </c>
      <c r="D55" s="765">
        <v>1.2</v>
      </c>
      <c r="E55" s="768">
        <v>1.5</v>
      </c>
      <c r="F55" s="768">
        <v>1.1000000000000001</v>
      </c>
      <c r="G55" s="768">
        <v>1.0978027707009799</v>
      </c>
      <c r="H55" s="769">
        <v>0.6040808076247558</v>
      </c>
      <c r="I55" s="767">
        <v>1.1599999999999999</v>
      </c>
      <c r="J55" s="768">
        <v>1.1599999999999999</v>
      </c>
      <c r="K55" s="768">
        <v>1.1599999999999999</v>
      </c>
      <c r="L55" s="768">
        <v>1.1599999999999999</v>
      </c>
      <c r="M55" s="769">
        <v>1.1599999999999999</v>
      </c>
      <c r="N55" s="740"/>
      <c r="O55" s="145">
        <v>3.8</v>
      </c>
      <c r="P55" s="146">
        <v>1.7018835783257358</v>
      </c>
      <c r="Q55" s="147">
        <v>5.501883578325736</v>
      </c>
      <c r="R55" s="741"/>
      <c r="S55" s="145">
        <v>5.8</v>
      </c>
      <c r="T55" s="149">
        <v>5.4184429283213369E-2</v>
      </c>
    </row>
    <row r="56" spans="1:20" s="724" customFormat="1" ht="15" customHeight="1">
      <c r="A56" s="723"/>
      <c r="B56" s="1521" t="s">
        <v>402</v>
      </c>
      <c r="C56" s="742" t="s">
        <v>429</v>
      </c>
      <c r="D56" s="770">
        <v>0.4</v>
      </c>
      <c r="E56" s="771">
        <v>0.5</v>
      </c>
      <c r="F56" s="771">
        <v>0.6</v>
      </c>
      <c r="G56" s="771">
        <v>0.41756273165842805</v>
      </c>
      <c r="H56" s="772">
        <v>0.31307144464726483</v>
      </c>
      <c r="I56" s="773">
        <v>1.1299999999999999</v>
      </c>
      <c r="J56" s="771">
        <v>1.55</v>
      </c>
      <c r="K56" s="771">
        <v>1.98</v>
      </c>
      <c r="L56" s="771">
        <v>1.98</v>
      </c>
      <c r="M56" s="772">
        <v>1.98</v>
      </c>
      <c r="N56" s="740"/>
      <c r="O56" s="145">
        <v>1.5</v>
      </c>
      <c r="P56" s="146">
        <v>0.73063417630569294</v>
      </c>
      <c r="Q56" s="147">
        <v>2.2306341763056929</v>
      </c>
      <c r="R56" s="741"/>
      <c r="S56" s="145">
        <v>8.6199999999999992</v>
      </c>
      <c r="T56" s="149">
        <v>2.8643718865081578</v>
      </c>
    </row>
    <row r="57" spans="1:20" s="724" customFormat="1" ht="15" customHeight="1">
      <c r="A57" s="723"/>
      <c r="B57" s="1521"/>
      <c r="C57" s="742" t="s">
        <v>95</v>
      </c>
      <c r="D57" s="765">
        <v>0.4</v>
      </c>
      <c r="E57" s="768">
        <v>0.5</v>
      </c>
      <c r="F57" s="768">
        <v>0.6</v>
      </c>
      <c r="G57" s="768">
        <v>0.47396090022062071</v>
      </c>
      <c r="H57" s="769">
        <v>0.71715225227202062</v>
      </c>
      <c r="I57" s="767">
        <v>0.24</v>
      </c>
      <c r="J57" s="768">
        <v>0.24</v>
      </c>
      <c r="K57" s="768">
        <v>0.27</v>
      </c>
      <c r="L57" s="768">
        <v>0.28999999999999998</v>
      </c>
      <c r="M57" s="769">
        <v>0.32</v>
      </c>
      <c r="N57" s="740"/>
      <c r="O57" s="145">
        <v>1.5</v>
      </c>
      <c r="P57" s="146">
        <v>1.1911131524926413</v>
      </c>
      <c r="Q57" s="147">
        <v>2.6911131524926413</v>
      </c>
      <c r="R57" s="741"/>
      <c r="S57" s="145">
        <v>1.36</v>
      </c>
      <c r="T57" s="149">
        <v>-0.49463291844852336</v>
      </c>
    </row>
    <row r="58" spans="1:20" s="724" customFormat="1" ht="15" customHeight="1">
      <c r="A58" s="723"/>
      <c r="B58" s="1521"/>
      <c r="C58" s="742" t="s">
        <v>430</v>
      </c>
      <c r="D58" s="765">
        <v>0</v>
      </c>
      <c r="E58" s="768">
        <v>0.1</v>
      </c>
      <c r="F58" s="768">
        <v>0</v>
      </c>
      <c r="G58" s="768">
        <v>0</v>
      </c>
      <c r="H58" s="769">
        <v>0</v>
      </c>
      <c r="I58" s="767">
        <v>0.01</v>
      </c>
      <c r="J58" s="768">
        <v>0.01</v>
      </c>
      <c r="K58" s="768">
        <v>0.01</v>
      </c>
      <c r="L58" s="768">
        <v>0.01</v>
      </c>
      <c r="M58" s="769">
        <v>1.9999999999999907E-2</v>
      </c>
      <c r="N58" s="740"/>
      <c r="O58" s="145">
        <v>0.1</v>
      </c>
      <c r="P58" s="146">
        <v>0</v>
      </c>
      <c r="Q58" s="147">
        <v>0.1</v>
      </c>
      <c r="R58" s="741"/>
      <c r="S58" s="145">
        <v>5.9999999999999942E-2</v>
      </c>
      <c r="T58" s="149">
        <v>-0.40000000000000063</v>
      </c>
    </row>
    <row r="59" spans="1:20" s="724" customFormat="1" ht="15" customHeight="1">
      <c r="A59" s="723"/>
      <c r="B59" s="1521"/>
      <c r="C59" s="742" t="s">
        <v>428</v>
      </c>
      <c r="D59" s="765">
        <v>1.4</v>
      </c>
      <c r="E59" s="768">
        <v>2.5</v>
      </c>
      <c r="F59" s="768">
        <v>0.7</v>
      </c>
      <c r="G59" s="768">
        <v>1.5509472890170184</v>
      </c>
      <c r="H59" s="769">
        <v>1.7859780399340608</v>
      </c>
      <c r="I59" s="767">
        <v>0.96</v>
      </c>
      <c r="J59" s="768">
        <v>0.97</v>
      </c>
      <c r="K59" s="768">
        <v>0.98</v>
      </c>
      <c r="L59" s="768">
        <v>0.98</v>
      </c>
      <c r="M59" s="769">
        <v>0.99</v>
      </c>
      <c r="N59" s="740"/>
      <c r="O59" s="145">
        <v>4.5999999999999996</v>
      </c>
      <c r="P59" s="146">
        <v>3.3369253289510792</v>
      </c>
      <c r="Q59" s="147">
        <v>7.9369253289510784</v>
      </c>
      <c r="R59" s="741"/>
      <c r="S59" s="145">
        <v>4.88</v>
      </c>
      <c r="T59" s="149">
        <v>-0.38515233572886254</v>
      </c>
    </row>
    <row r="60" spans="1:20" s="724" customFormat="1" ht="15" customHeight="1">
      <c r="A60" s="723"/>
      <c r="B60" s="1521"/>
      <c r="C60" s="742" t="s">
        <v>431</v>
      </c>
      <c r="D60" s="765">
        <v>1.3</v>
      </c>
      <c r="E60" s="768">
        <v>1.2</v>
      </c>
      <c r="F60" s="768">
        <v>1.4</v>
      </c>
      <c r="G60" s="768">
        <v>1.0967562475639916</v>
      </c>
      <c r="H60" s="769">
        <v>0.62929461524735431</v>
      </c>
      <c r="I60" s="767">
        <v>1.75</v>
      </c>
      <c r="J60" s="768">
        <v>1.88</v>
      </c>
      <c r="K60" s="768">
        <v>2.0099999999999998</v>
      </c>
      <c r="L60" s="768">
        <v>2.15</v>
      </c>
      <c r="M60" s="769">
        <v>2.2799999999999998</v>
      </c>
      <c r="N60" s="740"/>
      <c r="O60" s="145">
        <v>3.9</v>
      </c>
      <c r="P60" s="146">
        <v>1.7260508628113458</v>
      </c>
      <c r="Q60" s="147">
        <v>5.6260508628113461</v>
      </c>
      <c r="R60" s="741"/>
      <c r="S60" s="145">
        <v>10.07</v>
      </c>
      <c r="T60" s="149">
        <v>0.78988783527776429</v>
      </c>
    </row>
    <row r="61" spans="1:20" s="724" customFormat="1" ht="15" customHeight="1">
      <c r="A61" s="723"/>
      <c r="B61" s="1521"/>
      <c r="C61" s="746" t="s">
        <v>432</v>
      </c>
      <c r="D61" s="765">
        <v>0.7</v>
      </c>
      <c r="E61" s="768">
        <v>0.6</v>
      </c>
      <c r="F61" s="768">
        <v>0.7</v>
      </c>
      <c r="G61" s="768">
        <v>0.92826602250883627</v>
      </c>
      <c r="H61" s="769">
        <v>0.16283917422928201</v>
      </c>
      <c r="I61" s="767">
        <v>0.75</v>
      </c>
      <c r="J61" s="768">
        <v>0.75</v>
      </c>
      <c r="K61" s="768">
        <v>0.75</v>
      </c>
      <c r="L61" s="768">
        <v>0.75</v>
      </c>
      <c r="M61" s="769">
        <v>0.75</v>
      </c>
      <c r="N61" s="740"/>
      <c r="O61" s="145">
        <v>2</v>
      </c>
      <c r="P61" s="146">
        <v>1.0911051967381182</v>
      </c>
      <c r="Q61" s="147">
        <v>3.091105196738118</v>
      </c>
      <c r="R61" s="741"/>
      <c r="S61" s="145">
        <v>3.75</v>
      </c>
      <c r="T61" s="149">
        <v>0.21315832407036139</v>
      </c>
    </row>
    <row r="62" spans="1:20" s="724" customFormat="1" ht="15" customHeight="1">
      <c r="A62" s="723"/>
      <c r="B62" s="1521" t="s">
        <v>401</v>
      </c>
      <c r="C62" s="742" t="s">
        <v>429</v>
      </c>
      <c r="D62" s="770">
        <v>1.5</v>
      </c>
      <c r="E62" s="771">
        <v>3.9</v>
      </c>
      <c r="F62" s="771">
        <v>2.9</v>
      </c>
      <c r="G62" s="771">
        <v>3.0443358054996672</v>
      </c>
      <c r="H62" s="772">
        <v>0.98018677132851695</v>
      </c>
      <c r="I62" s="773">
        <v>0.62</v>
      </c>
      <c r="J62" s="771">
        <v>0.87</v>
      </c>
      <c r="K62" s="771">
        <v>1.1200000000000001</v>
      </c>
      <c r="L62" s="771">
        <v>1.26</v>
      </c>
      <c r="M62" s="772">
        <v>1.25</v>
      </c>
      <c r="N62" s="740"/>
      <c r="O62" s="145">
        <v>8.3000000000000007</v>
      </c>
      <c r="P62" s="146">
        <v>4.0245225768281845</v>
      </c>
      <c r="Q62" s="147">
        <v>12.324522576828185</v>
      </c>
      <c r="R62" s="741"/>
      <c r="S62" s="145">
        <v>5.12</v>
      </c>
      <c r="T62" s="149">
        <v>-0.58456808626191237</v>
      </c>
    </row>
    <row r="63" spans="1:20" s="724" customFormat="1" ht="15" customHeight="1">
      <c r="A63" s="723"/>
      <c r="B63" s="1521"/>
      <c r="C63" s="742" t="s">
        <v>95</v>
      </c>
      <c r="D63" s="765">
        <v>0.1</v>
      </c>
      <c r="E63" s="768">
        <v>0</v>
      </c>
      <c r="F63" s="768">
        <v>0.8</v>
      </c>
      <c r="G63" s="768">
        <v>0.716868348837151</v>
      </c>
      <c r="H63" s="769">
        <v>0.55785549364999187</v>
      </c>
      <c r="I63" s="767">
        <v>1.19</v>
      </c>
      <c r="J63" s="768">
        <v>1.31</v>
      </c>
      <c r="K63" s="768">
        <v>1.55</v>
      </c>
      <c r="L63" s="768">
        <v>1.67</v>
      </c>
      <c r="M63" s="769">
        <v>1.91</v>
      </c>
      <c r="N63" s="740"/>
      <c r="O63" s="145">
        <v>0.9</v>
      </c>
      <c r="P63" s="146">
        <v>1.274723842487143</v>
      </c>
      <c r="Q63" s="147">
        <v>2.1747238424871429</v>
      </c>
      <c r="R63" s="741"/>
      <c r="S63" s="145">
        <v>7.63</v>
      </c>
      <c r="T63" s="149">
        <v>2.5084914465617301</v>
      </c>
    </row>
    <row r="64" spans="1:20" s="724" customFormat="1" ht="15" customHeight="1">
      <c r="A64" s="723"/>
      <c r="B64" s="1521"/>
      <c r="C64" s="746" t="s">
        <v>433</v>
      </c>
      <c r="D64" s="765">
        <v>0</v>
      </c>
      <c r="E64" s="768">
        <v>0</v>
      </c>
      <c r="F64" s="768">
        <v>0</v>
      </c>
      <c r="G64" s="768">
        <v>0</v>
      </c>
      <c r="H64" s="769">
        <v>0</v>
      </c>
      <c r="I64" s="767">
        <v>0</v>
      </c>
      <c r="J64" s="768">
        <v>0</v>
      </c>
      <c r="K64" s="768">
        <v>0</v>
      </c>
      <c r="L64" s="768">
        <v>0</v>
      </c>
      <c r="M64" s="769">
        <v>0</v>
      </c>
      <c r="N64" s="740"/>
      <c r="O64" s="145">
        <v>0</v>
      </c>
      <c r="P64" s="146">
        <v>0</v>
      </c>
      <c r="Q64" s="147">
        <v>0</v>
      </c>
      <c r="R64" s="741"/>
      <c r="S64" s="145">
        <v>0</v>
      </c>
      <c r="T64" s="149" t="s">
        <v>987</v>
      </c>
    </row>
    <row r="65" spans="1:20" s="724" customFormat="1" ht="15" customHeight="1">
      <c r="A65" s="723"/>
      <c r="B65" s="1521"/>
      <c r="C65" s="746" t="s">
        <v>428</v>
      </c>
      <c r="D65" s="765">
        <v>0.8</v>
      </c>
      <c r="E65" s="768">
        <v>0.4</v>
      </c>
      <c r="F65" s="768">
        <v>0.3</v>
      </c>
      <c r="G65" s="768">
        <v>0.76291536686464678</v>
      </c>
      <c r="H65" s="769">
        <v>1.3415846805857621</v>
      </c>
      <c r="I65" s="767">
        <v>0.16</v>
      </c>
      <c r="J65" s="768">
        <v>0.16</v>
      </c>
      <c r="K65" s="768">
        <v>0.16</v>
      </c>
      <c r="L65" s="768">
        <v>0.14000000000000001</v>
      </c>
      <c r="M65" s="769">
        <v>0.14000000000000001</v>
      </c>
      <c r="N65" s="740"/>
      <c r="O65" s="145">
        <v>1.5</v>
      </c>
      <c r="P65" s="146">
        <v>2.1045000474504088</v>
      </c>
      <c r="Q65" s="147">
        <v>3.6045000474504092</v>
      </c>
      <c r="R65" s="741"/>
      <c r="S65" s="145">
        <v>0.76</v>
      </c>
      <c r="T65" s="149">
        <v>-0.78915245110412047</v>
      </c>
    </row>
    <row r="66" spans="1:20" s="724" customFormat="1" ht="15" customHeight="1">
      <c r="A66" s="723"/>
      <c r="B66" s="1521"/>
      <c r="C66" s="746" t="s">
        <v>431</v>
      </c>
      <c r="D66" s="765">
        <v>1.8</v>
      </c>
      <c r="E66" s="768">
        <v>1.9</v>
      </c>
      <c r="F66" s="768">
        <v>1</v>
      </c>
      <c r="G66" s="768">
        <v>1.6336226168391133</v>
      </c>
      <c r="H66" s="769">
        <v>0.58411987659019871</v>
      </c>
      <c r="I66" s="767">
        <v>2.81</v>
      </c>
      <c r="J66" s="768">
        <v>2.81</v>
      </c>
      <c r="K66" s="768">
        <v>2.92</v>
      </c>
      <c r="L66" s="768">
        <v>2.04</v>
      </c>
      <c r="M66" s="769">
        <v>2.04</v>
      </c>
      <c r="N66" s="740"/>
      <c r="O66" s="145">
        <v>4.7</v>
      </c>
      <c r="P66" s="146">
        <v>2.217742493429312</v>
      </c>
      <c r="Q66" s="147">
        <v>6.9177424934293121</v>
      </c>
      <c r="R66" s="741"/>
      <c r="S66" s="145">
        <v>12.62</v>
      </c>
      <c r="T66" s="149">
        <v>0.82429456025384984</v>
      </c>
    </row>
    <row r="67" spans="1:20" s="724" customFormat="1" ht="15" customHeight="1" thickBot="1">
      <c r="A67" s="723"/>
      <c r="B67" s="1524"/>
      <c r="C67" s="775" t="s">
        <v>432</v>
      </c>
      <c r="D67" s="776">
        <v>0.2</v>
      </c>
      <c r="E67" s="777">
        <v>0.3</v>
      </c>
      <c r="F67" s="777">
        <v>0.8</v>
      </c>
      <c r="G67" s="777">
        <v>1.1197797565777394</v>
      </c>
      <c r="H67" s="778">
        <v>0.33513352631703847</v>
      </c>
      <c r="I67" s="779">
        <v>0.15</v>
      </c>
      <c r="J67" s="777">
        <v>0.15</v>
      </c>
      <c r="K67" s="777">
        <v>0.15</v>
      </c>
      <c r="L67" s="777">
        <v>0.15</v>
      </c>
      <c r="M67" s="778">
        <v>0.15</v>
      </c>
      <c r="N67" s="740"/>
      <c r="O67" s="145">
        <v>1.3</v>
      </c>
      <c r="P67" s="146">
        <v>1.4549132828947779</v>
      </c>
      <c r="Q67" s="147">
        <v>2.7549132828947775</v>
      </c>
      <c r="R67" s="741"/>
      <c r="S67" s="145">
        <v>0.75</v>
      </c>
      <c r="T67" s="149">
        <v>-0.7277591259744034</v>
      </c>
    </row>
    <row r="68" spans="1:20" s="724" customFormat="1" ht="15" customHeight="1" thickBot="1">
      <c r="A68" s="723"/>
      <c r="B68" s="1525" t="s">
        <v>436</v>
      </c>
      <c r="C68" s="1526"/>
      <c r="D68" s="780">
        <v>22.867928048664922</v>
      </c>
      <c r="E68" s="781">
        <v>31.887607124118954</v>
      </c>
      <c r="F68" s="781">
        <v>30.7</v>
      </c>
      <c r="G68" s="781">
        <v>32.405306330365406</v>
      </c>
      <c r="H68" s="782">
        <v>27.780382413887573</v>
      </c>
      <c r="I68" s="783">
        <v>30.69</v>
      </c>
      <c r="J68" s="781">
        <v>35.33</v>
      </c>
      <c r="K68" s="781">
        <v>40.61</v>
      </c>
      <c r="L68" s="781">
        <v>42.69</v>
      </c>
      <c r="M68" s="782">
        <v>43.11</v>
      </c>
      <c r="N68" s="740"/>
      <c r="O68" s="165">
        <v>85.455535172783883</v>
      </c>
      <c r="P68" s="166">
        <v>60.185688744252978</v>
      </c>
      <c r="Q68" s="167">
        <v>145.64122391703685</v>
      </c>
      <c r="R68" s="741"/>
      <c r="S68" s="165">
        <v>192.43</v>
      </c>
      <c r="T68" s="168">
        <v>0.3212605251766899</v>
      </c>
    </row>
    <row r="69" spans="1:20" s="724" customFormat="1">
      <c r="A69" s="723"/>
      <c r="B69" s="750"/>
      <c r="C69" s="750"/>
      <c r="D69" s="741"/>
      <c r="E69" s="741"/>
      <c r="F69" s="741"/>
      <c r="G69" s="741"/>
      <c r="H69" s="741"/>
      <c r="I69" s="741"/>
      <c r="J69" s="741"/>
      <c r="K69" s="741"/>
      <c r="L69" s="741"/>
      <c r="M69" s="741"/>
      <c r="N69" s="740"/>
      <c r="O69" s="740"/>
      <c r="P69" s="740"/>
      <c r="Q69" s="740"/>
      <c r="R69" s="752"/>
      <c r="S69" s="752"/>
      <c r="T69" s="752"/>
    </row>
    <row r="70" spans="1:20" s="724" customFormat="1">
      <c r="A70" s="723"/>
      <c r="B70" s="604"/>
      <c r="C70" s="604"/>
      <c r="D70" s="740"/>
      <c r="E70" s="740"/>
      <c r="F70" s="740"/>
      <c r="G70" s="740"/>
      <c r="H70" s="740"/>
      <c r="I70" s="740"/>
      <c r="J70" s="740"/>
      <c r="K70" s="740"/>
      <c r="L70" s="740"/>
      <c r="M70" s="740"/>
      <c r="N70" s="740"/>
      <c r="O70" s="740"/>
      <c r="P70" s="740"/>
      <c r="Q70" s="740"/>
      <c r="R70" s="752"/>
      <c r="S70" s="752"/>
      <c r="T70" s="752"/>
    </row>
    <row r="71" spans="1:20" s="724" customFormat="1" ht="15" customHeight="1">
      <c r="A71" s="723"/>
      <c r="B71" s="722" t="s">
        <v>437</v>
      </c>
      <c r="C71" s="604"/>
      <c r="D71" s="740"/>
      <c r="E71" s="740"/>
      <c r="F71" s="740"/>
      <c r="G71" s="740"/>
      <c r="H71" s="740"/>
      <c r="I71" s="740"/>
      <c r="J71" s="740"/>
      <c r="K71" s="740"/>
      <c r="L71" s="740"/>
      <c r="M71" s="740"/>
      <c r="N71" s="741"/>
      <c r="O71" s="740"/>
      <c r="P71" s="740"/>
      <c r="Q71" s="740"/>
      <c r="R71" s="752"/>
      <c r="S71" s="752"/>
      <c r="T71" s="752"/>
    </row>
    <row r="72" spans="1:20" s="724" customFormat="1" ht="15" thickBot="1">
      <c r="A72" s="723"/>
      <c r="B72" s="604"/>
      <c r="C72" s="604"/>
      <c r="D72" s="740"/>
      <c r="E72" s="740"/>
      <c r="F72" s="740"/>
      <c r="G72" s="740"/>
      <c r="H72" s="740"/>
      <c r="I72" s="740"/>
      <c r="J72" s="740"/>
      <c r="K72" s="740"/>
      <c r="L72" s="740"/>
      <c r="M72" s="740"/>
      <c r="N72" s="741"/>
      <c r="O72" s="740"/>
      <c r="P72" s="740"/>
      <c r="Q72" s="740"/>
      <c r="R72" s="752"/>
      <c r="S72" s="752"/>
      <c r="T72" s="752"/>
    </row>
    <row r="73" spans="1:20" s="724" customFormat="1" ht="15">
      <c r="A73" s="723"/>
      <c r="B73" s="1512" t="s">
        <v>419</v>
      </c>
      <c r="C73" s="1513"/>
      <c r="D73" s="753" t="s">
        <v>420</v>
      </c>
      <c r="E73" s="753"/>
      <c r="F73" s="753"/>
      <c r="G73" s="753"/>
      <c r="H73" s="754"/>
      <c r="I73" s="755" t="s">
        <v>421</v>
      </c>
      <c r="J73" s="753"/>
      <c r="K73" s="753"/>
      <c r="L73" s="753"/>
      <c r="M73" s="754"/>
      <c r="N73" s="741"/>
      <c r="O73" s="244" t="s">
        <v>191</v>
      </c>
      <c r="P73" s="245"/>
      <c r="Q73" s="246"/>
      <c r="R73" s="741"/>
      <c r="S73" s="244" t="s">
        <v>192</v>
      </c>
      <c r="T73" s="246"/>
    </row>
    <row r="74" spans="1:20" s="724" customFormat="1" ht="15">
      <c r="A74" s="723"/>
      <c r="B74" s="1514"/>
      <c r="C74" s="1515"/>
      <c r="D74" s="756" t="s">
        <v>79</v>
      </c>
      <c r="E74" s="757" t="s">
        <v>80</v>
      </c>
      <c r="F74" s="757" t="s">
        <v>81</v>
      </c>
      <c r="G74" s="757" t="s">
        <v>82</v>
      </c>
      <c r="H74" s="758" t="s">
        <v>44</v>
      </c>
      <c r="I74" s="759" t="s">
        <v>193</v>
      </c>
      <c r="J74" s="757" t="s">
        <v>194</v>
      </c>
      <c r="K74" s="757" t="s">
        <v>195</v>
      </c>
      <c r="L74" s="757" t="s">
        <v>196</v>
      </c>
      <c r="M74" s="758" t="s">
        <v>197</v>
      </c>
      <c r="N74" s="741"/>
      <c r="O74" s="247" t="s">
        <v>198</v>
      </c>
      <c r="P74" s="248" t="s">
        <v>199</v>
      </c>
      <c r="Q74" s="249" t="s">
        <v>200</v>
      </c>
      <c r="R74" s="741"/>
      <c r="S74" s="247" t="s">
        <v>199</v>
      </c>
      <c r="T74" s="249" t="s">
        <v>201</v>
      </c>
    </row>
    <row r="75" spans="1:20" s="724" customFormat="1" ht="15">
      <c r="A75" s="723"/>
      <c r="B75" s="1516"/>
      <c r="C75" s="1517"/>
      <c r="D75" s="756" t="s">
        <v>203</v>
      </c>
      <c r="E75" s="757" t="s">
        <v>203</v>
      </c>
      <c r="F75" s="757" t="s">
        <v>203</v>
      </c>
      <c r="G75" s="757" t="s">
        <v>203</v>
      </c>
      <c r="H75" s="758" t="s">
        <v>203</v>
      </c>
      <c r="I75" s="759" t="s">
        <v>203</v>
      </c>
      <c r="J75" s="757" t="s">
        <v>203</v>
      </c>
      <c r="K75" s="757" t="s">
        <v>203</v>
      </c>
      <c r="L75" s="757" t="s">
        <v>203</v>
      </c>
      <c r="M75" s="758" t="s">
        <v>203</v>
      </c>
      <c r="N75" s="740"/>
      <c r="O75" s="254"/>
      <c r="P75" s="255"/>
      <c r="Q75" s="256"/>
      <c r="R75" s="741"/>
      <c r="S75" s="180"/>
      <c r="T75" s="182"/>
    </row>
    <row r="76" spans="1:20" s="724" customFormat="1" ht="15" customHeight="1">
      <c r="A76" s="723"/>
      <c r="B76" s="1527" t="s">
        <v>422</v>
      </c>
      <c r="C76" s="736" t="s">
        <v>423</v>
      </c>
      <c r="D76" s="760">
        <v>0</v>
      </c>
      <c r="E76" s="760">
        <v>0</v>
      </c>
      <c r="F76" s="760">
        <v>0</v>
      </c>
      <c r="G76" s="760">
        <v>0</v>
      </c>
      <c r="H76" s="761">
        <v>0</v>
      </c>
      <c r="I76" s="762">
        <v>0</v>
      </c>
      <c r="J76" s="763">
        <v>0</v>
      </c>
      <c r="K76" s="763">
        <v>0</v>
      </c>
      <c r="L76" s="763">
        <v>0</v>
      </c>
      <c r="M76" s="764">
        <v>0</v>
      </c>
      <c r="N76" s="740"/>
      <c r="O76" s="145">
        <v>0</v>
      </c>
      <c r="P76" s="146">
        <v>0</v>
      </c>
      <c r="Q76" s="147">
        <v>0</v>
      </c>
      <c r="R76" s="741"/>
      <c r="S76" s="145">
        <v>0</v>
      </c>
      <c r="T76" s="149" t="s">
        <v>987</v>
      </c>
    </row>
    <row r="77" spans="1:20" s="724" customFormat="1" ht="15" customHeight="1">
      <c r="A77" s="723"/>
      <c r="B77" s="1520"/>
      <c r="C77" s="742" t="s">
        <v>424</v>
      </c>
      <c r="D77" s="765">
        <v>0</v>
      </c>
      <c r="E77" s="765">
        <v>0</v>
      </c>
      <c r="F77" s="765">
        <v>0</v>
      </c>
      <c r="G77" s="765">
        <v>0</v>
      </c>
      <c r="H77" s="766">
        <v>0</v>
      </c>
      <c r="I77" s="767">
        <v>0</v>
      </c>
      <c r="J77" s="768">
        <v>0</v>
      </c>
      <c r="K77" s="768">
        <v>0</v>
      </c>
      <c r="L77" s="768">
        <v>0</v>
      </c>
      <c r="M77" s="769">
        <v>0</v>
      </c>
      <c r="N77" s="740"/>
      <c r="O77" s="145">
        <v>0</v>
      </c>
      <c r="P77" s="146">
        <v>0</v>
      </c>
      <c r="Q77" s="147">
        <v>0</v>
      </c>
      <c r="R77" s="741"/>
      <c r="S77" s="145">
        <v>0</v>
      </c>
      <c r="T77" s="149" t="s">
        <v>987</v>
      </c>
    </row>
    <row r="78" spans="1:20" s="724" customFormat="1" ht="15" customHeight="1">
      <c r="A78" s="723"/>
      <c r="B78" s="1520" t="s">
        <v>425</v>
      </c>
      <c r="C78" s="742" t="s">
        <v>423</v>
      </c>
      <c r="D78" s="765">
        <v>0</v>
      </c>
      <c r="E78" s="765">
        <v>0</v>
      </c>
      <c r="F78" s="765">
        <v>0</v>
      </c>
      <c r="G78" s="765">
        <v>0</v>
      </c>
      <c r="H78" s="766">
        <v>0</v>
      </c>
      <c r="I78" s="767">
        <v>0</v>
      </c>
      <c r="J78" s="768">
        <v>0</v>
      </c>
      <c r="K78" s="768">
        <v>0</v>
      </c>
      <c r="L78" s="768">
        <v>0</v>
      </c>
      <c r="M78" s="769">
        <v>0</v>
      </c>
      <c r="N78" s="740"/>
      <c r="O78" s="145">
        <v>0</v>
      </c>
      <c r="P78" s="146">
        <v>0</v>
      </c>
      <c r="Q78" s="147">
        <v>0</v>
      </c>
      <c r="R78" s="741"/>
      <c r="S78" s="145">
        <v>0</v>
      </c>
      <c r="T78" s="149" t="s">
        <v>987</v>
      </c>
    </row>
    <row r="79" spans="1:20" s="724" customFormat="1" ht="15" customHeight="1">
      <c r="A79" s="723"/>
      <c r="B79" s="1520"/>
      <c r="C79" s="742" t="s">
        <v>424</v>
      </c>
      <c r="D79" s="765">
        <v>0</v>
      </c>
      <c r="E79" s="765">
        <v>0</v>
      </c>
      <c r="F79" s="765">
        <v>0</v>
      </c>
      <c r="G79" s="765">
        <v>0</v>
      </c>
      <c r="H79" s="766">
        <v>0</v>
      </c>
      <c r="I79" s="767">
        <v>0</v>
      </c>
      <c r="J79" s="768">
        <v>0</v>
      </c>
      <c r="K79" s="768">
        <v>0</v>
      </c>
      <c r="L79" s="768">
        <v>0</v>
      </c>
      <c r="M79" s="769">
        <v>0</v>
      </c>
      <c r="N79" s="740"/>
      <c r="O79" s="145">
        <v>0</v>
      </c>
      <c r="P79" s="146">
        <v>0</v>
      </c>
      <c r="Q79" s="147">
        <v>0</v>
      </c>
      <c r="R79" s="741"/>
      <c r="S79" s="145">
        <v>0</v>
      </c>
      <c r="T79" s="149" t="s">
        <v>987</v>
      </c>
    </row>
    <row r="80" spans="1:20" s="724" customFormat="1" ht="15" customHeight="1">
      <c r="A80" s="723"/>
      <c r="B80" s="1521" t="s">
        <v>345</v>
      </c>
      <c r="C80" s="742" t="s">
        <v>426</v>
      </c>
      <c r="D80" s="765">
        <v>0</v>
      </c>
      <c r="E80" s="765">
        <v>0</v>
      </c>
      <c r="F80" s="765">
        <v>0</v>
      </c>
      <c r="G80" s="765">
        <v>0</v>
      </c>
      <c r="H80" s="766">
        <v>0</v>
      </c>
      <c r="I80" s="767">
        <v>0</v>
      </c>
      <c r="J80" s="768">
        <v>0</v>
      </c>
      <c r="K80" s="768">
        <v>0</v>
      </c>
      <c r="L80" s="768">
        <v>0</v>
      </c>
      <c r="M80" s="769">
        <v>0</v>
      </c>
      <c r="N80" s="740"/>
      <c r="O80" s="145">
        <v>0</v>
      </c>
      <c r="P80" s="146">
        <v>0</v>
      </c>
      <c r="Q80" s="147">
        <v>0</v>
      </c>
      <c r="R80" s="741"/>
      <c r="S80" s="145">
        <v>0</v>
      </c>
      <c r="T80" s="149" t="s">
        <v>987</v>
      </c>
    </row>
    <row r="81" spans="1:20" s="724" customFormat="1" ht="15" customHeight="1">
      <c r="A81" s="723"/>
      <c r="B81" s="1521"/>
      <c r="C81" s="742" t="s">
        <v>427</v>
      </c>
      <c r="D81" s="765">
        <v>1.3</v>
      </c>
      <c r="E81" s="765">
        <v>1.9</v>
      </c>
      <c r="F81" s="765">
        <v>1.3</v>
      </c>
      <c r="G81" s="765">
        <v>1.5</v>
      </c>
      <c r="H81" s="766">
        <v>1.5</v>
      </c>
      <c r="I81" s="767">
        <v>1.5</v>
      </c>
      <c r="J81" s="768">
        <v>1.5</v>
      </c>
      <c r="K81" s="768">
        <v>1.5</v>
      </c>
      <c r="L81" s="768">
        <v>1.5</v>
      </c>
      <c r="M81" s="769">
        <v>1.5</v>
      </c>
      <c r="N81" s="740"/>
      <c r="O81" s="145">
        <v>4.5</v>
      </c>
      <c r="P81" s="146">
        <v>3</v>
      </c>
      <c r="Q81" s="147">
        <v>7.5</v>
      </c>
      <c r="R81" s="741"/>
      <c r="S81" s="145">
        <v>7.5</v>
      </c>
      <c r="T81" s="149">
        <v>0</v>
      </c>
    </row>
    <row r="82" spans="1:20" s="724" customFormat="1" ht="15" customHeight="1">
      <c r="A82" s="723"/>
      <c r="B82" s="1521"/>
      <c r="C82" s="746" t="s">
        <v>428</v>
      </c>
      <c r="D82" s="765">
        <v>0</v>
      </c>
      <c r="E82" s="765">
        <v>0</v>
      </c>
      <c r="F82" s="765">
        <v>0</v>
      </c>
      <c r="G82" s="765">
        <v>0</v>
      </c>
      <c r="H82" s="766">
        <v>0</v>
      </c>
      <c r="I82" s="767">
        <v>0</v>
      </c>
      <c r="J82" s="768">
        <v>0</v>
      </c>
      <c r="K82" s="768">
        <v>0</v>
      </c>
      <c r="L82" s="768">
        <v>0</v>
      </c>
      <c r="M82" s="769">
        <v>0</v>
      </c>
      <c r="N82" s="740"/>
      <c r="O82" s="145">
        <v>0</v>
      </c>
      <c r="P82" s="146">
        <v>0</v>
      </c>
      <c r="Q82" s="147">
        <v>0</v>
      </c>
      <c r="R82" s="741"/>
      <c r="S82" s="145">
        <v>0</v>
      </c>
      <c r="T82" s="149" t="s">
        <v>987</v>
      </c>
    </row>
    <row r="83" spans="1:20" s="724" customFormat="1" ht="15" customHeight="1">
      <c r="A83" s="723"/>
      <c r="B83" s="1521" t="s">
        <v>223</v>
      </c>
      <c r="C83" s="742" t="s">
        <v>429</v>
      </c>
      <c r="D83" s="765">
        <v>0</v>
      </c>
      <c r="E83" s="765">
        <v>0</v>
      </c>
      <c r="F83" s="765">
        <v>0</v>
      </c>
      <c r="G83" s="765">
        <v>0</v>
      </c>
      <c r="H83" s="766">
        <v>0</v>
      </c>
      <c r="I83" s="767">
        <v>0</v>
      </c>
      <c r="J83" s="768">
        <v>0</v>
      </c>
      <c r="K83" s="768">
        <v>0</v>
      </c>
      <c r="L83" s="768">
        <v>0</v>
      </c>
      <c r="M83" s="769">
        <v>0</v>
      </c>
      <c r="N83" s="740"/>
      <c r="O83" s="145">
        <v>0</v>
      </c>
      <c r="P83" s="146">
        <v>0</v>
      </c>
      <c r="Q83" s="147">
        <v>0</v>
      </c>
      <c r="R83" s="741"/>
      <c r="S83" s="145">
        <v>0</v>
      </c>
      <c r="T83" s="149" t="s">
        <v>987</v>
      </c>
    </row>
    <row r="84" spans="1:20" s="724" customFormat="1" ht="15" customHeight="1">
      <c r="A84" s="723"/>
      <c r="B84" s="1521"/>
      <c r="C84" s="742" t="s">
        <v>95</v>
      </c>
      <c r="D84" s="765">
        <v>0</v>
      </c>
      <c r="E84" s="765">
        <v>0</v>
      </c>
      <c r="F84" s="765">
        <v>0.6</v>
      </c>
      <c r="G84" s="765">
        <v>0.6</v>
      </c>
      <c r="H84" s="766">
        <v>0.6</v>
      </c>
      <c r="I84" s="767">
        <v>0.6</v>
      </c>
      <c r="J84" s="768">
        <v>0.6</v>
      </c>
      <c r="K84" s="768">
        <v>0.6</v>
      </c>
      <c r="L84" s="768">
        <v>0.6</v>
      </c>
      <c r="M84" s="769">
        <v>0.6</v>
      </c>
      <c r="N84" s="740"/>
      <c r="O84" s="145">
        <v>0.6</v>
      </c>
      <c r="P84" s="146">
        <v>1.2</v>
      </c>
      <c r="Q84" s="147">
        <v>1.8</v>
      </c>
      <c r="R84" s="741"/>
      <c r="S84" s="145">
        <v>3</v>
      </c>
      <c r="T84" s="149">
        <v>0.66666666666666685</v>
      </c>
    </row>
    <row r="85" spans="1:20" s="724" customFormat="1" ht="15" customHeight="1">
      <c r="A85" s="723"/>
      <c r="B85" s="1521"/>
      <c r="C85" s="746" t="s">
        <v>430</v>
      </c>
      <c r="D85" s="765">
        <v>0</v>
      </c>
      <c r="E85" s="765">
        <v>0</v>
      </c>
      <c r="F85" s="765">
        <v>0</v>
      </c>
      <c r="G85" s="765">
        <v>0</v>
      </c>
      <c r="H85" s="766">
        <v>0</v>
      </c>
      <c r="I85" s="767">
        <v>0</v>
      </c>
      <c r="J85" s="768">
        <v>0</v>
      </c>
      <c r="K85" s="768">
        <v>0</v>
      </c>
      <c r="L85" s="768">
        <v>0</v>
      </c>
      <c r="M85" s="769">
        <v>0</v>
      </c>
      <c r="N85" s="740"/>
      <c r="O85" s="145">
        <v>0</v>
      </c>
      <c r="P85" s="146">
        <v>0</v>
      </c>
      <c r="Q85" s="147">
        <v>0</v>
      </c>
      <c r="R85" s="741"/>
      <c r="S85" s="145">
        <v>0</v>
      </c>
      <c r="T85" s="149" t="s">
        <v>987</v>
      </c>
    </row>
    <row r="86" spans="1:20" s="724" customFormat="1" ht="15" customHeight="1">
      <c r="A86" s="723"/>
      <c r="B86" s="1521"/>
      <c r="C86" s="746" t="s">
        <v>428</v>
      </c>
      <c r="D86" s="765">
        <v>0</v>
      </c>
      <c r="E86" s="765">
        <v>0</v>
      </c>
      <c r="F86" s="765">
        <v>0.1</v>
      </c>
      <c r="G86" s="765">
        <v>0.1</v>
      </c>
      <c r="H86" s="766">
        <v>0.1</v>
      </c>
      <c r="I86" s="767">
        <v>0.1</v>
      </c>
      <c r="J86" s="768">
        <v>0.1</v>
      </c>
      <c r="K86" s="768">
        <v>0.1</v>
      </c>
      <c r="L86" s="768">
        <v>0.1</v>
      </c>
      <c r="M86" s="769">
        <v>0.1</v>
      </c>
      <c r="N86" s="740"/>
      <c r="O86" s="145">
        <v>0.1</v>
      </c>
      <c r="P86" s="146">
        <v>0.2</v>
      </c>
      <c r="Q86" s="147">
        <v>0.3</v>
      </c>
      <c r="R86" s="741"/>
      <c r="S86" s="145">
        <v>0.5</v>
      </c>
      <c r="T86" s="149">
        <v>0.66666666666666641</v>
      </c>
    </row>
    <row r="87" spans="1:20" s="724" customFormat="1" ht="15" customHeight="1">
      <c r="A87" s="723"/>
      <c r="B87" s="1521"/>
      <c r="C87" s="742" t="s">
        <v>431</v>
      </c>
      <c r="D87" s="765">
        <v>0</v>
      </c>
      <c r="E87" s="765">
        <v>0</v>
      </c>
      <c r="F87" s="765">
        <v>0.3</v>
      </c>
      <c r="G87" s="765">
        <v>0.3</v>
      </c>
      <c r="H87" s="766">
        <v>0.3</v>
      </c>
      <c r="I87" s="767">
        <v>0.3</v>
      </c>
      <c r="J87" s="768">
        <v>0.3</v>
      </c>
      <c r="K87" s="768">
        <v>0.3</v>
      </c>
      <c r="L87" s="768">
        <v>0.3</v>
      </c>
      <c r="M87" s="769">
        <v>0.3</v>
      </c>
      <c r="N87" s="740"/>
      <c r="O87" s="145">
        <v>0.3</v>
      </c>
      <c r="P87" s="146">
        <v>0.6</v>
      </c>
      <c r="Q87" s="147">
        <v>0.9</v>
      </c>
      <c r="R87" s="741"/>
      <c r="S87" s="145">
        <v>1.5</v>
      </c>
      <c r="T87" s="149">
        <v>0.66666666666666685</v>
      </c>
    </row>
    <row r="88" spans="1:20" s="724" customFormat="1" ht="15" customHeight="1">
      <c r="A88" s="723"/>
      <c r="B88" s="1521"/>
      <c r="C88" s="742" t="s">
        <v>432</v>
      </c>
      <c r="D88" s="765">
        <v>0</v>
      </c>
      <c r="E88" s="765">
        <v>0</v>
      </c>
      <c r="F88" s="765">
        <v>0</v>
      </c>
      <c r="G88" s="765">
        <v>0</v>
      </c>
      <c r="H88" s="766">
        <v>0</v>
      </c>
      <c r="I88" s="767">
        <v>0</v>
      </c>
      <c r="J88" s="768">
        <v>0</v>
      </c>
      <c r="K88" s="768">
        <v>0</v>
      </c>
      <c r="L88" s="768">
        <v>0</v>
      </c>
      <c r="M88" s="769">
        <v>0</v>
      </c>
      <c r="N88" s="740"/>
      <c r="O88" s="145">
        <v>0</v>
      </c>
      <c r="P88" s="146">
        <v>0</v>
      </c>
      <c r="Q88" s="147">
        <v>0</v>
      </c>
      <c r="R88" s="741"/>
      <c r="S88" s="145">
        <v>0</v>
      </c>
      <c r="T88" s="149" t="s">
        <v>987</v>
      </c>
    </row>
    <row r="89" spans="1:20" s="724" customFormat="1" ht="15" customHeight="1">
      <c r="A89" s="723"/>
      <c r="B89" s="1521" t="s">
        <v>402</v>
      </c>
      <c r="C89" s="742" t="s">
        <v>429</v>
      </c>
      <c r="D89" s="765">
        <v>0</v>
      </c>
      <c r="E89" s="765">
        <v>0</v>
      </c>
      <c r="F89" s="765">
        <v>0</v>
      </c>
      <c r="G89" s="765">
        <v>0</v>
      </c>
      <c r="H89" s="766">
        <v>0</v>
      </c>
      <c r="I89" s="767">
        <v>0</v>
      </c>
      <c r="J89" s="768">
        <v>0</v>
      </c>
      <c r="K89" s="768">
        <v>0</v>
      </c>
      <c r="L89" s="768">
        <v>0</v>
      </c>
      <c r="M89" s="769">
        <v>0</v>
      </c>
      <c r="N89" s="740"/>
      <c r="O89" s="145">
        <v>0</v>
      </c>
      <c r="P89" s="146">
        <v>0</v>
      </c>
      <c r="Q89" s="147">
        <v>0</v>
      </c>
      <c r="R89" s="741"/>
      <c r="S89" s="145">
        <v>0</v>
      </c>
      <c r="T89" s="149" t="s">
        <v>987</v>
      </c>
    </row>
    <row r="90" spans="1:20" s="724" customFormat="1" ht="15" customHeight="1">
      <c r="A90" s="723"/>
      <c r="B90" s="1521"/>
      <c r="C90" s="742" t="s">
        <v>95</v>
      </c>
      <c r="D90" s="765">
        <v>0</v>
      </c>
      <c r="E90" s="765">
        <v>0</v>
      </c>
      <c r="F90" s="765">
        <v>0.2</v>
      </c>
      <c r="G90" s="765">
        <v>0.2</v>
      </c>
      <c r="H90" s="766">
        <v>0.2</v>
      </c>
      <c r="I90" s="767">
        <v>0.2</v>
      </c>
      <c r="J90" s="768">
        <v>0.2</v>
      </c>
      <c r="K90" s="768">
        <v>0.2</v>
      </c>
      <c r="L90" s="768">
        <v>0.2</v>
      </c>
      <c r="M90" s="769">
        <v>0.2</v>
      </c>
      <c r="N90" s="740"/>
      <c r="O90" s="145">
        <v>0.2</v>
      </c>
      <c r="P90" s="146">
        <v>0.4</v>
      </c>
      <c r="Q90" s="147">
        <v>0.6</v>
      </c>
      <c r="R90" s="741"/>
      <c r="S90" s="145">
        <v>1</v>
      </c>
      <c r="T90" s="149">
        <v>0.66666666666666641</v>
      </c>
    </row>
    <row r="91" spans="1:20" s="724" customFormat="1" ht="15" customHeight="1">
      <c r="A91" s="723"/>
      <c r="B91" s="1521"/>
      <c r="C91" s="742" t="s">
        <v>430</v>
      </c>
      <c r="D91" s="765">
        <v>0</v>
      </c>
      <c r="E91" s="765">
        <v>0</v>
      </c>
      <c r="F91" s="765">
        <v>0</v>
      </c>
      <c r="G91" s="765">
        <v>0</v>
      </c>
      <c r="H91" s="766">
        <v>0</v>
      </c>
      <c r="I91" s="767">
        <v>0.6</v>
      </c>
      <c r="J91" s="768">
        <v>0.6</v>
      </c>
      <c r="K91" s="768">
        <v>0.7</v>
      </c>
      <c r="L91" s="768">
        <v>0.7</v>
      </c>
      <c r="M91" s="769">
        <v>0.8</v>
      </c>
      <c r="N91" s="740"/>
      <c r="O91" s="145">
        <v>0</v>
      </c>
      <c r="P91" s="146">
        <v>0</v>
      </c>
      <c r="Q91" s="147">
        <v>0</v>
      </c>
      <c r="R91" s="741"/>
      <c r="S91" s="145">
        <v>3.4</v>
      </c>
      <c r="T91" s="149" t="s">
        <v>987</v>
      </c>
    </row>
    <row r="92" spans="1:20" s="724" customFormat="1" ht="15" customHeight="1">
      <c r="A92" s="723"/>
      <c r="B92" s="1521"/>
      <c r="C92" s="742" t="s">
        <v>428</v>
      </c>
      <c r="D92" s="765">
        <v>0</v>
      </c>
      <c r="E92" s="765">
        <v>0</v>
      </c>
      <c r="F92" s="765">
        <v>0</v>
      </c>
      <c r="G92" s="765">
        <v>0</v>
      </c>
      <c r="H92" s="766">
        <v>0</v>
      </c>
      <c r="I92" s="767">
        <v>0</v>
      </c>
      <c r="J92" s="768">
        <v>0</v>
      </c>
      <c r="K92" s="768">
        <v>0</v>
      </c>
      <c r="L92" s="768">
        <v>0</v>
      </c>
      <c r="M92" s="769">
        <v>0</v>
      </c>
      <c r="N92" s="740"/>
      <c r="O92" s="145">
        <v>0</v>
      </c>
      <c r="P92" s="146">
        <v>0</v>
      </c>
      <c r="Q92" s="147">
        <v>0</v>
      </c>
      <c r="R92" s="741"/>
      <c r="S92" s="145">
        <v>0</v>
      </c>
      <c r="T92" s="149" t="s">
        <v>987</v>
      </c>
    </row>
    <row r="93" spans="1:20" s="724" customFormat="1" ht="15" customHeight="1">
      <c r="A93" s="723"/>
      <c r="B93" s="1521"/>
      <c r="C93" s="742" t="s">
        <v>431</v>
      </c>
      <c r="D93" s="765">
        <v>0</v>
      </c>
      <c r="E93" s="765">
        <v>0</v>
      </c>
      <c r="F93" s="765">
        <v>0</v>
      </c>
      <c r="G93" s="765">
        <v>0</v>
      </c>
      <c r="H93" s="766">
        <v>0</v>
      </c>
      <c r="I93" s="767">
        <v>0</v>
      </c>
      <c r="J93" s="768">
        <v>0</v>
      </c>
      <c r="K93" s="768">
        <v>0</v>
      </c>
      <c r="L93" s="768">
        <v>0</v>
      </c>
      <c r="M93" s="769">
        <v>0</v>
      </c>
      <c r="N93" s="740"/>
      <c r="O93" s="145">
        <v>0</v>
      </c>
      <c r="P93" s="146">
        <v>0</v>
      </c>
      <c r="Q93" s="147">
        <v>0</v>
      </c>
      <c r="R93" s="741"/>
      <c r="S93" s="145">
        <v>0</v>
      </c>
      <c r="T93" s="149" t="s">
        <v>987</v>
      </c>
    </row>
    <row r="94" spans="1:20" s="724" customFormat="1" ht="15" customHeight="1">
      <c r="A94" s="723"/>
      <c r="B94" s="1521"/>
      <c r="C94" s="746" t="s">
        <v>432</v>
      </c>
      <c r="D94" s="765">
        <v>0</v>
      </c>
      <c r="E94" s="765">
        <v>0</v>
      </c>
      <c r="F94" s="765">
        <v>0</v>
      </c>
      <c r="G94" s="765">
        <v>0</v>
      </c>
      <c r="H94" s="766">
        <v>0</v>
      </c>
      <c r="I94" s="767">
        <v>0</v>
      </c>
      <c r="J94" s="768">
        <v>0</v>
      </c>
      <c r="K94" s="768">
        <v>0</v>
      </c>
      <c r="L94" s="768">
        <v>0</v>
      </c>
      <c r="M94" s="769">
        <v>0</v>
      </c>
      <c r="N94" s="740"/>
      <c r="O94" s="145">
        <v>0</v>
      </c>
      <c r="P94" s="146">
        <v>0</v>
      </c>
      <c r="Q94" s="147">
        <v>0</v>
      </c>
      <c r="R94" s="741"/>
      <c r="S94" s="145">
        <v>0</v>
      </c>
      <c r="T94" s="149" t="s">
        <v>987</v>
      </c>
    </row>
    <row r="95" spans="1:20" s="724" customFormat="1" ht="15" customHeight="1">
      <c r="A95" s="723"/>
      <c r="B95" s="1521" t="s">
        <v>401</v>
      </c>
      <c r="C95" s="742" t="s">
        <v>429</v>
      </c>
      <c r="D95" s="765">
        <v>0</v>
      </c>
      <c r="E95" s="765">
        <v>0</v>
      </c>
      <c r="F95" s="765">
        <v>0</v>
      </c>
      <c r="G95" s="765">
        <v>0</v>
      </c>
      <c r="H95" s="766">
        <v>0</v>
      </c>
      <c r="I95" s="767">
        <v>0</v>
      </c>
      <c r="J95" s="768">
        <v>0</v>
      </c>
      <c r="K95" s="768">
        <v>0</v>
      </c>
      <c r="L95" s="768">
        <v>0</v>
      </c>
      <c r="M95" s="769">
        <v>0</v>
      </c>
      <c r="N95" s="740"/>
      <c r="O95" s="145">
        <v>0</v>
      </c>
      <c r="P95" s="146">
        <v>0</v>
      </c>
      <c r="Q95" s="147">
        <v>0</v>
      </c>
      <c r="R95" s="741"/>
      <c r="S95" s="145">
        <v>0</v>
      </c>
      <c r="T95" s="149" t="s">
        <v>987</v>
      </c>
    </row>
    <row r="96" spans="1:20" s="724" customFormat="1" ht="15" customHeight="1">
      <c r="A96" s="723"/>
      <c r="B96" s="1521"/>
      <c r="C96" s="742" t="s">
        <v>95</v>
      </c>
      <c r="D96" s="765">
        <v>0</v>
      </c>
      <c r="E96" s="765">
        <v>0</v>
      </c>
      <c r="F96" s="765">
        <v>0</v>
      </c>
      <c r="G96" s="765">
        <v>0</v>
      </c>
      <c r="H96" s="766">
        <v>0</v>
      </c>
      <c r="I96" s="767">
        <v>0</v>
      </c>
      <c r="J96" s="768">
        <v>0</v>
      </c>
      <c r="K96" s="768">
        <v>0</v>
      </c>
      <c r="L96" s="768">
        <v>0</v>
      </c>
      <c r="M96" s="769">
        <v>0</v>
      </c>
      <c r="N96" s="740"/>
      <c r="O96" s="145">
        <v>0</v>
      </c>
      <c r="P96" s="146">
        <v>0</v>
      </c>
      <c r="Q96" s="147">
        <v>0</v>
      </c>
      <c r="R96" s="741"/>
      <c r="S96" s="145">
        <v>0</v>
      </c>
      <c r="T96" s="149" t="s">
        <v>987</v>
      </c>
    </row>
    <row r="97" spans="1:20" s="724" customFormat="1" ht="15" customHeight="1">
      <c r="A97" s="723"/>
      <c r="B97" s="1521"/>
      <c r="C97" s="746" t="s">
        <v>433</v>
      </c>
      <c r="D97" s="765">
        <v>0</v>
      </c>
      <c r="E97" s="765">
        <v>0</v>
      </c>
      <c r="F97" s="765">
        <v>0</v>
      </c>
      <c r="G97" s="765">
        <v>0</v>
      </c>
      <c r="H97" s="766">
        <v>0</v>
      </c>
      <c r="I97" s="767">
        <v>0</v>
      </c>
      <c r="J97" s="768">
        <v>0</v>
      </c>
      <c r="K97" s="768">
        <v>0</v>
      </c>
      <c r="L97" s="768">
        <v>0</v>
      </c>
      <c r="M97" s="769">
        <v>0</v>
      </c>
      <c r="N97" s="740"/>
      <c r="O97" s="145">
        <v>0</v>
      </c>
      <c r="P97" s="146">
        <v>0</v>
      </c>
      <c r="Q97" s="147">
        <v>0</v>
      </c>
      <c r="R97" s="741"/>
      <c r="S97" s="145">
        <v>0</v>
      </c>
      <c r="T97" s="149" t="s">
        <v>987</v>
      </c>
    </row>
    <row r="98" spans="1:20" s="724" customFormat="1" ht="15" customHeight="1">
      <c r="A98" s="723"/>
      <c r="B98" s="1521"/>
      <c r="C98" s="746" t="s">
        <v>428</v>
      </c>
      <c r="D98" s="765">
        <v>0</v>
      </c>
      <c r="E98" s="765">
        <v>0</v>
      </c>
      <c r="F98" s="765">
        <v>0</v>
      </c>
      <c r="G98" s="765">
        <v>0</v>
      </c>
      <c r="H98" s="766">
        <v>0</v>
      </c>
      <c r="I98" s="767">
        <v>0</v>
      </c>
      <c r="J98" s="768">
        <v>0</v>
      </c>
      <c r="K98" s="768">
        <v>0</v>
      </c>
      <c r="L98" s="768">
        <v>0</v>
      </c>
      <c r="M98" s="769">
        <v>0</v>
      </c>
      <c r="N98" s="740"/>
      <c r="O98" s="145">
        <v>0</v>
      </c>
      <c r="P98" s="146">
        <v>0</v>
      </c>
      <c r="Q98" s="147">
        <v>0</v>
      </c>
      <c r="R98" s="741"/>
      <c r="S98" s="145">
        <v>0</v>
      </c>
      <c r="T98" s="149" t="s">
        <v>987</v>
      </c>
    </row>
    <row r="99" spans="1:20" s="724" customFormat="1" ht="15" customHeight="1">
      <c r="A99" s="723"/>
      <c r="B99" s="1521"/>
      <c r="C99" s="746" t="s">
        <v>431</v>
      </c>
      <c r="D99" s="765">
        <v>0</v>
      </c>
      <c r="E99" s="765">
        <v>0</v>
      </c>
      <c r="F99" s="765">
        <v>0</v>
      </c>
      <c r="G99" s="765">
        <v>0</v>
      </c>
      <c r="H99" s="766">
        <v>0</v>
      </c>
      <c r="I99" s="767">
        <v>0</v>
      </c>
      <c r="J99" s="768">
        <v>0</v>
      </c>
      <c r="K99" s="768">
        <v>0</v>
      </c>
      <c r="L99" s="768">
        <v>0</v>
      </c>
      <c r="M99" s="769">
        <v>0</v>
      </c>
      <c r="N99" s="740"/>
      <c r="O99" s="145">
        <v>0</v>
      </c>
      <c r="P99" s="146">
        <v>0</v>
      </c>
      <c r="Q99" s="147">
        <v>0</v>
      </c>
      <c r="R99" s="741"/>
      <c r="S99" s="145">
        <v>0</v>
      </c>
      <c r="T99" s="149" t="s">
        <v>987</v>
      </c>
    </row>
    <row r="100" spans="1:20" s="724" customFormat="1" ht="15" customHeight="1">
      <c r="A100" s="723"/>
      <c r="B100" s="1521"/>
      <c r="C100" s="746" t="s">
        <v>432</v>
      </c>
      <c r="D100" s="765">
        <v>0</v>
      </c>
      <c r="E100" s="765">
        <v>0</v>
      </c>
      <c r="F100" s="765">
        <v>0</v>
      </c>
      <c r="G100" s="765">
        <v>0</v>
      </c>
      <c r="H100" s="766">
        <v>0</v>
      </c>
      <c r="I100" s="767">
        <v>0</v>
      </c>
      <c r="J100" s="768">
        <v>0</v>
      </c>
      <c r="K100" s="768">
        <v>0</v>
      </c>
      <c r="L100" s="768">
        <v>0</v>
      </c>
      <c r="M100" s="769">
        <v>0</v>
      </c>
      <c r="N100" s="740"/>
      <c r="O100" s="145">
        <v>0</v>
      </c>
      <c r="P100" s="146">
        <v>0</v>
      </c>
      <c r="Q100" s="147">
        <v>0</v>
      </c>
      <c r="R100" s="741"/>
      <c r="S100" s="145">
        <v>0</v>
      </c>
      <c r="T100" s="149" t="s">
        <v>987</v>
      </c>
    </row>
    <row r="101" spans="1:20" s="724" customFormat="1" ht="15" customHeight="1" thickBot="1">
      <c r="A101" s="723"/>
      <c r="B101" s="1522" t="s">
        <v>438</v>
      </c>
      <c r="C101" s="1523"/>
      <c r="D101" s="784">
        <v>1.3</v>
      </c>
      <c r="E101" s="785">
        <v>1.9</v>
      </c>
      <c r="F101" s="785">
        <v>2.5</v>
      </c>
      <c r="G101" s="785">
        <v>2.7</v>
      </c>
      <c r="H101" s="786">
        <v>2.7</v>
      </c>
      <c r="I101" s="787">
        <v>3.3</v>
      </c>
      <c r="J101" s="785">
        <v>3.3</v>
      </c>
      <c r="K101" s="785">
        <v>3.4</v>
      </c>
      <c r="L101" s="785">
        <v>3.4</v>
      </c>
      <c r="M101" s="786">
        <v>3.5</v>
      </c>
      <c r="N101" s="740"/>
      <c r="O101" s="165">
        <v>5.7</v>
      </c>
      <c r="P101" s="166">
        <v>5.4</v>
      </c>
      <c r="Q101" s="167">
        <v>11.1</v>
      </c>
      <c r="R101" s="741"/>
      <c r="S101" s="165">
        <v>16.899999999999999</v>
      </c>
      <c r="T101" s="168">
        <v>0.52252252252252218</v>
      </c>
    </row>
    <row r="102" spans="1:20" s="724" customFormat="1">
      <c r="A102" s="723"/>
      <c r="B102" s="604"/>
      <c r="C102" s="604"/>
      <c r="D102" s="740"/>
      <c r="E102" s="740"/>
      <c r="F102" s="740"/>
      <c r="G102" s="740"/>
      <c r="H102" s="740"/>
      <c r="I102" s="740"/>
      <c r="J102" s="740"/>
      <c r="K102" s="740"/>
      <c r="L102" s="740"/>
      <c r="M102" s="740"/>
      <c r="N102" s="740"/>
      <c r="O102" s="740"/>
      <c r="P102" s="740"/>
      <c r="Q102" s="740"/>
      <c r="R102" s="752"/>
      <c r="S102" s="752"/>
      <c r="T102" s="752"/>
    </row>
    <row r="103" spans="1:20" s="724" customFormat="1">
      <c r="A103" s="723"/>
      <c r="B103" s="604"/>
      <c r="C103" s="604"/>
      <c r="D103" s="740"/>
      <c r="E103" s="740"/>
      <c r="F103" s="740"/>
      <c r="G103" s="740"/>
      <c r="H103" s="740"/>
      <c r="I103" s="740"/>
      <c r="J103" s="740"/>
      <c r="K103" s="740"/>
      <c r="L103" s="740"/>
      <c r="M103" s="740"/>
      <c r="N103" s="740"/>
      <c r="O103" s="740"/>
      <c r="P103" s="740"/>
      <c r="Q103" s="740"/>
      <c r="R103" s="752"/>
      <c r="S103" s="752"/>
      <c r="T103" s="752"/>
    </row>
    <row r="104" spans="1:20" s="724" customFormat="1">
      <c r="A104" s="723"/>
      <c r="B104" s="722" t="s">
        <v>439</v>
      </c>
      <c r="C104" s="604"/>
      <c r="D104" s="740"/>
      <c r="E104" s="740"/>
      <c r="F104" s="740"/>
      <c r="G104" s="740"/>
      <c r="H104" s="740"/>
      <c r="I104" s="740"/>
      <c r="J104" s="740"/>
      <c r="K104" s="740"/>
      <c r="L104" s="740"/>
      <c r="M104" s="740"/>
      <c r="N104" s="740"/>
      <c r="O104" s="740"/>
      <c r="P104" s="740"/>
      <c r="Q104" s="740"/>
      <c r="R104" s="752"/>
      <c r="S104" s="752"/>
      <c r="T104" s="752"/>
    </row>
    <row r="105" spans="1:20" s="724" customFormat="1" ht="15" thickBot="1">
      <c r="A105" s="723"/>
      <c r="B105" s="604"/>
      <c r="C105" s="604"/>
      <c r="D105" s="740"/>
      <c r="E105" s="740"/>
      <c r="F105" s="740"/>
      <c r="G105" s="740"/>
      <c r="H105" s="740"/>
      <c r="I105" s="740"/>
      <c r="J105" s="740"/>
      <c r="K105" s="740"/>
      <c r="L105" s="740"/>
      <c r="M105" s="740"/>
      <c r="N105" s="740"/>
      <c r="O105" s="740"/>
      <c r="P105" s="740"/>
      <c r="Q105" s="740"/>
      <c r="R105" s="752"/>
      <c r="S105" s="752"/>
      <c r="T105" s="752"/>
    </row>
    <row r="106" spans="1:20" s="724" customFormat="1" ht="15">
      <c r="A106" s="723"/>
      <c r="B106" s="1512" t="s">
        <v>419</v>
      </c>
      <c r="C106" s="1513"/>
      <c r="D106" s="753" t="s">
        <v>420</v>
      </c>
      <c r="E106" s="753"/>
      <c r="F106" s="753"/>
      <c r="G106" s="753"/>
      <c r="H106" s="754"/>
      <c r="I106" s="755" t="s">
        <v>421</v>
      </c>
      <c r="J106" s="753"/>
      <c r="K106" s="753"/>
      <c r="L106" s="753"/>
      <c r="M106" s="754"/>
      <c r="N106" s="740"/>
      <c r="O106" s="244" t="s">
        <v>191</v>
      </c>
      <c r="P106" s="245"/>
      <c r="Q106" s="246"/>
      <c r="R106" s="741"/>
      <c r="S106" s="244" t="s">
        <v>192</v>
      </c>
      <c r="T106" s="246"/>
    </row>
    <row r="107" spans="1:20" s="724" customFormat="1" ht="15">
      <c r="A107" s="723"/>
      <c r="B107" s="1514"/>
      <c r="C107" s="1515"/>
      <c r="D107" s="756" t="s">
        <v>79</v>
      </c>
      <c r="E107" s="757" t="s">
        <v>80</v>
      </c>
      <c r="F107" s="757" t="s">
        <v>81</v>
      </c>
      <c r="G107" s="757" t="s">
        <v>82</v>
      </c>
      <c r="H107" s="758" t="s">
        <v>44</v>
      </c>
      <c r="I107" s="759" t="s">
        <v>193</v>
      </c>
      <c r="J107" s="757" t="s">
        <v>194</v>
      </c>
      <c r="K107" s="757" t="s">
        <v>195</v>
      </c>
      <c r="L107" s="757" t="s">
        <v>196</v>
      </c>
      <c r="M107" s="758" t="s">
        <v>440</v>
      </c>
      <c r="N107" s="740"/>
      <c r="O107" s="247" t="s">
        <v>198</v>
      </c>
      <c r="P107" s="248" t="s">
        <v>199</v>
      </c>
      <c r="Q107" s="249" t="s">
        <v>200</v>
      </c>
      <c r="R107" s="741"/>
      <c r="S107" s="247" t="s">
        <v>199</v>
      </c>
      <c r="T107" s="249" t="s">
        <v>201</v>
      </c>
    </row>
    <row r="108" spans="1:20" s="724" customFormat="1" ht="15">
      <c r="A108" s="723"/>
      <c r="B108" s="1516"/>
      <c r="C108" s="1517"/>
      <c r="D108" s="756" t="s">
        <v>203</v>
      </c>
      <c r="E108" s="757" t="s">
        <v>203</v>
      </c>
      <c r="F108" s="757" t="s">
        <v>203</v>
      </c>
      <c r="G108" s="757" t="s">
        <v>203</v>
      </c>
      <c r="H108" s="758" t="s">
        <v>203</v>
      </c>
      <c r="I108" s="759" t="s">
        <v>203</v>
      </c>
      <c r="J108" s="757" t="s">
        <v>203</v>
      </c>
      <c r="K108" s="757" t="s">
        <v>203</v>
      </c>
      <c r="L108" s="757" t="s">
        <v>203</v>
      </c>
      <c r="M108" s="758" t="s">
        <v>203</v>
      </c>
      <c r="N108" s="740"/>
      <c r="O108" s="254"/>
      <c r="P108" s="255"/>
      <c r="Q108" s="256"/>
      <c r="R108" s="741"/>
      <c r="S108" s="180"/>
      <c r="T108" s="182"/>
    </row>
    <row r="109" spans="1:20" s="724" customFormat="1" ht="15" customHeight="1">
      <c r="A109" s="723"/>
      <c r="B109" s="1511" t="s">
        <v>441</v>
      </c>
      <c r="C109" s="788" t="s">
        <v>442</v>
      </c>
      <c r="D109" s="760">
        <v>1.2</v>
      </c>
      <c r="E109" s="763">
        <v>1</v>
      </c>
      <c r="F109" s="763">
        <v>2</v>
      </c>
      <c r="G109" s="763">
        <v>1.1626872051942696</v>
      </c>
      <c r="H109" s="764">
        <v>1.1983633902007491</v>
      </c>
      <c r="I109" s="762">
        <v>1.84</v>
      </c>
      <c r="J109" s="763">
        <v>2.09</v>
      </c>
      <c r="K109" s="763">
        <v>2.46</v>
      </c>
      <c r="L109" s="763">
        <v>3.07</v>
      </c>
      <c r="M109" s="764">
        <v>2.83</v>
      </c>
      <c r="N109" s="740"/>
      <c r="O109" s="145">
        <v>4.2</v>
      </c>
      <c r="P109" s="146">
        <v>2.3610505953950187</v>
      </c>
      <c r="Q109" s="147">
        <v>6.5610505953950184</v>
      </c>
      <c r="R109" s="741"/>
      <c r="S109" s="145">
        <v>12.29</v>
      </c>
      <c r="T109" s="789">
        <v>0.8731756174271752</v>
      </c>
    </row>
    <row r="110" spans="1:20" s="724" customFormat="1" ht="15" customHeight="1">
      <c r="A110" s="723"/>
      <c r="B110" s="1518"/>
      <c r="C110" s="788" t="s">
        <v>443</v>
      </c>
      <c r="D110" s="765">
        <v>0</v>
      </c>
      <c r="E110" s="768">
        <v>0</v>
      </c>
      <c r="F110" s="768">
        <v>0</v>
      </c>
      <c r="G110" s="768">
        <v>0</v>
      </c>
      <c r="H110" s="769">
        <v>0</v>
      </c>
      <c r="I110" s="767">
        <v>0</v>
      </c>
      <c r="J110" s="768">
        <v>0</v>
      </c>
      <c r="K110" s="768">
        <v>0</v>
      </c>
      <c r="L110" s="768">
        <v>0</v>
      </c>
      <c r="M110" s="769">
        <v>0</v>
      </c>
      <c r="N110" s="740"/>
      <c r="O110" s="145">
        <v>0</v>
      </c>
      <c r="P110" s="146">
        <v>0</v>
      </c>
      <c r="Q110" s="147">
        <v>0</v>
      </c>
      <c r="R110" s="741"/>
      <c r="S110" s="145">
        <v>0</v>
      </c>
      <c r="T110" s="789" t="s">
        <v>987</v>
      </c>
    </row>
    <row r="111" spans="1:20" s="724" customFormat="1" ht="15" customHeight="1">
      <c r="A111" s="723"/>
      <c r="B111" s="1518"/>
      <c r="C111" s="788" t="s">
        <v>444</v>
      </c>
      <c r="D111" s="765">
        <v>0</v>
      </c>
      <c r="E111" s="768">
        <v>0</v>
      </c>
      <c r="F111" s="768">
        <v>0</v>
      </c>
      <c r="G111" s="768">
        <v>0</v>
      </c>
      <c r="H111" s="769">
        <v>0</v>
      </c>
      <c r="I111" s="767">
        <v>0</v>
      </c>
      <c r="J111" s="768">
        <v>0</v>
      </c>
      <c r="K111" s="768">
        <v>0</v>
      </c>
      <c r="L111" s="768">
        <v>0</v>
      </c>
      <c r="M111" s="769">
        <v>0</v>
      </c>
      <c r="N111" s="740"/>
      <c r="O111" s="145"/>
      <c r="P111" s="146"/>
      <c r="Q111" s="147"/>
      <c r="R111" s="741"/>
      <c r="S111" s="145"/>
      <c r="T111" s="789"/>
    </row>
    <row r="112" spans="1:20" s="724" customFormat="1" ht="15" customHeight="1">
      <c r="A112" s="723"/>
      <c r="B112" s="1518"/>
      <c r="C112" s="788" t="s">
        <v>445</v>
      </c>
      <c r="D112" s="765">
        <v>0</v>
      </c>
      <c r="E112" s="768">
        <v>0</v>
      </c>
      <c r="F112" s="768">
        <v>0</v>
      </c>
      <c r="G112" s="768">
        <v>0</v>
      </c>
      <c r="H112" s="769">
        <v>0</v>
      </c>
      <c r="I112" s="767">
        <v>0</v>
      </c>
      <c r="J112" s="768">
        <v>0</v>
      </c>
      <c r="K112" s="768">
        <v>0</v>
      </c>
      <c r="L112" s="768">
        <v>0</v>
      </c>
      <c r="M112" s="769">
        <v>0</v>
      </c>
      <c r="N112" s="740"/>
      <c r="O112" s="145"/>
      <c r="P112" s="146"/>
      <c r="Q112" s="147"/>
      <c r="R112" s="741"/>
      <c r="S112" s="145"/>
      <c r="T112" s="789"/>
    </row>
    <row r="113" spans="1:20" s="724" customFormat="1" ht="15" customHeight="1">
      <c r="A113" s="723"/>
      <c r="B113" s="1518"/>
      <c r="C113" s="788" t="s">
        <v>446</v>
      </c>
      <c r="D113" s="765">
        <v>2.1</v>
      </c>
      <c r="E113" s="768">
        <v>2.6</v>
      </c>
      <c r="F113" s="768">
        <v>3.3</v>
      </c>
      <c r="G113" s="768">
        <v>3.5958534986926285</v>
      </c>
      <c r="H113" s="769">
        <v>3.2024704065429015</v>
      </c>
      <c r="I113" s="767">
        <v>3.15</v>
      </c>
      <c r="J113" s="768">
        <v>3.53</v>
      </c>
      <c r="K113" s="768">
        <v>3.96</v>
      </c>
      <c r="L113" s="768">
        <v>3.96</v>
      </c>
      <c r="M113" s="769">
        <v>3.96</v>
      </c>
      <c r="N113" s="740"/>
      <c r="O113" s="145"/>
      <c r="P113" s="146"/>
      <c r="Q113" s="147"/>
      <c r="R113" s="741"/>
      <c r="S113" s="145"/>
      <c r="T113" s="789"/>
    </row>
    <row r="114" spans="1:20" s="724" customFormat="1" ht="15" customHeight="1">
      <c r="A114" s="723"/>
      <c r="B114" s="1519"/>
      <c r="C114" s="790" t="s">
        <v>447</v>
      </c>
      <c r="D114" s="791">
        <v>3.3</v>
      </c>
      <c r="E114" s="791">
        <v>3.6</v>
      </c>
      <c r="F114" s="791">
        <v>5.3</v>
      </c>
      <c r="G114" s="791">
        <v>4.7585407038868981</v>
      </c>
      <c r="H114" s="792">
        <v>4.400833796743651</v>
      </c>
      <c r="I114" s="793">
        <v>4.99</v>
      </c>
      <c r="J114" s="791">
        <v>5.62</v>
      </c>
      <c r="K114" s="791">
        <v>6.42</v>
      </c>
      <c r="L114" s="791">
        <v>7.03</v>
      </c>
      <c r="M114" s="792">
        <v>6.79</v>
      </c>
      <c r="N114" s="740"/>
      <c r="O114" s="145">
        <v>12.2</v>
      </c>
      <c r="P114" s="146">
        <v>9.1593745006305483</v>
      </c>
      <c r="Q114" s="147">
        <v>21.359374500630548</v>
      </c>
      <c r="R114" s="741"/>
      <c r="S114" s="145">
        <v>30.85</v>
      </c>
      <c r="T114" s="789">
        <v>0.44433068482830723</v>
      </c>
    </row>
    <row r="115" spans="1:20" s="724" customFormat="1" ht="15" customHeight="1">
      <c r="A115" s="723"/>
      <c r="B115" s="1511" t="s">
        <v>223</v>
      </c>
      <c r="C115" s="788" t="s">
        <v>442</v>
      </c>
      <c r="D115" s="765">
        <v>0.7</v>
      </c>
      <c r="E115" s="768">
        <v>3.9</v>
      </c>
      <c r="F115" s="768">
        <v>2.4</v>
      </c>
      <c r="G115" s="768">
        <v>3.3614323160071953</v>
      </c>
      <c r="H115" s="769">
        <v>3.3984634500996829</v>
      </c>
      <c r="I115" s="767">
        <v>3.7</v>
      </c>
      <c r="J115" s="768">
        <v>4.1900000000000004</v>
      </c>
      <c r="K115" s="768">
        <v>4.93</v>
      </c>
      <c r="L115" s="768">
        <v>6.16</v>
      </c>
      <c r="M115" s="769">
        <v>5.67</v>
      </c>
      <c r="N115" s="740"/>
      <c r="O115" s="145">
        <v>7</v>
      </c>
      <c r="P115" s="146">
        <v>6.7598957661068777</v>
      </c>
      <c r="Q115" s="147">
        <v>13.759895766106879</v>
      </c>
      <c r="R115" s="741"/>
      <c r="S115" s="145">
        <v>24.65</v>
      </c>
      <c r="T115" s="789">
        <v>0.79143798899388629</v>
      </c>
    </row>
    <row r="116" spans="1:20" s="724" customFormat="1" ht="15" customHeight="1">
      <c r="A116" s="723"/>
      <c r="B116" s="1518"/>
      <c r="C116" s="788" t="s">
        <v>443</v>
      </c>
      <c r="D116" s="765">
        <v>0</v>
      </c>
      <c r="E116" s="768">
        <v>0</v>
      </c>
      <c r="F116" s="768">
        <v>0</v>
      </c>
      <c r="G116" s="768">
        <v>0</v>
      </c>
      <c r="H116" s="769">
        <v>0</v>
      </c>
      <c r="I116" s="767">
        <v>0</v>
      </c>
      <c r="J116" s="768">
        <v>0</v>
      </c>
      <c r="K116" s="768">
        <v>0</v>
      </c>
      <c r="L116" s="768">
        <v>0</v>
      </c>
      <c r="M116" s="769">
        <v>0</v>
      </c>
      <c r="N116" s="740"/>
      <c r="O116" s="145">
        <v>0</v>
      </c>
      <c r="P116" s="146">
        <v>0</v>
      </c>
      <c r="Q116" s="147">
        <v>0</v>
      </c>
      <c r="R116" s="741"/>
      <c r="S116" s="145">
        <v>0</v>
      </c>
      <c r="T116" s="789" t="s">
        <v>987</v>
      </c>
    </row>
    <row r="117" spans="1:20" s="724" customFormat="1" ht="15" customHeight="1">
      <c r="A117" s="723"/>
      <c r="B117" s="1518"/>
      <c r="C117" s="788" t="s">
        <v>444</v>
      </c>
      <c r="D117" s="765">
        <v>0</v>
      </c>
      <c r="E117" s="768">
        <v>0</v>
      </c>
      <c r="F117" s="768">
        <v>0</v>
      </c>
      <c r="G117" s="768">
        <v>0</v>
      </c>
      <c r="H117" s="769">
        <v>0</v>
      </c>
      <c r="I117" s="767">
        <v>0</v>
      </c>
      <c r="J117" s="768">
        <v>0</v>
      </c>
      <c r="K117" s="768">
        <v>0</v>
      </c>
      <c r="L117" s="768">
        <v>0</v>
      </c>
      <c r="M117" s="769">
        <v>0</v>
      </c>
      <c r="N117" s="740"/>
      <c r="O117" s="145"/>
      <c r="P117" s="146"/>
      <c r="Q117" s="147"/>
      <c r="R117" s="741"/>
      <c r="S117" s="145"/>
      <c r="T117" s="789"/>
    </row>
    <row r="118" spans="1:20" s="724" customFormat="1" ht="15" customHeight="1">
      <c r="A118" s="723"/>
      <c r="B118" s="1518"/>
      <c r="C118" s="788" t="s">
        <v>445</v>
      </c>
      <c r="D118" s="765">
        <v>0</v>
      </c>
      <c r="E118" s="768">
        <v>0</v>
      </c>
      <c r="F118" s="768">
        <v>0</v>
      </c>
      <c r="G118" s="768">
        <v>0</v>
      </c>
      <c r="H118" s="769">
        <v>0</v>
      </c>
      <c r="I118" s="767">
        <v>0</v>
      </c>
      <c r="J118" s="768">
        <v>0</v>
      </c>
      <c r="K118" s="768">
        <v>0</v>
      </c>
      <c r="L118" s="768">
        <v>0</v>
      </c>
      <c r="M118" s="769">
        <v>0</v>
      </c>
      <c r="N118" s="740"/>
      <c r="O118" s="145"/>
      <c r="P118" s="146"/>
      <c r="Q118" s="147"/>
      <c r="R118" s="741"/>
      <c r="S118" s="145"/>
      <c r="T118" s="789"/>
    </row>
    <row r="119" spans="1:20" s="724" customFormat="1" ht="15" customHeight="1">
      <c r="A119" s="723"/>
      <c r="B119" s="1518"/>
      <c r="C119" s="788" t="s">
        <v>446</v>
      </c>
      <c r="D119" s="765">
        <v>1.8</v>
      </c>
      <c r="E119" s="768">
        <v>2.2999999999999998</v>
      </c>
      <c r="F119" s="768">
        <v>4.7</v>
      </c>
      <c r="G119" s="768">
        <v>4.0866728499402543</v>
      </c>
      <c r="H119" s="769">
        <v>3.9911094228764248</v>
      </c>
      <c r="I119" s="767">
        <v>1.08</v>
      </c>
      <c r="J119" s="768">
        <v>2.59</v>
      </c>
      <c r="K119" s="768">
        <v>3.98</v>
      </c>
      <c r="L119" s="768">
        <v>3.98</v>
      </c>
      <c r="M119" s="769">
        <v>3.98</v>
      </c>
      <c r="N119" s="740"/>
      <c r="O119" s="145"/>
      <c r="P119" s="146"/>
      <c r="Q119" s="147"/>
      <c r="R119" s="741"/>
      <c r="S119" s="145"/>
      <c r="T119" s="789"/>
    </row>
    <row r="120" spans="1:20" s="724" customFormat="1" ht="15" customHeight="1">
      <c r="A120" s="723"/>
      <c r="B120" s="1519"/>
      <c r="C120" s="790" t="s">
        <v>447</v>
      </c>
      <c r="D120" s="791">
        <v>2.5</v>
      </c>
      <c r="E120" s="791">
        <v>6.2</v>
      </c>
      <c r="F120" s="791">
        <v>7.1</v>
      </c>
      <c r="G120" s="791">
        <v>7.4481051659474495</v>
      </c>
      <c r="H120" s="792">
        <v>7.3895728729761077</v>
      </c>
      <c r="I120" s="793">
        <v>4.78</v>
      </c>
      <c r="J120" s="791">
        <v>6.78</v>
      </c>
      <c r="K120" s="791">
        <v>8.91</v>
      </c>
      <c r="L120" s="791">
        <v>10.14</v>
      </c>
      <c r="M120" s="792">
        <v>9.65</v>
      </c>
      <c r="N120" s="740"/>
      <c r="O120" s="145">
        <v>15.8</v>
      </c>
      <c r="P120" s="146">
        <v>14.837678038923556</v>
      </c>
      <c r="Q120" s="147">
        <v>30.637678038923557</v>
      </c>
      <c r="R120" s="741"/>
      <c r="S120" s="145">
        <v>40.26</v>
      </c>
      <c r="T120" s="789">
        <v>0.31406825115309939</v>
      </c>
    </row>
    <row r="121" spans="1:20" s="724" customFormat="1" ht="15" customHeight="1">
      <c r="A121" s="723"/>
      <c r="B121" s="1510" t="s">
        <v>448</v>
      </c>
      <c r="C121" s="788" t="s">
        <v>442</v>
      </c>
      <c r="D121" s="765">
        <v>0.2</v>
      </c>
      <c r="E121" s="768">
        <v>0</v>
      </c>
      <c r="F121" s="768">
        <v>0.2</v>
      </c>
      <c r="G121" s="768">
        <v>2.825612469869062E-2</v>
      </c>
      <c r="H121" s="769">
        <v>1.7859780399340608E-2</v>
      </c>
      <c r="I121" s="767">
        <v>0.75</v>
      </c>
      <c r="J121" s="768">
        <v>0.87</v>
      </c>
      <c r="K121" s="768">
        <v>1</v>
      </c>
      <c r="L121" s="768">
        <v>1</v>
      </c>
      <c r="M121" s="769">
        <v>1</v>
      </c>
      <c r="N121" s="740"/>
      <c r="O121" s="145">
        <v>0.4</v>
      </c>
      <c r="P121" s="146">
        <v>4.6115905098031228E-2</v>
      </c>
      <c r="Q121" s="147">
        <v>0.44611590509803123</v>
      </c>
      <c r="R121" s="741"/>
      <c r="S121" s="145">
        <v>4.62</v>
      </c>
      <c r="T121" s="789">
        <v>9.3560530956294503</v>
      </c>
    </row>
    <row r="122" spans="1:20" s="724" customFormat="1" ht="15" customHeight="1">
      <c r="A122" s="723"/>
      <c r="B122" s="1511"/>
      <c r="C122" s="788" t="s">
        <v>443</v>
      </c>
      <c r="D122" s="765">
        <v>0</v>
      </c>
      <c r="E122" s="768">
        <v>0</v>
      </c>
      <c r="F122" s="768">
        <v>0</v>
      </c>
      <c r="G122" s="768">
        <v>0</v>
      </c>
      <c r="H122" s="769">
        <v>0</v>
      </c>
      <c r="I122" s="767">
        <v>0</v>
      </c>
      <c r="J122" s="768">
        <v>0</v>
      </c>
      <c r="K122" s="768">
        <v>0</v>
      </c>
      <c r="L122" s="768">
        <v>0</v>
      </c>
      <c r="M122" s="769">
        <v>0</v>
      </c>
      <c r="N122" s="740"/>
      <c r="O122" s="145">
        <v>0</v>
      </c>
      <c r="P122" s="146">
        <v>0</v>
      </c>
      <c r="Q122" s="147">
        <v>0</v>
      </c>
      <c r="R122" s="741"/>
      <c r="S122" s="145">
        <v>0</v>
      </c>
      <c r="T122" s="789" t="s">
        <v>987</v>
      </c>
    </row>
    <row r="123" spans="1:20" s="724" customFormat="1" ht="15" customHeight="1">
      <c r="A123" s="723"/>
      <c r="B123" s="1511"/>
      <c r="C123" s="788" t="s">
        <v>444</v>
      </c>
      <c r="D123" s="765">
        <v>0</v>
      </c>
      <c r="E123" s="768">
        <v>0</v>
      </c>
      <c r="F123" s="768">
        <v>0</v>
      </c>
      <c r="G123" s="768">
        <v>0</v>
      </c>
      <c r="H123" s="769">
        <v>0</v>
      </c>
      <c r="I123" s="767">
        <v>0</v>
      </c>
      <c r="J123" s="768">
        <v>0</v>
      </c>
      <c r="K123" s="768">
        <v>0</v>
      </c>
      <c r="L123" s="768">
        <v>0</v>
      </c>
      <c r="M123" s="769">
        <v>0</v>
      </c>
      <c r="N123" s="740"/>
      <c r="O123" s="145"/>
      <c r="P123" s="146"/>
      <c r="Q123" s="147"/>
      <c r="R123" s="741"/>
      <c r="S123" s="145"/>
      <c r="T123" s="789"/>
    </row>
    <row r="124" spans="1:20" s="724" customFormat="1" ht="15" customHeight="1">
      <c r="A124" s="723"/>
      <c r="B124" s="1511"/>
      <c r="C124" s="788" t="s">
        <v>446</v>
      </c>
      <c r="D124" s="765">
        <v>0.2</v>
      </c>
      <c r="E124" s="768">
        <v>0.5</v>
      </c>
      <c r="F124" s="768">
        <v>0.4</v>
      </c>
      <c r="G124" s="768">
        <v>0.38930660695973746</v>
      </c>
      <c r="H124" s="769">
        <v>0.29521166424792422</v>
      </c>
      <c r="I124" s="767">
        <v>0.33</v>
      </c>
      <c r="J124" s="768">
        <v>0.55000000000000004</v>
      </c>
      <c r="K124" s="768">
        <v>0.77</v>
      </c>
      <c r="L124" s="768">
        <v>0.77</v>
      </c>
      <c r="M124" s="769">
        <v>0.77</v>
      </c>
      <c r="N124" s="740"/>
      <c r="O124" s="145"/>
      <c r="P124" s="146"/>
      <c r="Q124" s="147"/>
      <c r="R124" s="741"/>
      <c r="S124" s="145"/>
      <c r="T124" s="789"/>
    </row>
    <row r="125" spans="1:20" s="724" customFormat="1" ht="15" customHeight="1">
      <c r="A125" s="723"/>
      <c r="B125" s="1510" t="s">
        <v>449</v>
      </c>
      <c r="C125" s="788" t="s">
        <v>450</v>
      </c>
      <c r="D125" s="765">
        <v>0</v>
      </c>
      <c r="E125" s="768">
        <v>0</v>
      </c>
      <c r="F125" s="768">
        <v>0</v>
      </c>
      <c r="G125" s="768">
        <v>0</v>
      </c>
      <c r="H125" s="769">
        <v>0</v>
      </c>
      <c r="I125" s="767">
        <v>0</v>
      </c>
      <c r="J125" s="768">
        <v>0</v>
      </c>
      <c r="K125" s="768">
        <v>0</v>
      </c>
      <c r="L125" s="768">
        <v>0</v>
      </c>
      <c r="M125" s="769">
        <v>0</v>
      </c>
      <c r="N125" s="740"/>
      <c r="O125" s="145">
        <v>0</v>
      </c>
      <c r="P125" s="146">
        <v>0</v>
      </c>
      <c r="Q125" s="147">
        <v>0</v>
      </c>
      <c r="R125" s="741"/>
      <c r="S125" s="145">
        <v>0</v>
      </c>
      <c r="T125" s="789" t="s">
        <v>987</v>
      </c>
    </row>
    <row r="126" spans="1:20" s="724" customFormat="1" ht="15" customHeight="1">
      <c r="A126" s="723"/>
      <c r="B126" s="1511"/>
      <c r="C126" s="790" t="s">
        <v>451</v>
      </c>
      <c r="D126" s="765">
        <v>0</v>
      </c>
      <c r="E126" s="768">
        <v>0</v>
      </c>
      <c r="F126" s="768">
        <v>0</v>
      </c>
      <c r="G126" s="768">
        <v>0</v>
      </c>
      <c r="H126" s="769">
        <v>0</v>
      </c>
      <c r="I126" s="767">
        <v>0</v>
      </c>
      <c r="J126" s="768">
        <v>0</v>
      </c>
      <c r="K126" s="768">
        <v>0</v>
      </c>
      <c r="L126" s="768">
        <v>0</v>
      </c>
      <c r="M126" s="769">
        <v>0</v>
      </c>
      <c r="N126" s="740"/>
      <c r="O126" s="145">
        <v>0</v>
      </c>
      <c r="P126" s="146">
        <v>0</v>
      </c>
      <c r="Q126" s="147">
        <v>0</v>
      </c>
      <c r="R126" s="741"/>
      <c r="S126" s="145">
        <v>0</v>
      </c>
      <c r="T126" s="789" t="s">
        <v>987</v>
      </c>
    </row>
    <row r="127" spans="1:20" s="724" customFormat="1" ht="15" customHeight="1">
      <c r="A127" s="723"/>
      <c r="B127" s="1511"/>
      <c r="C127" s="788" t="s">
        <v>444</v>
      </c>
      <c r="D127" s="765">
        <v>0</v>
      </c>
      <c r="E127" s="765">
        <v>0</v>
      </c>
      <c r="F127" s="765">
        <v>0</v>
      </c>
      <c r="G127" s="765">
        <v>0</v>
      </c>
      <c r="H127" s="766">
        <v>0</v>
      </c>
      <c r="I127" s="767">
        <v>0</v>
      </c>
      <c r="J127" s="765">
        <v>0</v>
      </c>
      <c r="K127" s="765">
        <v>0</v>
      </c>
      <c r="L127" s="765">
        <v>0</v>
      </c>
      <c r="M127" s="766">
        <v>0</v>
      </c>
      <c r="N127" s="740"/>
      <c r="O127" s="145"/>
      <c r="P127" s="146"/>
      <c r="Q127" s="147"/>
      <c r="R127" s="741"/>
      <c r="S127" s="145"/>
      <c r="T127" s="789"/>
    </row>
    <row r="128" spans="1:20" s="724" customFormat="1" ht="15" customHeight="1">
      <c r="A128" s="723"/>
      <c r="B128" s="1511"/>
      <c r="C128" s="788" t="s">
        <v>452</v>
      </c>
      <c r="D128" s="765">
        <v>0</v>
      </c>
      <c r="E128" s="765">
        <v>0</v>
      </c>
      <c r="F128" s="765">
        <v>0</v>
      </c>
      <c r="G128" s="765">
        <v>0</v>
      </c>
      <c r="H128" s="766">
        <v>0</v>
      </c>
      <c r="I128" s="767">
        <v>0.05</v>
      </c>
      <c r="J128" s="765">
        <v>0.13</v>
      </c>
      <c r="K128" s="765">
        <v>0.21</v>
      </c>
      <c r="L128" s="765">
        <v>0.21</v>
      </c>
      <c r="M128" s="766">
        <v>0.21</v>
      </c>
      <c r="N128" s="740"/>
      <c r="O128" s="145"/>
      <c r="P128" s="146"/>
      <c r="Q128" s="147"/>
      <c r="R128" s="741"/>
      <c r="S128" s="145"/>
      <c r="T128" s="789"/>
    </row>
    <row r="129" spans="1:20" s="724" customFormat="1" ht="15" customHeight="1">
      <c r="A129" s="723"/>
      <c r="B129" s="794" t="s">
        <v>453</v>
      </c>
      <c r="C129" s="790" t="s">
        <v>447</v>
      </c>
      <c r="D129" s="791">
        <v>0.4</v>
      </c>
      <c r="E129" s="791">
        <v>0.5</v>
      </c>
      <c r="F129" s="791">
        <v>0.6</v>
      </c>
      <c r="G129" s="791">
        <v>0.41756273165842805</v>
      </c>
      <c r="H129" s="792">
        <v>0.31307144464726483</v>
      </c>
      <c r="I129" s="793">
        <v>1.1299999999999999</v>
      </c>
      <c r="J129" s="791">
        <v>1.55</v>
      </c>
      <c r="K129" s="791">
        <v>1.98</v>
      </c>
      <c r="L129" s="791">
        <v>1.98</v>
      </c>
      <c r="M129" s="792">
        <v>1.98</v>
      </c>
      <c r="N129" s="740"/>
      <c r="O129" s="145">
        <v>1.5</v>
      </c>
      <c r="P129" s="146">
        <v>0.73063417630569294</v>
      </c>
      <c r="Q129" s="147">
        <v>2.2306341763056929</v>
      </c>
      <c r="R129" s="741"/>
      <c r="S129" s="145">
        <v>8.6199999999999992</v>
      </c>
      <c r="T129" s="789">
        <v>2.8643718865081578</v>
      </c>
    </row>
    <row r="130" spans="1:20" s="724" customFormat="1" ht="15" customHeight="1">
      <c r="A130" s="723"/>
      <c r="B130" s="1510" t="s">
        <v>454</v>
      </c>
      <c r="C130" s="788" t="s">
        <v>442</v>
      </c>
      <c r="D130" s="765">
        <v>0</v>
      </c>
      <c r="E130" s="768">
        <v>0</v>
      </c>
      <c r="F130" s="768">
        <v>0</v>
      </c>
      <c r="G130" s="768">
        <v>0</v>
      </c>
      <c r="H130" s="769">
        <v>0</v>
      </c>
      <c r="I130" s="767">
        <v>0.02</v>
      </c>
      <c r="J130" s="768">
        <v>0.02</v>
      </c>
      <c r="K130" s="768">
        <v>0.02</v>
      </c>
      <c r="L130" s="768">
        <v>0.02</v>
      </c>
      <c r="M130" s="769">
        <v>0.02</v>
      </c>
      <c r="N130" s="740"/>
      <c r="O130" s="145">
        <v>0</v>
      </c>
      <c r="P130" s="146">
        <v>0</v>
      </c>
      <c r="Q130" s="147">
        <v>0</v>
      </c>
      <c r="R130" s="741"/>
      <c r="S130" s="145">
        <v>0.1</v>
      </c>
      <c r="T130" s="789" t="s">
        <v>987</v>
      </c>
    </row>
    <row r="131" spans="1:20" s="724" customFormat="1" ht="15" customHeight="1">
      <c r="A131" s="723"/>
      <c r="B131" s="1511"/>
      <c r="C131" s="788" t="s">
        <v>443</v>
      </c>
      <c r="D131" s="765">
        <v>0</v>
      </c>
      <c r="E131" s="768">
        <v>0</v>
      </c>
      <c r="F131" s="768">
        <v>0</v>
      </c>
      <c r="G131" s="768">
        <v>0</v>
      </c>
      <c r="H131" s="769">
        <v>0</v>
      </c>
      <c r="I131" s="767">
        <v>0</v>
      </c>
      <c r="J131" s="768">
        <v>0</v>
      </c>
      <c r="K131" s="768">
        <v>0</v>
      </c>
      <c r="L131" s="768">
        <v>0</v>
      </c>
      <c r="M131" s="769">
        <v>0</v>
      </c>
      <c r="N131" s="740"/>
      <c r="O131" s="145">
        <v>0</v>
      </c>
      <c r="P131" s="146">
        <v>0</v>
      </c>
      <c r="Q131" s="147">
        <v>0</v>
      </c>
      <c r="R131" s="741"/>
      <c r="S131" s="145">
        <v>0</v>
      </c>
      <c r="T131" s="789" t="s">
        <v>987</v>
      </c>
    </row>
    <row r="132" spans="1:20" s="724" customFormat="1" ht="15" customHeight="1">
      <c r="A132" s="723"/>
      <c r="B132" s="1511"/>
      <c r="C132" s="788" t="s">
        <v>444</v>
      </c>
      <c r="D132" s="765">
        <v>0</v>
      </c>
      <c r="E132" s="768">
        <v>0</v>
      </c>
      <c r="F132" s="768">
        <v>0</v>
      </c>
      <c r="G132" s="768">
        <v>0</v>
      </c>
      <c r="H132" s="769">
        <v>0</v>
      </c>
      <c r="I132" s="767">
        <v>0</v>
      </c>
      <c r="J132" s="768">
        <v>0</v>
      </c>
      <c r="K132" s="768">
        <v>0</v>
      </c>
      <c r="L132" s="768">
        <v>0</v>
      </c>
      <c r="M132" s="769">
        <v>0</v>
      </c>
      <c r="N132" s="740"/>
      <c r="O132" s="145"/>
      <c r="P132" s="146"/>
      <c r="Q132" s="147"/>
      <c r="R132" s="741"/>
      <c r="S132" s="145"/>
      <c r="T132" s="789"/>
    </row>
    <row r="133" spans="1:20" s="724" customFormat="1" ht="15" customHeight="1">
      <c r="A133" s="723"/>
      <c r="B133" s="1511"/>
      <c r="C133" s="788" t="s">
        <v>446</v>
      </c>
      <c r="D133" s="765">
        <v>0</v>
      </c>
      <c r="E133" s="768">
        <v>0</v>
      </c>
      <c r="F133" s="768">
        <v>0</v>
      </c>
      <c r="G133" s="768">
        <v>0</v>
      </c>
      <c r="H133" s="769">
        <v>0</v>
      </c>
      <c r="I133" s="767">
        <v>0</v>
      </c>
      <c r="J133" s="768">
        <v>0</v>
      </c>
      <c r="K133" s="768">
        <v>0</v>
      </c>
      <c r="L133" s="768">
        <v>0</v>
      </c>
      <c r="M133" s="769">
        <v>0</v>
      </c>
      <c r="N133" s="740"/>
      <c r="O133" s="145"/>
      <c r="P133" s="146"/>
      <c r="Q133" s="147"/>
      <c r="R133" s="741"/>
      <c r="S133" s="145"/>
      <c r="T133" s="789"/>
    </row>
    <row r="134" spans="1:20" s="724" customFormat="1" ht="15" customHeight="1">
      <c r="A134" s="723"/>
      <c r="B134" s="1510" t="s">
        <v>455</v>
      </c>
      <c r="C134" s="788" t="s">
        <v>450</v>
      </c>
      <c r="D134" s="765">
        <v>0</v>
      </c>
      <c r="E134" s="768">
        <v>0</v>
      </c>
      <c r="F134" s="768">
        <v>0</v>
      </c>
      <c r="G134" s="768">
        <v>0</v>
      </c>
      <c r="H134" s="769">
        <v>0</v>
      </c>
      <c r="I134" s="767">
        <v>0.34</v>
      </c>
      <c r="J134" s="768">
        <v>0.39</v>
      </c>
      <c r="K134" s="768">
        <v>0.45</v>
      </c>
      <c r="L134" s="768">
        <v>0.56999999999999995</v>
      </c>
      <c r="M134" s="769">
        <v>0.52</v>
      </c>
      <c r="N134" s="740"/>
      <c r="O134" s="145"/>
      <c r="P134" s="146"/>
      <c r="Q134" s="147"/>
      <c r="R134" s="741"/>
      <c r="S134" s="145"/>
      <c r="T134" s="789"/>
    </row>
    <row r="135" spans="1:20" s="724" customFormat="1" ht="15" customHeight="1">
      <c r="A135" s="723"/>
      <c r="B135" s="1511"/>
      <c r="C135" s="790" t="s">
        <v>451</v>
      </c>
      <c r="D135" s="765">
        <v>1.5</v>
      </c>
      <c r="E135" s="768">
        <v>1.7</v>
      </c>
      <c r="F135" s="768">
        <v>2.9</v>
      </c>
      <c r="G135" s="768">
        <v>3.0443358054996672</v>
      </c>
      <c r="H135" s="769">
        <v>0.98018677132851695</v>
      </c>
      <c r="I135" s="767">
        <v>0.11</v>
      </c>
      <c r="J135" s="768">
        <v>0.28999999999999998</v>
      </c>
      <c r="K135" s="768">
        <v>0.45</v>
      </c>
      <c r="L135" s="768">
        <v>0.45</v>
      </c>
      <c r="M135" s="769">
        <v>0.45</v>
      </c>
      <c r="N135" s="740"/>
      <c r="O135" s="145">
        <v>6.1</v>
      </c>
      <c r="P135" s="146">
        <v>4.0245225768281845</v>
      </c>
      <c r="Q135" s="147">
        <v>10.124522576828184</v>
      </c>
      <c r="R135" s="741"/>
      <c r="S135" s="145">
        <v>1.75</v>
      </c>
      <c r="T135" s="789">
        <v>-0.82715234355788847</v>
      </c>
    </row>
    <row r="136" spans="1:20" s="724" customFormat="1" ht="15" customHeight="1">
      <c r="A136" s="723"/>
      <c r="B136" s="1511"/>
      <c r="C136" s="788" t="s">
        <v>444</v>
      </c>
      <c r="D136" s="765">
        <v>0</v>
      </c>
      <c r="E136" s="768">
        <v>2.2000000000000002</v>
      </c>
      <c r="F136" s="768">
        <v>0</v>
      </c>
      <c r="G136" s="768">
        <v>0</v>
      </c>
      <c r="H136" s="769">
        <v>0</v>
      </c>
      <c r="I136" s="767">
        <v>0</v>
      </c>
      <c r="J136" s="768">
        <v>0</v>
      </c>
      <c r="K136" s="768">
        <v>0</v>
      </c>
      <c r="L136" s="768">
        <v>0</v>
      </c>
      <c r="M136" s="769">
        <v>0</v>
      </c>
      <c r="N136" s="740"/>
      <c r="O136" s="145"/>
      <c r="P136" s="146"/>
      <c r="Q136" s="147"/>
      <c r="R136" s="741"/>
      <c r="S136" s="145"/>
      <c r="T136" s="789"/>
    </row>
    <row r="137" spans="1:20" s="724" customFormat="1" ht="15" customHeight="1">
      <c r="A137" s="723"/>
      <c r="B137" s="1511"/>
      <c r="C137" s="788" t="s">
        <v>452</v>
      </c>
      <c r="D137" s="765">
        <v>0</v>
      </c>
      <c r="E137" s="768">
        <v>0</v>
      </c>
      <c r="F137" s="768">
        <v>0</v>
      </c>
      <c r="G137" s="768">
        <v>0</v>
      </c>
      <c r="H137" s="769">
        <v>0</v>
      </c>
      <c r="I137" s="767">
        <v>0.15</v>
      </c>
      <c r="J137" s="768">
        <v>0.17</v>
      </c>
      <c r="K137" s="768">
        <v>0.2</v>
      </c>
      <c r="L137" s="768">
        <v>0.22</v>
      </c>
      <c r="M137" s="769">
        <v>0.26</v>
      </c>
      <c r="N137" s="740"/>
      <c r="O137" s="145">
        <v>0</v>
      </c>
      <c r="P137" s="146">
        <v>0</v>
      </c>
      <c r="Q137" s="147">
        <v>0</v>
      </c>
      <c r="R137" s="741"/>
      <c r="S137" s="145">
        <v>1</v>
      </c>
      <c r="T137" s="789" t="s">
        <v>987</v>
      </c>
    </row>
    <row r="138" spans="1:20" s="724" customFormat="1" ht="15" customHeight="1" thickBot="1">
      <c r="A138" s="723"/>
      <c r="B138" s="795" t="s">
        <v>456</v>
      </c>
      <c r="C138" s="796" t="s">
        <v>447</v>
      </c>
      <c r="D138" s="797">
        <v>1.5</v>
      </c>
      <c r="E138" s="797">
        <v>3.9</v>
      </c>
      <c r="F138" s="797">
        <v>2.9</v>
      </c>
      <c r="G138" s="797">
        <v>3.0443358054996672</v>
      </c>
      <c r="H138" s="798">
        <v>0.98018677132851695</v>
      </c>
      <c r="I138" s="799">
        <v>0.62</v>
      </c>
      <c r="J138" s="797">
        <v>0.87</v>
      </c>
      <c r="K138" s="797">
        <v>1.1200000000000001</v>
      </c>
      <c r="L138" s="797">
        <v>1.26</v>
      </c>
      <c r="M138" s="798">
        <v>1.25</v>
      </c>
      <c r="N138" s="740"/>
      <c r="O138" s="165">
        <v>8.3000000000000007</v>
      </c>
      <c r="P138" s="166">
        <v>4.0245225768281845</v>
      </c>
      <c r="Q138" s="167">
        <v>12.324522576828185</v>
      </c>
      <c r="R138" s="741"/>
      <c r="S138" s="165">
        <v>5.12</v>
      </c>
      <c r="T138" s="800">
        <v>-0.58456808626191237</v>
      </c>
    </row>
    <row r="139" spans="1:20" s="724" customFormat="1" ht="12.75">
      <c r="A139" s="723"/>
      <c r="B139" s="604"/>
      <c r="C139" s="604"/>
      <c r="D139" s="604"/>
      <c r="E139" s="604"/>
      <c r="F139" s="604"/>
      <c r="G139" s="604"/>
      <c r="H139" s="604"/>
      <c r="I139" s="604"/>
      <c r="J139" s="604"/>
      <c r="K139" s="604"/>
      <c r="L139" s="604"/>
      <c r="M139" s="604"/>
      <c r="N139" s="604"/>
      <c r="O139" s="604"/>
      <c r="P139" s="604"/>
      <c r="Q139" s="604"/>
    </row>
    <row r="140" spans="1:20" s="724" customFormat="1" ht="12.75">
      <c r="A140" s="723"/>
      <c r="B140" s="722" t="s">
        <v>457</v>
      </c>
      <c r="C140" s="604"/>
      <c r="D140" s="604"/>
      <c r="E140" s="604"/>
      <c r="F140" s="604"/>
      <c r="G140" s="604"/>
      <c r="H140" s="604"/>
      <c r="I140" s="604"/>
      <c r="J140" s="604"/>
      <c r="K140" s="604"/>
      <c r="L140" s="604"/>
      <c r="M140" s="604"/>
      <c r="N140" s="604"/>
      <c r="O140" s="604"/>
      <c r="P140" s="604"/>
      <c r="Q140" s="604"/>
    </row>
    <row r="141" spans="1:20" s="724" customFormat="1" ht="13.5" thickBot="1">
      <c r="A141" s="723"/>
      <c r="B141" s="604"/>
      <c r="C141" s="604"/>
      <c r="E141" s="604"/>
      <c r="F141" s="604"/>
      <c r="G141" s="604"/>
      <c r="H141" s="604"/>
      <c r="I141" s="604"/>
      <c r="J141" s="604"/>
      <c r="K141" s="604"/>
      <c r="L141" s="604"/>
      <c r="M141" s="604"/>
      <c r="N141" s="604"/>
      <c r="O141" s="604"/>
      <c r="P141" s="604"/>
      <c r="Q141" s="604"/>
    </row>
    <row r="142" spans="1:20" s="724" customFormat="1" ht="12.75">
      <c r="A142" s="723"/>
      <c r="B142" s="1512" t="s">
        <v>419</v>
      </c>
      <c r="C142" s="1513"/>
      <c r="D142" s="725" t="s">
        <v>420</v>
      </c>
      <c r="E142" s="726"/>
      <c r="F142" s="726"/>
      <c r="G142" s="726"/>
      <c r="H142" s="727"/>
      <c r="I142" s="725" t="s">
        <v>421</v>
      </c>
      <c r="J142" s="726"/>
      <c r="K142" s="726"/>
      <c r="L142" s="726"/>
      <c r="M142" s="727"/>
      <c r="N142" s="604"/>
      <c r="O142" s="244" t="s">
        <v>191</v>
      </c>
      <c r="P142" s="245"/>
      <c r="Q142" s="246"/>
      <c r="R142" s="705"/>
      <c r="S142" s="244" t="s">
        <v>192</v>
      </c>
      <c r="T142" s="246"/>
    </row>
    <row r="143" spans="1:20" s="724" customFormat="1" ht="12.75">
      <c r="A143" s="723"/>
      <c r="B143" s="1514"/>
      <c r="C143" s="1515"/>
      <c r="D143" s="728" t="s">
        <v>79</v>
      </c>
      <c r="E143" s="588" t="s">
        <v>80</v>
      </c>
      <c r="F143" s="588" t="s">
        <v>81</v>
      </c>
      <c r="G143" s="588" t="s">
        <v>82</v>
      </c>
      <c r="H143" s="729" t="s">
        <v>44</v>
      </c>
      <c r="I143" s="728" t="s">
        <v>193</v>
      </c>
      <c r="J143" s="588" t="s">
        <v>194</v>
      </c>
      <c r="K143" s="588" t="s">
        <v>195</v>
      </c>
      <c r="L143" s="588" t="s">
        <v>196</v>
      </c>
      <c r="M143" s="729" t="s">
        <v>440</v>
      </c>
      <c r="N143" s="604"/>
      <c r="O143" s="247" t="s">
        <v>198</v>
      </c>
      <c r="P143" s="248" t="s">
        <v>199</v>
      </c>
      <c r="Q143" s="249" t="s">
        <v>200</v>
      </c>
      <c r="R143" s="705"/>
      <c r="S143" s="247" t="s">
        <v>199</v>
      </c>
      <c r="T143" s="249" t="s">
        <v>201</v>
      </c>
    </row>
    <row r="144" spans="1:20" s="724" customFormat="1" ht="12.75">
      <c r="A144" s="723"/>
      <c r="B144" s="1516"/>
      <c r="C144" s="1517"/>
      <c r="D144" s="728" t="s">
        <v>203</v>
      </c>
      <c r="E144" s="588" t="s">
        <v>203</v>
      </c>
      <c r="F144" s="588" t="s">
        <v>203</v>
      </c>
      <c r="G144" s="588" t="s">
        <v>203</v>
      </c>
      <c r="H144" s="729" t="s">
        <v>203</v>
      </c>
      <c r="I144" s="728" t="s">
        <v>203</v>
      </c>
      <c r="J144" s="588" t="s">
        <v>203</v>
      </c>
      <c r="K144" s="588" t="s">
        <v>203</v>
      </c>
      <c r="L144" s="588" t="s">
        <v>203</v>
      </c>
      <c r="M144" s="729" t="s">
        <v>203</v>
      </c>
      <c r="N144" s="604"/>
      <c r="O144" s="731"/>
      <c r="P144" s="732"/>
      <c r="Q144" s="733"/>
      <c r="R144" s="705"/>
      <c r="S144" s="734"/>
      <c r="T144" s="735"/>
    </row>
    <row r="145" spans="1:20" s="724" customFormat="1" ht="12.75">
      <c r="A145" s="723"/>
      <c r="B145" s="801" t="s">
        <v>458</v>
      </c>
      <c r="C145" s="802" t="s">
        <v>459</v>
      </c>
      <c r="D145" s="803"/>
      <c r="E145" s="604"/>
      <c r="F145" s="604"/>
      <c r="G145" s="604"/>
      <c r="H145" s="804"/>
      <c r="I145" s="805"/>
      <c r="J145" s="604"/>
      <c r="K145" s="604"/>
      <c r="L145" s="604"/>
      <c r="M145" s="804"/>
      <c r="N145" s="604"/>
      <c r="O145" s="805"/>
      <c r="P145" s="604"/>
      <c r="Q145" s="804"/>
      <c r="S145" s="803"/>
      <c r="T145" s="806"/>
    </row>
    <row r="146" spans="1:20" s="724" customFormat="1" ht="12.75">
      <c r="A146" s="723"/>
      <c r="B146" s="805"/>
      <c r="C146" s="807" t="s">
        <v>460</v>
      </c>
      <c r="D146" s="808"/>
      <c r="E146" s="809"/>
      <c r="F146" s="809"/>
      <c r="G146" s="809"/>
      <c r="H146" s="810"/>
      <c r="I146" s="808"/>
      <c r="J146" s="809"/>
      <c r="K146" s="809"/>
      <c r="L146" s="809"/>
      <c r="M146" s="810"/>
      <c r="N146" s="604"/>
      <c r="O146" s="713">
        <f t="shared" ref="O146:O153" si="0">SUM(D146:G146)</f>
        <v>0</v>
      </c>
      <c r="P146" s="714">
        <f t="shared" ref="P146:P153" si="1">H146</f>
        <v>0</v>
      </c>
      <c r="Q146" s="715">
        <f t="shared" ref="Q146:Q153" si="2">SUM(D146:H146)</f>
        <v>0</v>
      </c>
      <c r="R146" s="705"/>
      <c r="S146" s="713">
        <f t="shared" ref="S146:S153" si="3">SUM(I146:M146)</f>
        <v>0</v>
      </c>
      <c r="T146" s="789" t="str">
        <f t="shared" ref="T146:T153" si="4">IF(Q146&lt;&gt;0,(S146-Q146)/Q146,"0")</f>
        <v>0</v>
      </c>
    </row>
    <row r="147" spans="1:20" s="724" customFormat="1" ht="12.75">
      <c r="A147" s="723"/>
      <c r="B147" s="805"/>
      <c r="C147" s="807" t="s">
        <v>461</v>
      </c>
      <c r="D147" s="592"/>
      <c r="E147" s="593"/>
      <c r="F147" s="593"/>
      <c r="G147" s="593"/>
      <c r="H147" s="594"/>
      <c r="I147" s="592"/>
      <c r="J147" s="593"/>
      <c r="K147" s="593"/>
      <c r="L147" s="593"/>
      <c r="M147" s="594"/>
      <c r="N147" s="604"/>
      <c r="O147" s="713">
        <f t="shared" si="0"/>
        <v>0</v>
      </c>
      <c r="P147" s="714">
        <f t="shared" si="1"/>
        <v>0</v>
      </c>
      <c r="Q147" s="715">
        <f t="shared" si="2"/>
        <v>0</v>
      </c>
      <c r="R147" s="705"/>
      <c r="S147" s="713">
        <f t="shared" si="3"/>
        <v>0</v>
      </c>
      <c r="T147" s="789" t="str">
        <f t="shared" si="4"/>
        <v>0</v>
      </c>
    </row>
    <row r="148" spans="1:20" s="724" customFormat="1" ht="12.75">
      <c r="A148" s="723"/>
      <c r="B148" s="805"/>
      <c r="C148" s="811"/>
      <c r="D148" s="592"/>
      <c r="E148" s="593"/>
      <c r="F148" s="593"/>
      <c r="G148" s="593">
        <v>0</v>
      </c>
      <c r="H148" s="594"/>
      <c r="I148" s="592"/>
      <c r="J148" s="593"/>
      <c r="K148" s="593"/>
      <c r="L148" s="593"/>
      <c r="M148" s="594"/>
      <c r="N148" s="604"/>
      <c r="O148" s="713">
        <f t="shared" si="0"/>
        <v>0</v>
      </c>
      <c r="P148" s="714">
        <f t="shared" si="1"/>
        <v>0</v>
      </c>
      <c r="Q148" s="715">
        <f t="shared" si="2"/>
        <v>0</v>
      </c>
      <c r="R148" s="705"/>
      <c r="S148" s="713">
        <f t="shared" si="3"/>
        <v>0</v>
      </c>
      <c r="T148" s="789" t="str">
        <f t="shared" si="4"/>
        <v>0</v>
      </c>
    </row>
    <row r="149" spans="1:20" s="724" customFormat="1" ht="12.75">
      <c r="A149" s="723"/>
      <c r="B149" s="805"/>
      <c r="C149" s="802"/>
      <c r="D149" s="803"/>
      <c r="E149" s="604"/>
      <c r="F149" s="604"/>
      <c r="G149" s="604"/>
      <c r="H149" s="804"/>
      <c r="I149" s="805"/>
      <c r="J149" s="604"/>
      <c r="K149" s="604"/>
      <c r="L149" s="604"/>
      <c r="M149" s="804"/>
      <c r="N149" s="604"/>
      <c r="O149" s="150"/>
      <c r="P149" s="153"/>
      <c r="Q149" s="152"/>
      <c r="R149" s="812"/>
      <c r="S149" s="150"/>
      <c r="T149" s="813"/>
    </row>
    <row r="150" spans="1:20" s="724" customFormat="1" ht="12.75">
      <c r="A150" s="723"/>
      <c r="B150" s="805"/>
      <c r="C150" s="802" t="s">
        <v>462</v>
      </c>
      <c r="D150" s="803"/>
      <c r="E150" s="604"/>
      <c r="F150" s="604"/>
      <c r="G150" s="604"/>
      <c r="H150" s="804"/>
      <c r="I150" s="805"/>
      <c r="J150" s="604"/>
      <c r="K150" s="604"/>
      <c r="L150" s="604"/>
      <c r="M150" s="804"/>
      <c r="N150" s="604"/>
      <c r="O150" s="150"/>
      <c r="P150" s="153"/>
      <c r="Q150" s="152"/>
      <c r="R150" s="812"/>
      <c r="S150" s="150"/>
      <c r="T150" s="813"/>
    </row>
    <row r="151" spans="1:20" s="724" customFormat="1" ht="12.75">
      <c r="A151" s="723"/>
      <c r="B151" s="805"/>
      <c r="C151" s="807" t="s">
        <v>460</v>
      </c>
      <c r="D151" s="808"/>
      <c r="E151" s="809"/>
      <c r="F151" s="809"/>
      <c r="G151" s="809"/>
      <c r="H151" s="810"/>
      <c r="I151" s="808"/>
      <c r="J151" s="809"/>
      <c r="K151" s="809"/>
      <c r="L151" s="809"/>
      <c r="M151" s="810"/>
      <c r="N151" s="604"/>
      <c r="O151" s="713">
        <f t="shared" si="0"/>
        <v>0</v>
      </c>
      <c r="P151" s="714">
        <f t="shared" si="1"/>
        <v>0</v>
      </c>
      <c r="Q151" s="715">
        <f t="shared" si="2"/>
        <v>0</v>
      </c>
      <c r="R151" s="705"/>
      <c r="S151" s="713">
        <f t="shared" si="3"/>
        <v>0</v>
      </c>
      <c r="T151" s="789" t="str">
        <f t="shared" si="4"/>
        <v>0</v>
      </c>
    </row>
    <row r="152" spans="1:20" s="724" customFormat="1" ht="12.75">
      <c r="A152" s="723"/>
      <c r="B152" s="805"/>
      <c r="C152" s="807" t="s">
        <v>461</v>
      </c>
      <c r="D152" s="592"/>
      <c r="E152" s="593"/>
      <c r="F152" s="593"/>
      <c r="G152" s="593"/>
      <c r="H152" s="594"/>
      <c r="I152" s="592"/>
      <c r="J152" s="593"/>
      <c r="K152" s="593"/>
      <c r="L152" s="593"/>
      <c r="M152" s="594"/>
      <c r="N152" s="604"/>
      <c r="O152" s="713">
        <f t="shared" si="0"/>
        <v>0</v>
      </c>
      <c r="P152" s="714">
        <f t="shared" si="1"/>
        <v>0</v>
      </c>
      <c r="Q152" s="715">
        <f t="shared" si="2"/>
        <v>0</v>
      </c>
      <c r="R152" s="705"/>
      <c r="S152" s="713">
        <f t="shared" si="3"/>
        <v>0</v>
      </c>
      <c r="T152" s="789" t="str">
        <f t="shared" si="4"/>
        <v>0</v>
      </c>
    </row>
    <row r="153" spans="1:20" s="724" customFormat="1" ht="13.5" thickBot="1">
      <c r="A153" s="723"/>
      <c r="B153" s="814"/>
      <c r="C153" s="815"/>
      <c r="D153" s="613"/>
      <c r="E153" s="614"/>
      <c r="F153" s="614"/>
      <c r="G153" s="614">
        <v>0</v>
      </c>
      <c r="H153" s="816"/>
      <c r="I153" s="613"/>
      <c r="J153" s="614"/>
      <c r="K153" s="614"/>
      <c r="L153" s="614"/>
      <c r="M153" s="816"/>
      <c r="N153" s="604"/>
      <c r="O153" s="817">
        <f t="shared" si="0"/>
        <v>0</v>
      </c>
      <c r="P153" s="818">
        <f t="shared" si="1"/>
        <v>0</v>
      </c>
      <c r="Q153" s="819">
        <f t="shared" si="2"/>
        <v>0</v>
      </c>
      <c r="R153" s="705"/>
      <c r="S153" s="817">
        <f t="shared" si="3"/>
        <v>0</v>
      </c>
      <c r="T153" s="800" t="str">
        <f t="shared" si="4"/>
        <v>0</v>
      </c>
    </row>
    <row r="154" spans="1:20" s="724" customFormat="1" ht="12.75">
      <c r="A154" s="723"/>
      <c r="B154" s="604"/>
      <c r="E154" s="604"/>
      <c r="F154" s="604"/>
      <c r="G154" s="604"/>
      <c r="H154" s="604"/>
      <c r="I154" s="604"/>
      <c r="J154" s="604"/>
      <c r="K154" s="604"/>
      <c r="L154" s="604"/>
      <c r="M154" s="604"/>
      <c r="N154" s="604"/>
      <c r="O154" s="604"/>
      <c r="P154" s="604"/>
      <c r="Q154" s="604"/>
    </row>
    <row r="155" spans="1:20" s="724" customFormat="1" ht="12.75">
      <c r="A155" s="723"/>
      <c r="B155" s="604"/>
      <c r="C155" s="604"/>
      <c r="E155" s="604"/>
      <c r="F155" s="604"/>
      <c r="G155" s="604"/>
      <c r="H155" s="604"/>
      <c r="I155" s="604"/>
      <c r="J155" s="604"/>
      <c r="K155" s="604"/>
      <c r="L155" s="604"/>
      <c r="M155" s="604"/>
      <c r="N155" s="604"/>
      <c r="O155" s="604"/>
      <c r="P155" s="604"/>
      <c r="Q155" s="604"/>
    </row>
    <row r="156" spans="1:20" s="724" customFormat="1" ht="12.75">
      <c r="A156" s="723"/>
      <c r="B156" s="604"/>
      <c r="C156" s="604"/>
      <c r="E156" s="604"/>
      <c r="F156" s="604"/>
      <c r="G156" s="604"/>
      <c r="H156" s="604"/>
      <c r="I156" s="604"/>
      <c r="J156" s="604"/>
      <c r="K156" s="604"/>
      <c r="L156" s="604"/>
      <c r="M156" s="604"/>
      <c r="N156" s="604"/>
      <c r="O156" s="604"/>
      <c r="P156" s="604"/>
      <c r="Q156" s="604"/>
    </row>
    <row r="157" spans="1:20" s="724" customFormat="1" ht="12.75">
      <c r="A157" s="723"/>
      <c r="B157" s="604"/>
      <c r="C157" s="604"/>
      <c r="E157" s="604"/>
      <c r="F157" s="604"/>
      <c r="G157" s="604"/>
      <c r="H157" s="604"/>
      <c r="I157" s="604"/>
      <c r="J157" s="604"/>
      <c r="K157" s="604"/>
      <c r="L157" s="604"/>
      <c r="M157" s="604"/>
      <c r="N157" s="604"/>
      <c r="O157" s="604"/>
      <c r="P157" s="604"/>
      <c r="Q157" s="604"/>
    </row>
    <row r="158" spans="1:20" s="724" customFormat="1" ht="12.75">
      <c r="A158" s="723"/>
      <c r="B158" s="604"/>
      <c r="C158" s="604"/>
      <c r="E158" s="604"/>
      <c r="F158" s="604"/>
      <c r="G158" s="604"/>
      <c r="H158" s="604"/>
      <c r="I158" s="604"/>
      <c r="J158" s="604"/>
      <c r="K158" s="604"/>
      <c r="L158" s="604"/>
      <c r="M158" s="604"/>
      <c r="N158" s="604"/>
      <c r="O158" s="604"/>
      <c r="P158" s="604"/>
      <c r="Q158" s="604"/>
    </row>
    <row r="159" spans="1:20" s="724" customFormat="1" ht="12.75">
      <c r="A159" s="723"/>
      <c r="B159" s="604"/>
      <c r="C159" s="604"/>
      <c r="E159" s="604"/>
      <c r="F159" s="604"/>
      <c r="G159" s="604"/>
      <c r="H159" s="604"/>
      <c r="I159" s="604"/>
      <c r="J159" s="604"/>
      <c r="K159" s="604"/>
      <c r="L159" s="604"/>
      <c r="M159" s="604"/>
      <c r="N159" s="604"/>
      <c r="O159" s="604"/>
      <c r="P159" s="604"/>
      <c r="Q159" s="604"/>
    </row>
    <row r="160" spans="1:20" s="724" customFormat="1" ht="12.75">
      <c r="A160" s="723"/>
      <c r="B160" s="604"/>
      <c r="C160" s="604"/>
      <c r="E160" s="604"/>
      <c r="F160" s="604"/>
      <c r="G160" s="604"/>
      <c r="H160" s="604"/>
      <c r="I160" s="604"/>
      <c r="J160" s="604"/>
      <c r="K160" s="604"/>
      <c r="L160" s="604"/>
      <c r="M160" s="604"/>
      <c r="N160" s="604"/>
      <c r="O160" s="604"/>
      <c r="P160" s="604"/>
      <c r="Q160" s="604"/>
    </row>
    <row r="161" spans="1:17" s="724" customFormat="1" ht="12.75">
      <c r="A161" s="723"/>
      <c r="B161" s="604"/>
      <c r="C161" s="604"/>
      <c r="E161" s="604"/>
      <c r="F161" s="604"/>
      <c r="G161" s="604"/>
      <c r="H161" s="604"/>
      <c r="I161" s="604"/>
      <c r="J161" s="604"/>
      <c r="K161" s="604"/>
      <c r="L161" s="604"/>
      <c r="M161" s="604"/>
      <c r="N161" s="604"/>
      <c r="O161" s="604"/>
      <c r="P161" s="604"/>
      <c r="Q161" s="604"/>
    </row>
    <row r="162" spans="1:17" s="724" customFormat="1" ht="12.75">
      <c r="A162" s="723"/>
      <c r="B162" s="604"/>
      <c r="C162" s="604"/>
      <c r="E162" s="604"/>
      <c r="F162" s="604"/>
      <c r="G162" s="604"/>
      <c r="H162" s="604"/>
      <c r="I162" s="604"/>
      <c r="J162" s="604"/>
      <c r="K162" s="604"/>
      <c r="L162" s="604"/>
      <c r="M162" s="604"/>
      <c r="N162" s="604"/>
      <c r="O162" s="604"/>
      <c r="P162" s="604"/>
      <c r="Q162" s="604"/>
    </row>
    <row r="163" spans="1:17" s="724" customFormat="1" ht="12.75">
      <c r="A163" s="723"/>
      <c r="B163" s="604"/>
      <c r="C163" s="604"/>
      <c r="E163" s="604"/>
      <c r="F163" s="604"/>
      <c r="G163" s="604"/>
      <c r="H163" s="604"/>
      <c r="I163" s="604"/>
      <c r="J163" s="604"/>
      <c r="K163" s="604"/>
      <c r="L163" s="604"/>
      <c r="M163" s="604"/>
      <c r="N163" s="604"/>
      <c r="O163" s="604"/>
      <c r="P163" s="604"/>
      <c r="Q163" s="604"/>
    </row>
    <row r="164" spans="1:17" s="724" customFormat="1" ht="12.75">
      <c r="A164" s="723"/>
      <c r="B164" s="604"/>
      <c r="C164" s="604"/>
      <c r="E164" s="604"/>
      <c r="F164" s="604"/>
      <c r="G164" s="604"/>
      <c r="H164" s="604"/>
      <c r="I164" s="604"/>
      <c r="J164" s="604"/>
      <c r="K164" s="604"/>
      <c r="L164" s="604"/>
      <c r="M164" s="604"/>
      <c r="N164" s="604"/>
      <c r="O164" s="604"/>
      <c r="P164" s="604"/>
      <c r="Q164" s="604"/>
    </row>
    <row r="165" spans="1:17" s="724" customFormat="1" ht="12.75">
      <c r="A165" s="723"/>
      <c r="B165" s="604"/>
      <c r="C165" s="604"/>
      <c r="E165" s="604"/>
      <c r="F165" s="604"/>
      <c r="G165" s="604"/>
      <c r="H165" s="604"/>
      <c r="I165" s="604"/>
      <c r="J165" s="604"/>
      <c r="K165" s="604"/>
      <c r="L165" s="604"/>
      <c r="M165" s="604"/>
      <c r="N165" s="604"/>
      <c r="O165" s="604"/>
      <c r="P165" s="604"/>
      <c r="Q165" s="604"/>
    </row>
    <row r="166" spans="1:17" s="724" customFormat="1" ht="12.75">
      <c r="A166" s="723"/>
      <c r="B166" s="604"/>
      <c r="C166" s="604"/>
      <c r="E166" s="604"/>
      <c r="F166" s="604"/>
      <c r="G166" s="604"/>
      <c r="H166" s="604"/>
      <c r="I166" s="604"/>
      <c r="J166" s="604"/>
      <c r="K166" s="604"/>
      <c r="L166" s="604"/>
      <c r="M166" s="604"/>
      <c r="N166" s="604"/>
      <c r="O166" s="604"/>
      <c r="P166" s="604"/>
      <c r="Q166" s="604"/>
    </row>
    <row r="167" spans="1:17" s="724" customFormat="1" ht="12.75">
      <c r="A167" s="723"/>
      <c r="B167" s="604"/>
      <c r="C167" s="604"/>
      <c r="E167" s="604"/>
      <c r="F167" s="604"/>
      <c r="G167" s="604"/>
      <c r="H167" s="604"/>
      <c r="I167" s="604"/>
      <c r="J167" s="604"/>
      <c r="K167" s="604"/>
      <c r="L167" s="604"/>
      <c r="M167" s="604"/>
      <c r="N167" s="604"/>
      <c r="O167" s="604"/>
      <c r="P167" s="604"/>
      <c r="Q167" s="604"/>
    </row>
    <row r="168" spans="1:17" s="724" customFormat="1" ht="12.75">
      <c r="A168" s="723"/>
      <c r="B168" s="604"/>
      <c r="C168" s="604"/>
      <c r="E168" s="604"/>
      <c r="F168" s="604"/>
      <c r="G168" s="604"/>
      <c r="H168" s="604"/>
      <c r="I168" s="604"/>
      <c r="J168" s="604"/>
      <c r="K168" s="604"/>
      <c r="L168" s="604"/>
      <c r="M168" s="604"/>
      <c r="N168" s="604"/>
      <c r="O168" s="604"/>
      <c r="P168" s="604"/>
      <c r="Q168" s="604"/>
    </row>
    <row r="169" spans="1:17" s="724" customFormat="1" ht="12.75">
      <c r="A169" s="723"/>
      <c r="B169" s="604"/>
      <c r="C169" s="604"/>
      <c r="E169" s="604"/>
      <c r="F169" s="604"/>
      <c r="G169" s="604"/>
      <c r="H169" s="604"/>
      <c r="I169" s="604"/>
      <c r="J169" s="604"/>
      <c r="K169" s="604"/>
      <c r="L169" s="604"/>
      <c r="M169" s="604"/>
      <c r="N169" s="604"/>
      <c r="O169" s="604"/>
      <c r="P169" s="604"/>
      <c r="Q169" s="604"/>
    </row>
    <row r="170" spans="1:17" s="724" customFormat="1" ht="12.75">
      <c r="A170" s="723"/>
      <c r="B170" s="604"/>
      <c r="C170" s="604"/>
      <c r="E170" s="604"/>
      <c r="F170" s="604"/>
      <c r="G170" s="604"/>
      <c r="H170" s="604"/>
      <c r="I170" s="604"/>
      <c r="J170" s="604"/>
      <c r="K170" s="604"/>
      <c r="L170" s="604"/>
      <c r="M170" s="604"/>
      <c r="N170" s="604"/>
      <c r="O170" s="604"/>
      <c r="P170" s="604"/>
      <c r="Q170" s="604"/>
    </row>
    <row r="171" spans="1:17" s="724" customFormat="1" ht="12.75">
      <c r="A171" s="723"/>
      <c r="B171" s="604"/>
      <c r="C171" s="604"/>
      <c r="E171" s="604"/>
      <c r="F171" s="604"/>
      <c r="G171" s="604"/>
      <c r="H171" s="604"/>
      <c r="I171" s="604"/>
      <c r="J171" s="604"/>
      <c r="K171" s="604"/>
      <c r="L171" s="604"/>
      <c r="M171" s="604"/>
      <c r="N171" s="604"/>
      <c r="O171" s="604"/>
      <c r="P171" s="604"/>
      <c r="Q171" s="604"/>
    </row>
    <row r="172" spans="1:17" s="724" customFormat="1" ht="12.75">
      <c r="A172" s="723"/>
      <c r="B172" s="604"/>
      <c r="C172" s="604"/>
      <c r="E172" s="604"/>
      <c r="F172" s="604"/>
      <c r="G172" s="604"/>
      <c r="H172" s="604"/>
      <c r="I172" s="604"/>
      <c r="J172" s="604"/>
      <c r="K172" s="604"/>
      <c r="L172" s="604"/>
      <c r="M172" s="604"/>
      <c r="N172" s="604"/>
      <c r="O172" s="604"/>
      <c r="P172" s="604"/>
      <c r="Q172" s="604"/>
    </row>
    <row r="173" spans="1:17" s="724" customFormat="1" ht="12.75">
      <c r="A173" s="723"/>
      <c r="B173" s="604"/>
      <c r="C173" s="604"/>
      <c r="E173" s="604"/>
      <c r="F173" s="604"/>
      <c r="G173" s="604"/>
      <c r="H173" s="604"/>
      <c r="I173" s="604"/>
      <c r="J173" s="604"/>
      <c r="K173" s="604"/>
      <c r="L173" s="604"/>
      <c r="M173" s="604"/>
      <c r="N173" s="604"/>
      <c r="O173" s="604"/>
      <c r="P173" s="604"/>
      <c r="Q173" s="604"/>
    </row>
    <row r="174" spans="1:17" s="724" customFormat="1" ht="12.75">
      <c r="A174" s="723"/>
      <c r="B174" s="604"/>
      <c r="C174" s="604"/>
      <c r="E174" s="604"/>
      <c r="F174" s="604"/>
      <c r="G174" s="604"/>
      <c r="H174" s="604"/>
      <c r="I174" s="604"/>
      <c r="J174" s="604"/>
      <c r="K174" s="604"/>
      <c r="L174" s="604"/>
      <c r="M174" s="604"/>
      <c r="N174" s="604"/>
      <c r="O174" s="604"/>
      <c r="P174" s="604"/>
      <c r="Q174" s="604"/>
    </row>
    <row r="175" spans="1:17" s="724" customFormat="1" ht="12.75">
      <c r="A175" s="723"/>
      <c r="B175" s="604"/>
      <c r="C175" s="604"/>
      <c r="E175" s="604"/>
      <c r="F175" s="604"/>
      <c r="G175" s="604"/>
      <c r="H175" s="604"/>
      <c r="I175" s="604"/>
      <c r="J175" s="604"/>
      <c r="K175" s="604"/>
      <c r="L175" s="604"/>
      <c r="M175" s="604"/>
      <c r="N175" s="604"/>
      <c r="O175" s="604"/>
      <c r="P175" s="604"/>
      <c r="Q175" s="604"/>
    </row>
    <row r="176" spans="1:17" s="724" customFormat="1" ht="12.75">
      <c r="A176" s="723"/>
      <c r="B176" s="604"/>
      <c r="C176" s="604"/>
      <c r="E176" s="604"/>
      <c r="F176" s="604"/>
      <c r="G176" s="604"/>
      <c r="H176" s="604"/>
      <c r="I176" s="604"/>
      <c r="J176" s="604"/>
      <c r="K176" s="604"/>
      <c r="L176" s="604"/>
      <c r="M176" s="604"/>
      <c r="N176" s="604"/>
      <c r="O176" s="604"/>
      <c r="P176" s="604"/>
      <c r="Q176" s="604"/>
    </row>
    <row r="177" spans="1:23" s="724" customFormat="1" ht="12.75">
      <c r="A177" s="723"/>
      <c r="B177" s="604"/>
      <c r="C177" s="604"/>
      <c r="E177" s="604"/>
      <c r="F177" s="604"/>
      <c r="G177" s="604"/>
      <c r="H177" s="604"/>
      <c r="I177" s="604"/>
      <c r="J177" s="604"/>
      <c r="K177" s="604"/>
      <c r="L177" s="604"/>
      <c r="M177" s="604"/>
      <c r="N177" s="604"/>
      <c r="O177" s="604"/>
      <c r="P177" s="604"/>
      <c r="Q177" s="604"/>
    </row>
    <row r="178" spans="1:23" s="724" customFormat="1" ht="12.75">
      <c r="A178" s="723"/>
      <c r="B178" s="604"/>
      <c r="C178" s="604"/>
      <c r="E178" s="604"/>
      <c r="F178" s="604"/>
      <c r="G178" s="604"/>
      <c r="H178" s="604"/>
      <c r="I178" s="604"/>
      <c r="J178" s="604"/>
      <c r="K178" s="604"/>
      <c r="L178" s="604"/>
      <c r="M178" s="604"/>
      <c r="N178" s="604"/>
      <c r="O178" s="604"/>
      <c r="P178" s="604"/>
      <c r="Q178" s="604"/>
    </row>
    <row r="179" spans="1:23" s="724" customFormat="1" ht="12.75">
      <c r="A179" s="723"/>
      <c r="B179" s="604"/>
      <c r="C179" s="604"/>
      <c r="E179" s="604"/>
      <c r="F179" s="604"/>
      <c r="G179" s="604"/>
      <c r="H179" s="604"/>
      <c r="I179" s="604"/>
      <c r="J179" s="604"/>
      <c r="K179" s="604"/>
      <c r="L179" s="604"/>
      <c r="M179" s="604"/>
      <c r="N179" s="604"/>
      <c r="O179" s="604"/>
      <c r="P179" s="604"/>
      <c r="Q179" s="604"/>
    </row>
    <row r="180" spans="1:23" s="724" customFormat="1" ht="12.75">
      <c r="A180" s="723"/>
      <c r="B180" s="604"/>
      <c r="C180" s="604"/>
      <c r="E180" s="604"/>
      <c r="F180" s="604"/>
      <c r="G180" s="604"/>
      <c r="H180" s="604"/>
      <c r="I180" s="604"/>
      <c r="J180" s="604"/>
      <c r="K180" s="604"/>
      <c r="L180" s="604"/>
      <c r="M180" s="604"/>
      <c r="N180" s="604"/>
      <c r="O180" s="604"/>
      <c r="P180" s="604"/>
      <c r="Q180" s="604"/>
    </row>
    <row r="181" spans="1:23" s="724" customFormat="1" ht="12.75">
      <c r="A181" s="723"/>
      <c r="B181" s="604"/>
      <c r="C181" s="604"/>
      <c r="E181" s="604"/>
      <c r="F181" s="604"/>
      <c r="G181" s="604"/>
      <c r="H181" s="604"/>
      <c r="I181" s="604"/>
      <c r="J181" s="604"/>
      <c r="K181" s="604"/>
      <c r="L181" s="604"/>
      <c r="M181" s="604"/>
      <c r="N181" s="604"/>
      <c r="O181" s="604"/>
      <c r="P181" s="604"/>
      <c r="Q181" s="604"/>
    </row>
    <row r="182" spans="1:23" s="724" customFormat="1" ht="12.75">
      <c r="A182" s="723"/>
      <c r="B182" s="604"/>
      <c r="C182" s="604"/>
      <c r="E182" s="604"/>
      <c r="F182" s="604"/>
      <c r="G182" s="604"/>
      <c r="H182" s="604"/>
      <c r="I182" s="604"/>
      <c r="J182" s="604"/>
      <c r="K182" s="604"/>
      <c r="L182" s="604"/>
      <c r="M182" s="604"/>
      <c r="N182" s="604"/>
      <c r="O182" s="604"/>
      <c r="P182" s="604"/>
      <c r="Q182" s="604"/>
    </row>
    <row r="183" spans="1:23" s="724" customFormat="1" ht="12.75">
      <c r="A183" s="723"/>
      <c r="B183" s="604"/>
      <c r="C183" s="604"/>
      <c r="E183" s="604"/>
      <c r="F183" s="604"/>
      <c r="G183" s="604"/>
      <c r="H183" s="604"/>
      <c r="I183" s="604"/>
      <c r="J183" s="604"/>
      <c r="K183" s="604"/>
      <c r="L183" s="604"/>
      <c r="M183" s="604"/>
      <c r="N183" s="604"/>
      <c r="O183" s="604"/>
      <c r="P183" s="604"/>
      <c r="Q183" s="604"/>
    </row>
    <row r="184" spans="1:23">
      <c r="B184" s="821"/>
      <c r="C184" s="821"/>
      <c r="E184" s="821"/>
      <c r="F184" s="821"/>
      <c r="G184" s="821"/>
      <c r="H184" s="821"/>
      <c r="I184" s="821"/>
      <c r="J184" s="821"/>
      <c r="K184" s="821"/>
      <c r="L184" s="821"/>
      <c r="M184" s="821"/>
      <c r="N184" s="821"/>
      <c r="O184" s="821"/>
      <c r="P184" s="821"/>
      <c r="Q184" s="821"/>
      <c r="R184" s="822"/>
      <c r="S184" s="822"/>
      <c r="T184" s="822"/>
      <c r="U184" s="822"/>
      <c r="V184" s="822"/>
      <c r="W184" s="822"/>
    </row>
    <row r="185" spans="1:23">
      <c r="B185" s="821"/>
      <c r="C185" s="821"/>
      <c r="E185" s="821"/>
      <c r="F185" s="821"/>
      <c r="G185" s="821"/>
      <c r="H185" s="821"/>
      <c r="I185" s="821"/>
      <c r="J185" s="821"/>
      <c r="K185" s="821"/>
      <c r="L185" s="821"/>
      <c r="M185" s="821"/>
    </row>
    <row r="186" spans="1:23">
      <c r="B186" s="821"/>
      <c r="C186" s="821"/>
      <c r="E186" s="821"/>
      <c r="F186" s="821"/>
      <c r="G186" s="821"/>
      <c r="H186" s="821"/>
      <c r="I186" s="821"/>
      <c r="J186" s="821"/>
      <c r="K186" s="821"/>
      <c r="L186" s="821"/>
      <c r="M186" s="821"/>
    </row>
    <row r="187" spans="1:23">
      <c r="B187" s="821"/>
      <c r="C187" s="821"/>
      <c r="E187" s="821"/>
      <c r="F187" s="821"/>
      <c r="G187" s="821"/>
      <c r="H187" s="821"/>
      <c r="I187" s="821"/>
      <c r="J187" s="821"/>
      <c r="K187" s="821"/>
      <c r="L187" s="821"/>
      <c r="M187" s="821"/>
    </row>
  </sheetData>
  <mergeCells count="32">
    <mergeCell ref="B47:B49"/>
    <mergeCell ref="B7:C9"/>
    <mergeCell ref="B10:B11"/>
    <mergeCell ref="B12:B13"/>
    <mergeCell ref="B14:B16"/>
    <mergeCell ref="B17:B22"/>
    <mergeCell ref="B23:B28"/>
    <mergeCell ref="B29:B34"/>
    <mergeCell ref="B35:C35"/>
    <mergeCell ref="B40:C42"/>
    <mergeCell ref="B43:B44"/>
    <mergeCell ref="B45:B46"/>
    <mergeCell ref="B101:C101"/>
    <mergeCell ref="B50:B55"/>
    <mergeCell ref="B56:B61"/>
    <mergeCell ref="B62:B67"/>
    <mergeCell ref="B68:C68"/>
    <mergeCell ref="B73:C75"/>
    <mergeCell ref="B76:B77"/>
    <mergeCell ref="B78:B79"/>
    <mergeCell ref="B80:B82"/>
    <mergeCell ref="B83:B88"/>
    <mergeCell ref="B89:B94"/>
    <mergeCell ref="B95:B100"/>
    <mergeCell ref="B134:B137"/>
    <mergeCell ref="B142:C144"/>
    <mergeCell ref="B106:C108"/>
    <mergeCell ref="B109:B114"/>
    <mergeCell ref="B115:B120"/>
    <mergeCell ref="B121:B124"/>
    <mergeCell ref="B125:B128"/>
    <mergeCell ref="B130:B133"/>
  </mergeCells>
  <phoneticPr fontId="1" type="noConversion"/>
  <dataValidations count="1">
    <dataValidation type="decimal" operator="greaterThanOrEqual" showInputMessage="1" showErrorMessage="1" sqref="D43:M69 D10:M36 D76:M101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30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Index</vt:lpstr>
      <vt:lpstr>Inputs</vt:lpstr>
      <vt:lpstr>Allowed revenue -DPCR4</vt:lpstr>
      <vt:lpstr>FBPQ T4</vt:lpstr>
      <vt:lpstr>FBPQ LR1</vt:lpstr>
      <vt:lpstr>FBPQ LR1 - V5 opt3</vt:lpstr>
      <vt:lpstr>FBPQ LR4</vt:lpstr>
      <vt:lpstr>FBPQ LR6</vt:lpstr>
      <vt:lpstr>FBPQ NL1</vt:lpstr>
      <vt:lpstr>NL9 - Legal &amp; Safety</vt:lpstr>
      <vt:lpstr>FBPQ C2</vt:lpstr>
      <vt:lpstr>Reductions to net capex</vt:lpstr>
      <vt:lpstr>RRP 1.3</vt:lpstr>
      <vt:lpstr>RRP 2.3</vt:lpstr>
      <vt:lpstr>RRP 2.4</vt:lpstr>
      <vt:lpstr>RRP 2.6</vt:lpstr>
      <vt:lpstr>RRP 5.1</vt:lpstr>
      <vt:lpstr>Summary of revenue</vt:lpstr>
      <vt:lpstr>Data-MEAV</vt:lpstr>
      <vt:lpstr>Calc-MEAV</vt:lpstr>
      <vt:lpstr>Calc-Units</vt:lpstr>
      <vt:lpstr>Calc-Net capex</vt:lpstr>
      <vt:lpstr>Calc-Opex</vt:lpstr>
      <vt:lpstr>Calc-Drivers</vt:lpstr>
      <vt:lpstr>Calc-Allocation</vt:lpstr>
      <vt:lpstr>Calc-Summary</vt:lpstr>
      <vt:lpstr>EDCM discounts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Yeo, Simon M.</cp:lastModifiedBy>
  <cp:lastPrinted>2015-11-27T07:14:38Z</cp:lastPrinted>
  <dcterms:created xsi:type="dcterms:W3CDTF">2014-06-02T13:43:59Z</dcterms:created>
  <dcterms:modified xsi:type="dcterms:W3CDTF">2015-11-27T07:14:39Z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