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75" i="15" l="1"/>
  <c r="K40" i="14"/>
  <c r="K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P129" i="10"/>
  <c r="N129" i="10"/>
  <c r="M129" i="10"/>
  <c r="L129" i="10"/>
  <c r="H129" i="10"/>
  <c r="F129" i="10"/>
  <c r="E129" i="10"/>
  <c r="D129" i="10"/>
  <c r="S128" i="10"/>
  <c r="K128" i="10"/>
  <c r="C128" i="10"/>
  <c r="S127" i="10"/>
  <c r="K127" i="10"/>
  <c r="C127" i="10"/>
  <c r="S126" i="10"/>
  <c r="K126" i="10"/>
  <c r="C126" i="10"/>
  <c r="S125" i="10"/>
  <c r="S129" i="10" s="1"/>
  <c r="K125" i="10"/>
  <c r="K129" i="10" s="1"/>
  <c r="C125" i="10"/>
  <c r="C129" i="10" s="1"/>
  <c r="X120" i="10"/>
  <c r="W120" i="10"/>
  <c r="V120" i="10"/>
  <c r="U120" i="10"/>
  <c r="T120" i="10"/>
  <c r="S120" i="10"/>
  <c r="P120" i="10"/>
  <c r="O120" i="10"/>
  <c r="N120" i="10"/>
  <c r="M120" i="10"/>
  <c r="L120" i="10"/>
  <c r="K120" i="10"/>
  <c r="H120" i="10"/>
  <c r="F120" i="10"/>
  <c r="E120" i="10"/>
  <c r="D120" i="10"/>
  <c r="C120" i="10"/>
  <c r="X111" i="10"/>
  <c r="W111" i="10"/>
  <c r="V111" i="10"/>
  <c r="U111" i="10"/>
  <c r="T111" i="10"/>
  <c r="P111" i="10"/>
  <c r="O111" i="10"/>
  <c r="N111" i="10"/>
  <c r="M111" i="10"/>
  <c r="L111" i="10"/>
  <c r="H111" i="10"/>
  <c r="G111" i="10"/>
  <c r="F111" i="10"/>
  <c r="E111" i="10"/>
  <c r="D111" i="10"/>
  <c r="S110" i="10"/>
  <c r="G100" i="10" s="1"/>
  <c r="K110" i="10"/>
  <c r="F100" i="10" s="1"/>
  <c r="C110" i="10"/>
  <c r="S109" i="10"/>
  <c r="K109" i="10"/>
  <c r="C109" i="10"/>
  <c r="S108" i="10"/>
  <c r="K108" i="10"/>
  <c r="C108" i="10"/>
  <c r="D98" i="10" s="1"/>
  <c r="C98" i="10" s="1"/>
  <c r="S107" i="10"/>
  <c r="S111" i="10" s="1"/>
  <c r="K107" i="10"/>
  <c r="K111" i="10" s="1"/>
  <c r="C107" i="10"/>
  <c r="C111" i="10" s="1"/>
  <c r="E101" i="10"/>
  <c r="D100" i="10"/>
  <c r="C100" i="10"/>
  <c r="G99" i="10"/>
  <c r="F99" i="10"/>
  <c r="H99" i="10" s="1"/>
  <c r="D99" i="10"/>
  <c r="C99" i="10" s="1"/>
  <c r="G98" i="10"/>
  <c r="F98" i="10"/>
  <c r="H98" i="10" s="1"/>
  <c r="G97" i="10"/>
  <c r="G101" i="10" s="1"/>
  <c r="D97" i="10"/>
  <c r="C97"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P83" i="10"/>
  <c r="O83" i="10"/>
  <c r="N83" i="10"/>
  <c r="M83" i="10"/>
  <c r="L83" i="10"/>
  <c r="H83" i="10"/>
  <c r="G83" i="10"/>
  <c r="F83" i="10"/>
  <c r="E83" i="10"/>
  <c r="D83" i="10"/>
  <c r="S82" i="10"/>
  <c r="K82" i="10"/>
  <c r="C82" i="10"/>
  <c r="S81" i="10"/>
  <c r="K81" i="10"/>
  <c r="C81" i="10"/>
  <c r="S80" i="10"/>
  <c r="K80" i="10"/>
  <c r="C80" i="10"/>
  <c r="S79" i="10"/>
  <c r="S83" i="10" s="1"/>
  <c r="K79" i="10"/>
  <c r="K83" i="10" s="1"/>
  <c r="C79" i="10"/>
  <c r="C83" i="10" s="1"/>
  <c r="X74" i="10"/>
  <c r="W74" i="10"/>
  <c r="V74" i="10"/>
  <c r="U74" i="10"/>
  <c r="T74" i="10"/>
  <c r="S74" i="10"/>
  <c r="P74" i="10"/>
  <c r="O74" i="10"/>
  <c r="N74" i="10"/>
  <c r="M74" i="10"/>
  <c r="L74" i="10"/>
  <c r="K74" i="10"/>
  <c r="H74" i="10"/>
  <c r="G74" i="10"/>
  <c r="F74" i="10"/>
  <c r="E74" i="10"/>
  <c r="D74" i="10"/>
  <c r="C74" i="10"/>
  <c r="X65" i="10"/>
  <c r="W65" i="10"/>
  <c r="V65" i="10"/>
  <c r="U65" i="10"/>
  <c r="T65" i="10"/>
  <c r="P65" i="10"/>
  <c r="O65" i="10"/>
  <c r="N65" i="10"/>
  <c r="M65" i="10"/>
  <c r="L65" i="10"/>
  <c r="H65" i="10"/>
  <c r="G65" i="10"/>
  <c r="F65" i="10"/>
  <c r="E65" i="10"/>
  <c r="D65" i="10"/>
  <c r="S64" i="10"/>
  <c r="K64" i="10"/>
  <c r="C64" i="10"/>
  <c r="S63" i="10"/>
  <c r="K63" i="10"/>
  <c r="C63" i="10"/>
  <c r="S62" i="10"/>
  <c r="K62" i="10"/>
  <c r="C62" i="10"/>
  <c r="S61" i="10"/>
  <c r="S65" i="10" s="1"/>
  <c r="K61" i="10"/>
  <c r="K65" i="10" s="1"/>
  <c r="C61" i="10"/>
  <c r="C65" i="10" s="1"/>
  <c r="H55" i="10"/>
  <c r="G55" i="10"/>
  <c r="F55" i="10"/>
  <c r="E55" i="10"/>
  <c r="D55" i="10"/>
  <c r="C55" i="10"/>
  <c r="M46" i="10"/>
  <c r="M10" i="10" s="1"/>
  <c r="M25" i="10" s="1"/>
  <c r="L46" i="10"/>
  <c r="K46" i="10"/>
  <c r="J46" i="10"/>
  <c r="J10" i="10" s="1"/>
  <c r="J25" i="10" s="1"/>
  <c r="I46" i="10"/>
  <c r="I10" i="10" s="1"/>
  <c r="I25" i="10" s="1"/>
  <c r="H46" i="10"/>
  <c r="G46" i="10"/>
  <c r="F46" i="10"/>
  <c r="F10" i="10" s="1"/>
  <c r="F25" i="10" s="1"/>
  <c r="E46" i="10"/>
  <c r="E10" i="10" s="1"/>
  <c r="E25" i="10" s="1"/>
  <c r="D46" i="10"/>
  <c r="M37" i="10"/>
  <c r="L37" i="10"/>
  <c r="K37" i="10"/>
  <c r="J37" i="10"/>
  <c r="I37" i="10"/>
  <c r="H37" i="10"/>
  <c r="G37" i="10"/>
  <c r="F37" i="10"/>
  <c r="E37" i="10"/>
  <c r="D37" i="10"/>
  <c r="L10" i="10"/>
  <c r="L25" i="10" s="1"/>
  <c r="K10" i="10"/>
  <c r="K25" i="10" s="1"/>
  <c r="H10" i="10"/>
  <c r="H25" i="10" s="1"/>
  <c r="G10" i="10"/>
  <c r="G25" i="10" s="1"/>
  <c r="D10" i="10"/>
  <c r="D25" i="10" s="1"/>
  <c r="S153" i="9"/>
  <c r="Q153" i="9"/>
  <c r="T153" i="9" s="1"/>
  <c r="P153" i="9"/>
  <c r="O153" i="9"/>
  <c r="T152" i="9"/>
  <c r="S152" i="9"/>
  <c r="Q152" i="9"/>
  <c r="P152" i="9"/>
  <c r="O152" i="9"/>
  <c r="S151" i="9"/>
  <c r="Q151" i="9"/>
  <c r="T151" i="9" s="1"/>
  <c r="P151" i="9"/>
  <c r="O151" i="9"/>
  <c r="S148" i="9"/>
  <c r="Q148" i="9"/>
  <c r="T148" i="9" s="1"/>
  <c r="P148" i="9"/>
  <c r="O148" i="9"/>
  <c r="T147" i="9"/>
  <c r="S147" i="9"/>
  <c r="Q147" i="9"/>
  <c r="P147" i="9"/>
  <c r="O147" i="9"/>
  <c r="T146" i="9"/>
  <c r="S146" i="9"/>
  <c r="Q146" i="9"/>
  <c r="P146" i="9"/>
  <c r="O146" i="9"/>
  <c r="S138" i="9"/>
  <c r="Q138" i="9"/>
  <c r="T138" i="9" s="1"/>
  <c r="P138" i="9"/>
  <c r="O138" i="9"/>
  <c r="S137" i="9"/>
  <c r="Q137" i="9"/>
  <c r="T137" i="9" s="1"/>
  <c r="P137" i="9"/>
  <c r="O137" i="9"/>
  <c r="T136" i="9"/>
  <c r="S136" i="9"/>
  <c r="Q136" i="9"/>
  <c r="P136" i="9"/>
  <c r="O136" i="9"/>
  <c r="T135" i="9"/>
  <c r="S135" i="9"/>
  <c r="Q135" i="9"/>
  <c r="P135" i="9"/>
  <c r="O135" i="9"/>
  <c r="S134" i="9"/>
  <c r="Q134" i="9"/>
  <c r="T134" i="9" s="1"/>
  <c r="P134" i="9"/>
  <c r="O134" i="9"/>
  <c r="S133" i="9"/>
  <c r="Q133" i="9"/>
  <c r="T133" i="9" s="1"/>
  <c r="P133" i="9"/>
  <c r="O133" i="9"/>
  <c r="T132" i="9"/>
  <c r="S132" i="9"/>
  <c r="Q132" i="9"/>
  <c r="P132" i="9"/>
  <c r="O132" i="9"/>
  <c r="T131" i="9"/>
  <c r="S131" i="9"/>
  <c r="Q131" i="9"/>
  <c r="P131" i="9"/>
  <c r="O131" i="9"/>
  <c r="S130" i="9"/>
  <c r="Q130" i="9"/>
  <c r="T130" i="9" s="1"/>
  <c r="P130" i="9"/>
  <c r="O130" i="9"/>
  <c r="S129" i="9"/>
  <c r="Q129" i="9"/>
  <c r="T129" i="9" s="1"/>
  <c r="P129" i="9"/>
  <c r="O129" i="9"/>
  <c r="T128" i="9"/>
  <c r="S128" i="9"/>
  <c r="Q128" i="9"/>
  <c r="P128" i="9"/>
  <c r="O128" i="9"/>
  <c r="T127" i="9"/>
  <c r="S127" i="9"/>
  <c r="Q127" i="9"/>
  <c r="P127" i="9"/>
  <c r="O127" i="9"/>
  <c r="S126" i="9"/>
  <c r="Q126" i="9"/>
  <c r="T126" i="9" s="1"/>
  <c r="P126" i="9"/>
  <c r="O126" i="9"/>
  <c r="S125" i="9"/>
  <c r="Q125" i="9"/>
  <c r="T125" i="9" s="1"/>
  <c r="P125" i="9"/>
  <c r="O125" i="9"/>
  <c r="S124" i="9"/>
  <c r="T124" i="9" s="1"/>
  <c r="Q124" i="9"/>
  <c r="P124" i="9"/>
  <c r="O124" i="9"/>
  <c r="T123" i="9"/>
  <c r="S123" i="9"/>
  <c r="Q123" i="9"/>
  <c r="P123" i="9"/>
  <c r="O123" i="9"/>
  <c r="S122" i="9"/>
  <c r="Q122" i="9"/>
  <c r="T122" i="9" s="1"/>
  <c r="P122" i="9"/>
  <c r="O122" i="9"/>
  <c r="S121" i="9"/>
  <c r="Q121" i="9"/>
  <c r="T121" i="9" s="1"/>
  <c r="P121" i="9"/>
  <c r="O121" i="9"/>
  <c r="S120" i="9"/>
  <c r="T120" i="9" s="1"/>
  <c r="Q120" i="9"/>
  <c r="P120" i="9"/>
  <c r="O120" i="9"/>
  <c r="T119" i="9"/>
  <c r="S119" i="9"/>
  <c r="Q119" i="9"/>
  <c r="P119" i="9"/>
  <c r="O119" i="9"/>
  <c r="S118" i="9"/>
  <c r="Q118" i="9"/>
  <c r="T118" i="9" s="1"/>
  <c r="P118" i="9"/>
  <c r="O118" i="9"/>
  <c r="S117" i="9"/>
  <c r="Q117" i="9"/>
  <c r="T117" i="9" s="1"/>
  <c r="P117" i="9"/>
  <c r="O117" i="9"/>
  <c r="T116" i="9"/>
  <c r="S116" i="9"/>
  <c r="Q116" i="9"/>
  <c r="P116" i="9"/>
  <c r="O116" i="9"/>
  <c r="T115" i="9"/>
  <c r="S115" i="9"/>
  <c r="Q115" i="9"/>
  <c r="P115" i="9"/>
  <c r="O115" i="9"/>
  <c r="S114" i="9"/>
  <c r="Q114" i="9"/>
  <c r="T114" i="9" s="1"/>
  <c r="P114" i="9"/>
  <c r="O114" i="9"/>
  <c r="S113" i="9"/>
  <c r="Q113" i="9"/>
  <c r="T113" i="9" s="1"/>
  <c r="P113" i="9"/>
  <c r="O113" i="9"/>
  <c r="T112" i="9"/>
  <c r="S112" i="9"/>
  <c r="Q112" i="9"/>
  <c r="P112" i="9"/>
  <c r="O112" i="9"/>
  <c r="T111" i="9"/>
  <c r="S111" i="9"/>
  <c r="Q111" i="9"/>
  <c r="P111" i="9"/>
  <c r="O111" i="9"/>
  <c r="S110" i="9"/>
  <c r="Q110" i="9"/>
  <c r="T110" i="9" s="1"/>
  <c r="P110" i="9"/>
  <c r="O110" i="9"/>
  <c r="S109" i="9"/>
  <c r="Q109" i="9"/>
  <c r="T109" i="9" s="1"/>
  <c r="P109" i="9"/>
  <c r="O109" i="9"/>
  <c r="T101" i="9"/>
  <c r="S101" i="9"/>
  <c r="Q101" i="9"/>
  <c r="P101" i="9"/>
  <c r="O101" i="9"/>
  <c r="T100" i="9"/>
  <c r="S100" i="9"/>
  <c r="Q100" i="9"/>
  <c r="P100" i="9"/>
  <c r="O100" i="9"/>
  <c r="S99" i="9"/>
  <c r="Q99" i="9"/>
  <c r="T99" i="9" s="1"/>
  <c r="P99" i="9"/>
  <c r="O99" i="9"/>
  <c r="S98" i="9"/>
  <c r="Q98" i="9"/>
  <c r="T98" i="9" s="1"/>
  <c r="P98" i="9"/>
  <c r="O98" i="9"/>
  <c r="T97" i="9"/>
  <c r="S97" i="9"/>
  <c r="Q97" i="9"/>
  <c r="P97" i="9"/>
  <c r="O97" i="9"/>
  <c r="T96" i="9"/>
  <c r="S96" i="9"/>
  <c r="Q96" i="9"/>
  <c r="P96" i="9"/>
  <c r="O96" i="9"/>
  <c r="S95" i="9"/>
  <c r="Q95" i="9"/>
  <c r="T95" i="9" s="1"/>
  <c r="P95" i="9"/>
  <c r="O95" i="9"/>
  <c r="S94" i="9"/>
  <c r="Q94" i="9"/>
  <c r="T94" i="9" s="1"/>
  <c r="P94" i="9"/>
  <c r="O94" i="9"/>
  <c r="T93" i="9"/>
  <c r="S93" i="9"/>
  <c r="Q93" i="9"/>
  <c r="P93" i="9"/>
  <c r="O93" i="9"/>
  <c r="T92" i="9"/>
  <c r="S92" i="9"/>
  <c r="Q92" i="9"/>
  <c r="P92" i="9"/>
  <c r="O92" i="9"/>
  <c r="S91" i="9"/>
  <c r="Q91" i="9"/>
  <c r="T91" i="9" s="1"/>
  <c r="P91" i="9"/>
  <c r="O91" i="9"/>
  <c r="S90" i="9"/>
  <c r="Q90" i="9"/>
  <c r="T90" i="9" s="1"/>
  <c r="P90" i="9"/>
  <c r="O90" i="9"/>
  <c r="T89" i="9"/>
  <c r="S89" i="9"/>
  <c r="Q89" i="9"/>
  <c r="P89" i="9"/>
  <c r="O89" i="9"/>
  <c r="T88" i="9"/>
  <c r="S88" i="9"/>
  <c r="Q88" i="9"/>
  <c r="P88" i="9"/>
  <c r="O88" i="9"/>
  <c r="S87" i="9"/>
  <c r="Q87" i="9"/>
  <c r="T87" i="9" s="1"/>
  <c r="P87" i="9"/>
  <c r="O87" i="9"/>
  <c r="S86" i="9"/>
  <c r="Q86" i="9"/>
  <c r="T86" i="9" s="1"/>
  <c r="P86" i="9"/>
  <c r="O86" i="9"/>
  <c r="T85" i="9"/>
  <c r="S85" i="9"/>
  <c r="Q85" i="9"/>
  <c r="P85" i="9"/>
  <c r="O85" i="9"/>
  <c r="T84" i="9"/>
  <c r="S84" i="9"/>
  <c r="Q84" i="9"/>
  <c r="P84" i="9"/>
  <c r="O84" i="9"/>
  <c r="S83" i="9"/>
  <c r="Q83" i="9"/>
  <c r="T83" i="9" s="1"/>
  <c r="P83" i="9"/>
  <c r="O83" i="9"/>
  <c r="S82" i="9"/>
  <c r="Q82" i="9"/>
  <c r="T82" i="9" s="1"/>
  <c r="P82" i="9"/>
  <c r="O82" i="9"/>
  <c r="T81" i="9"/>
  <c r="S81" i="9"/>
  <c r="Q81" i="9"/>
  <c r="P81" i="9"/>
  <c r="O81" i="9"/>
  <c r="T80" i="9"/>
  <c r="S80" i="9"/>
  <c r="Q80" i="9"/>
  <c r="P80" i="9"/>
  <c r="O80" i="9"/>
  <c r="S79" i="9"/>
  <c r="Q79" i="9"/>
  <c r="T79" i="9" s="1"/>
  <c r="P79" i="9"/>
  <c r="O79" i="9"/>
  <c r="S78" i="9"/>
  <c r="Q78" i="9"/>
  <c r="T78" i="9" s="1"/>
  <c r="P78" i="9"/>
  <c r="O78" i="9"/>
  <c r="T77" i="9"/>
  <c r="S77" i="9"/>
  <c r="Q77" i="9"/>
  <c r="P77" i="9"/>
  <c r="O77" i="9"/>
  <c r="T76" i="9"/>
  <c r="S76" i="9"/>
  <c r="Q76" i="9"/>
  <c r="P76" i="9"/>
  <c r="O76" i="9"/>
  <c r="S68" i="9"/>
  <c r="Q68" i="9"/>
  <c r="T68" i="9" s="1"/>
  <c r="P68" i="9"/>
  <c r="O68" i="9"/>
  <c r="S67" i="9"/>
  <c r="Q67" i="9"/>
  <c r="T67" i="9" s="1"/>
  <c r="P67" i="9"/>
  <c r="O67" i="9"/>
  <c r="S66" i="9"/>
  <c r="T66" i="9" s="1"/>
  <c r="Q66" i="9"/>
  <c r="P66" i="9"/>
  <c r="O66" i="9"/>
  <c r="T65" i="9"/>
  <c r="S65" i="9"/>
  <c r="Q65" i="9"/>
  <c r="P65" i="9"/>
  <c r="O65" i="9"/>
  <c r="S64" i="9"/>
  <c r="Q64" i="9"/>
  <c r="T64" i="9" s="1"/>
  <c r="P64" i="9"/>
  <c r="O64" i="9"/>
  <c r="S63" i="9"/>
  <c r="Q63" i="9"/>
  <c r="T63" i="9" s="1"/>
  <c r="P63" i="9"/>
  <c r="O63" i="9"/>
  <c r="S62" i="9"/>
  <c r="T62" i="9" s="1"/>
  <c r="Q62" i="9"/>
  <c r="P62" i="9"/>
  <c r="O62" i="9"/>
  <c r="T61" i="9"/>
  <c r="S61" i="9"/>
  <c r="Q61" i="9"/>
  <c r="P61" i="9"/>
  <c r="O61" i="9"/>
  <c r="S60" i="9"/>
  <c r="Q60" i="9"/>
  <c r="T60" i="9" s="1"/>
  <c r="P60" i="9"/>
  <c r="O60" i="9"/>
  <c r="S59" i="9"/>
  <c r="Q59" i="9"/>
  <c r="T59" i="9" s="1"/>
  <c r="P59" i="9"/>
  <c r="O59" i="9"/>
  <c r="T58" i="9"/>
  <c r="S58" i="9"/>
  <c r="Q58" i="9"/>
  <c r="P58" i="9"/>
  <c r="O58" i="9"/>
  <c r="T57" i="9"/>
  <c r="S57" i="9"/>
  <c r="Q57" i="9"/>
  <c r="P57" i="9"/>
  <c r="O57" i="9"/>
  <c r="S56" i="9"/>
  <c r="Q56" i="9"/>
  <c r="T56" i="9" s="1"/>
  <c r="P56" i="9"/>
  <c r="O56" i="9"/>
  <c r="S55" i="9"/>
  <c r="Q55" i="9"/>
  <c r="T55" i="9" s="1"/>
  <c r="P55" i="9"/>
  <c r="O55" i="9"/>
  <c r="S54" i="9"/>
  <c r="T54" i="9" s="1"/>
  <c r="Q54" i="9"/>
  <c r="P54" i="9"/>
  <c r="O54" i="9"/>
  <c r="T53" i="9"/>
  <c r="S53" i="9"/>
  <c r="Q53" i="9"/>
  <c r="P53" i="9"/>
  <c r="O53" i="9"/>
  <c r="S52" i="9"/>
  <c r="Q52" i="9"/>
  <c r="T52" i="9" s="1"/>
  <c r="P52" i="9"/>
  <c r="O52" i="9"/>
  <c r="S51" i="9"/>
  <c r="Q51" i="9"/>
  <c r="T51" i="9" s="1"/>
  <c r="P51" i="9"/>
  <c r="O51" i="9"/>
  <c r="S50" i="9"/>
  <c r="T50" i="9" s="1"/>
  <c r="Q50" i="9"/>
  <c r="P50" i="9"/>
  <c r="O50" i="9"/>
  <c r="T49" i="9"/>
  <c r="S49" i="9"/>
  <c r="Q49" i="9"/>
  <c r="P49" i="9"/>
  <c r="O49" i="9"/>
  <c r="S48" i="9"/>
  <c r="Q48" i="9"/>
  <c r="T48" i="9" s="1"/>
  <c r="P48" i="9"/>
  <c r="O48" i="9"/>
  <c r="S47" i="9"/>
  <c r="Q47" i="9"/>
  <c r="T47" i="9" s="1"/>
  <c r="P47" i="9"/>
  <c r="O47" i="9"/>
  <c r="S46" i="9"/>
  <c r="T46" i="9" s="1"/>
  <c r="Q46" i="9"/>
  <c r="P46" i="9"/>
  <c r="O46" i="9"/>
  <c r="T45" i="9"/>
  <c r="S45" i="9"/>
  <c r="Q45" i="9"/>
  <c r="P45" i="9"/>
  <c r="O45" i="9"/>
  <c r="S44" i="9"/>
  <c r="Q44" i="9"/>
  <c r="T44" i="9" s="1"/>
  <c r="P44" i="9"/>
  <c r="O44" i="9"/>
  <c r="S43" i="9"/>
  <c r="Q43" i="9"/>
  <c r="T43" i="9" s="1"/>
  <c r="P43" i="9"/>
  <c r="O43" i="9"/>
  <c r="S35" i="9"/>
  <c r="T35" i="9" s="1"/>
  <c r="Q35" i="9"/>
  <c r="P35" i="9"/>
  <c r="O35" i="9"/>
  <c r="T34" i="9"/>
  <c r="S34" i="9"/>
  <c r="Q34" i="9"/>
  <c r="P34" i="9"/>
  <c r="O34" i="9"/>
  <c r="S33" i="9"/>
  <c r="Q33" i="9"/>
  <c r="T33" i="9" s="1"/>
  <c r="P33" i="9"/>
  <c r="O33" i="9"/>
  <c r="S32" i="9"/>
  <c r="Q32" i="9"/>
  <c r="T32" i="9" s="1"/>
  <c r="P32" i="9"/>
  <c r="O32" i="9"/>
  <c r="T31" i="9"/>
  <c r="S31" i="9"/>
  <c r="Q31" i="9"/>
  <c r="P31" i="9"/>
  <c r="O31" i="9"/>
  <c r="T30" i="9"/>
  <c r="S30" i="9"/>
  <c r="Q30" i="9"/>
  <c r="P30" i="9"/>
  <c r="O30" i="9"/>
  <c r="S29" i="9"/>
  <c r="Q29" i="9"/>
  <c r="T29" i="9" s="1"/>
  <c r="P29" i="9"/>
  <c r="O29" i="9"/>
  <c r="S28" i="9"/>
  <c r="Q28" i="9"/>
  <c r="T28" i="9" s="1"/>
  <c r="P28" i="9"/>
  <c r="O28" i="9"/>
  <c r="S27" i="9"/>
  <c r="T27" i="9" s="1"/>
  <c r="Q27" i="9"/>
  <c r="P27" i="9"/>
  <c r="O27" i="9"/>
  <c r="T26" i="9"/>
  <c r="S26" i="9"/>
  <c r="Q26" i="9"/>
  <c r="P26" i="9"/>
  <c r="O26" i="9"/>
  <c r="S25" i="9"/>
  <c r="Q25" i="9"/>
  <c r="T25" i="9" s="1"/>
  <c r="P25" i="9"/>
  <c r="O25" i="9"/>
  <c r="S24" i="9"/>
  <c r="Q24" i="9"/>
  <c r="T24" i="9" s="1"/>
  <c r="P24" i="9"/>
  <c r="O24" i="9"/>
  <c r="S23" i="9"/>
  <c r="T23" i="9" s="1"/>
  <c r="Q23" i="9"/>
  <c r="P23" i="9"/>
  <c r="O23" i="9"/>
  <c r="T22" i="9"/>
  <c r="S22" i="9"/>
  <c r="Q22" i="9"/>
  <c r="P22" i="9"/>
  <c r="O22" i="9"/>
  <c r="S21" i="9"/>
  <c r="Q21" i="9"/>
  <c r="T21" i="9" s="1"/>
  <c r="P21" i="9"/>
  <c r="O21" i="9"/>
  <c r="S20" i="9"/>
  <c r="Q20" i="9"/>
  <c r="T20" i="9" s="1"/>
  <c r="P20" i="9"/>
  <c r="O20" i="9"/>
  <c r="T19" i="9"/>
  <c r="S19" i="9"/>
  <c r="Q19" i="9"/>
  <c r="P19" i="9"/>
  <c r="O19" i="9"/>
  <c r="T18" i="9"/>
  <c r="S18" i="9"/>
  <c r="Q18" i="9"/>
  <c r="P18" i="9"/>
  <c r="O18" i="9"/>
  <c r="S17" i="9"/>
  <c r="Q17" i="9"/>
  <c r="T17" i="9" s="1"/>
  <c r="P17" i="9"/>
  <c r="O17" i="9"/>
  <c r="S16" i="9"/>
  <c r="Q16" i="9"/>
  <c r="T16" i="9" s="1"/>
  <c r="P16" i="9"/>
  <c r="O16" i="9"/>
  <c r="S15" i="9"/>
  <c r="T15" i="9" s="1"/>
  <c r="Q15" i="9"/>
  <c r="P15" i="9"/>
  <c r="O15" i="9"/>
  <c r="T14" i="9"/>
  <c r="S14" i="9"/>
  <c r="Q14" i="9"/>
  <c r="P14" i="9"/>
  <c r="O14" i="9"/>
  <c r="S13" i="9"/>
  <c r="Q13" i="9"/>
  <c r="T13" i="9" s="1"/>
  <c r="P13" i="9"/>
  <c r="O13" i="9"/>
  <c r="S12" i="9"/>
  <c r="Q12" i="9"/>
  <c r="T12" i="9" s="1"/>
  <c r="P12" i="9"/>
  <c r="O12" i="9"/>
  <c r="S11" i="9"/>
  <c r="T11" i="9" s="1"/>
  <c r="Q11" i="9"/>
  <c r="P11" i="9"/>
  <c r="O11" i="9"/>
  <c r="T10" i="9"/>
  <c r="S10" i="9"/>
  <c r="Q10" i="9"/>
  <c r="P10" i="9"/>
  <c r="O10"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6" i="7"/>
  <c r="L36" i="7"/>
  <c r="M35" i="7"/>
  <c r="M37" i="7" s="1"/>
  <c r="L35" i="7"/>
  <c r="L37" i="7" s="1"/>
  <c r="M34" i="7"/>
  <c r="L34" i="7"/>
  <c r="K29" i="7"/>
  <c r="J29" i="7"/>
  <c r="I29" i="7"/>
  <c r="H29" i="7"/>
  <c r="G29" i="7"/>
  <c r="F29" i="7"/>
  <c r="E29" i="7"/>
  <c r="D29" i="7"/>
  <c r="M28" i="7"/>
  <c r="L28" i="7"/>
  <c r="M27" i="7"/>
  <c r="M29" i="7" s="1"/>
  <c r="L27" i="7"/>
  <c r="L29" i="7" s="1"/>
  <c r="M26" i="7"/>
  <c r="L26" i="7"/>
  <c r="M16" i="7"/>
  <c r="L16" i="7"/>
  <c r="K16" i="7"/>
  <c r="J16" i="7"/>
  <c r="I16" i="7"/>
  <c r="M126" i="5"/>
  <c r="L126" i="5"/>
  <c r="K126" i="5"/>
  <c r="J126" i="5"/>
  <c r="I126" i="5"/>
  <c r="C101" i="10" l="1"/>
  <c r="D101" i="10"/>
  <c r="H100" i="10"/>
  <c r="F97" i="10"/>
  <c r="H97" i="10" l="1"/>
  <c r="H101" i="10" s="1"/>
  <c r="F101" i="10"/>
  <c r="AN7" i="23" l="1"/>
  <c r="AM7" i="23"/>
  <c r="Z28" i="23"/>
  <c r="Z29" i="23"/>
  <c r="AQ29" i="23" s="1"/>
  <c r="Z30" i="23"/>
  <c r="Z31" i="23"/>
  <c r="Z32" i="23"/>
  <c r="Z33" i="23"/>
  <c r="Z34" i="23"/>
  <c r="Z35" i="23"/>
  <c r="Z36" i="23"/>
  <c r="Z37" i="23"/>
  <c r="AQ37" i="23" s="1"/>
  <c r="Z38" i="23"/>
  <c r="Z39" i="23"/>
  <c r="Z22" i="23"/>
  <c r="AQ22" i="23" s="1"/>
  <c r="Z23" i="23"/>
  <c r="AQ23" i="23" s="1"/>
  <c r="AC28" i="23"/>
  <c r="AC29" i="23"/>
  <c r="AC30" i="23"/>
  <c r="AC31" i="23"/>
  <c r="AT31" i="23" s="1"/>
  <c r="AC32" i="23"/>
  <c r="AC33" i="23"/>
  <c r="AC34" i="23"/>
  <c r="AC35" i="23"/>
  <c r="AT35" i="23" s="1"/>
  <c r="AC36" i="23"/>
  <c r="AC37" i="23"/>
  <c r="AC38" i="23"/>
  <c r="AC39" i="23"/>
  <c r="AT39" i="23" s="1"/>
  <c r="AC22" i="23"/>
  <c r="AC23" i="23"/>
  <c r="AT23" i="23" s="1"/>
  <c r="AA28" i="23"/>
  <c r="AR28" i="23" s="1"/>
  <c r="AA29" i="23"/>
  <c r="AR29" i="23" s="1"/>
  <c r="AA30" i="23"/>
  <c r="AA31" i="23"/>
  <c r="AR31" i="23" s="1"/>
  <c r="AA32" i="23"/>
  <c r="AR32" i="23" s="1"/>
  <c r="AA33" i="23"/>
  <c r="AR33" i="23" s="1"/>
  <c r="AA34" i="23"/>
  <c r="AA35" i="23"/>
  <c r="AR35" i="23" s="1"/>
  <c r="AA36" i="23"/>
  <c r="AR36" i="23" s="1"/>
  <c r="AA37" i="23"/>
  <c r="AR37" i="23" s="1"/>
  <c r="AA38" i="23"/>
  <c r="AA39" i="23"/>
  <c r="AR39" i="23" s="1"/>
  <c r="AA22" i="23"/>
  <c r="AR22" i="23" s="1"/>
  <c r="AA23" i="23"/>
  <c r="AR23" i="23" s="1"/>
  <c r="C5" i="27"/>
  <c r="D5" i="27"/>
  <c r="E5" i="27"/>
  <c r="F5" i="27"/>
  <c r="AB28" i="23"/>
  <c r="AB29" i="23"/>
  <c r="AS29" i="23" s="1"/>
  <c r="AB30" i="23"/>
  <c r="AS30" i="23" s="1"/>
  <c r="AB31" i="23"/>
  <c r="AS31" i="23" s="1"/>
  <c r="AB32" i="23"/>
  <c r="AB33" i="23"/>
  <c r="AS33" i="23" s="1"/>
  <c r="AB34" i="23"/>
  <c r="AS34" i="23" s="1"/>
  <c r="AB35" i="23"/>
  <c r="AS35" i="23" s="1"/>
  <c r="AB36" i="23"/>
  <c r="AB37" i="23"/>
  <c r="AS37" i="23" s="1"/>
  <c r="AB38" i="23"/>
  <c r="AS38" i="23" s="1"/>
  <c r="AB39" i="23"/>
  <c r="AB22" i="23"/>
  <c r="AB23" i="23"/>
  <c r="AS23" i="23" s="1"/>
  <c r="AD28" i="23"/>
  <c r="AU28" i="23" s="1"/>
  <c r="AD29" i="23"/>
  <c r="AU29" i="23" s="1"/>
  <c r="AD30" i="23"/>
  <c r="AD31" i="23"/>
  <c r="AD32" i="23"/>
  <c r="AU32" i="23" s="1"/>
  <c r="AD33" i="23"/>
  <c r="AU33" i="23" s="1"/>
  <c r="AD34" i="23"/>
  <c r="AD35" i="23"/>
  <c r="AD36" i="23"/>
  <c r="AU36" i="23" s="1"/>
  <c r="AD37" i="23"/>
  <c r="AU37" i="23" s="1"/>
  <c r="AD38" i="23"/>
  <c r="AD39" i="23"/>
  <c r="AU39" i="23" s="1"/>
  <c r="AD22" i="23"/>
  <c r="AU22" i="23" s="1"/>
  <c r="AD23" i="23"/>
  <c r="AU23" i="23" s="1"/>
  <c r="O31" i="25"/>
  <c r="P31" i="25"/>
  <c r="Q31" i="25"/>
  <c r="R31" i="25"/>
  <c r="S31" i="25"/>
  <c r="K5" i="22"/>
  <c r="O9" i="22"/>
  <c r="O6" i="22"/>
  <c r="O10" i="22"/>
  <c r="F61" i="25"/>
  <c r="F66" i="25" s="1"/>
  <c r="F62" i="25"/>
  <c r="F63" i="25"/>
  <c r="F64" i="25"/>
  <c r="F65" i="25"/>
  <c r="P65" i="25"/>
  <c r="G68" i="25"/>
  <c r="Q63" i="25" s="1"/>
  <c r="O8" i="22"/>
  <c r="O7" i="22"/>
  <c r="B5" i="22"/>
  <c r="A1" i="26" s="1"/>
  <c r="D37" i="23"/>
  <c r="I37" i="23" s="1"/>
  <c r="P66" i="25" s="1"/>
  <c r="O11" i="25"/>
  <c r="D18" i="25" s="1"/>
  <c r="O19" i="25"/>
  <c r="D19" i="25" s="1"/>
  <c r="O20" i="25"/>
  <c r="D20" i="25" s="1"/>
  <c r="O21" i="25"/>
  <c r="D21" i="25" s="1"/>
  <c r="S27" i="25"/>
  <c r="O36" i="25"/>
  <c r="O41" i="25" s="1"/>
  <c r="P36" i="25"/>
  <c r="P41" i="25" s="1"/>
  <c r="Q36" i="25"/>
  <c r="R36" i="25"/>
  <c r="S36" i="25"/>
  <c r="S41" i="25" s="1"/>
  <c r="O33" i="25"/>
  <c r="O34" i="25" s="1"/>
  <c r="P33" i="25"/>
  <c r="P34" i="25" s="1"/>
  <c r="Q33" i="25"/>
  <c r="R33" i="25"/>
  <c r="S33" i="25"/>
  <c r="S34" i="25" s="1"/>
  <c r="O16" i="25"/>
  <c r="O18" i="25"/>
  <c r="D12" i="25" s="1"/>
  <c r="O22" i="25"/>
  <c r="D13" i="25" s="1"/>
  <c r="O23" i="25"/>
  <c r="D14" i="25" s="1"/>
  <c r="C50" i="22"/>
  <c r="C51" i="22"/>
  <c r="F39" i="22"/>
  <c r="I39" i="22"/>
  <c r="C49" i="22"/>
  <c r="F49" i="22"/>
  <c r="F42" i="22"/>
  <c r="I42" i="22"/>
  <c r="C52" i="22"/>
  <c r="F52" i="22"/>
  <c r="F21" i="22"/>
  <c r="L6" i="22" s="1"/>
  <c r="F22" i="22"/>
  <c r="F43" i="22"/>
  <c r="I43" i="22"/>
  <c r="C53" i="22"/>
  <c r="F53" i="22"/>
  <c r="E81" i="19"/>
  <c r="H81" i="19"/>
  <c r="E82" i="19"/>
  <c r="H82" i="19"/>
  <c r="E83" i="19"/>
  <c r="H83" i="19"/>
  <c r="E84" i="19"/>
  <c r="H84" i="19"/>
  <c r="E85" i="19"/>
  <c r="H85" i="19"/>
  <c r="E86" i="19"/>
  <c r="H86" i="19"/>
  <c r="E87" i="19"/>
  <c r="H87" i="19"/>
  <c r="E88" i="19"/>
  <c r="H88" i="19"/>
  <c r="E89" i="19"/>
  <c r="H89" i="19"/>
  <c r="E90" i="19"/>
  <c r="H90" i="19"/>
  <c r="E91" i="19"/>
  <c r="H91" i="19"/>
  <c r="E92" i="19"/>
  <c r="H92" i="19"/>
  <c r="E93" i="19"/>
  <c r="H93" i="19"/>
  <c r="E94" i="19"/>
  <c r="H94" i="19"/>
  <c r="E95" i="19"/>
  <c r="H95" i="19"/>
  <c r="E96" i="19"/>
  <c r="H96" i="19"/>
  <c r="E97" i="19"/>
  <c r="H97" i="19"/>
  <c r="E98" i="19"/>
  <c r="H98" i="19"/>
  <c r="E99" i="19"/>
  <c r="H99" i="19"/>
  <c r="E100" i="19"/>
  <c r="H100" i="19"/>
  <c r="E101" i="19"/>
  <c r="H101" i="19"/>
  <c r="E102" i="19"/>
  <c r="H102" i="19"/>
  <c r="E103" i="19"/>
  <c r="H103" i="19"/>
  <c r="E104" i="19"/>
  <c r="H104" i="19"/>
  <c r="E105" i="19"/>
  <c r="H105" i="19"/>
  <c r="E106" i="19"/>
  <c r="H106" i="19"/>
  <c r="E107" i="19"/>
  <c r="H107" i="19"/>
  <c r="E108" i="19"/>
  <c r="H108" i="19"/>
  <c r="E109" i="19"/>
  <c r="H109" i="19"/>
  <c r="E110" i="19"/>
  <c r="H110" i="19"/>
  <c r="E111" i="19"/>
  <c r="H111" i="19"/>
  <c r="E112" i="19"/>
  <c r="H112" i="19"/>
  <c r="E113" i="19"/>
  <c r="H113" i="19"/>
  <c r="E114" i="19"/>
  <c r="H114" i="19"/>
  <c r="E115" i="19"/>
  <c r="H115" i="19"/>
  <c r="E116" i="19"/>
  <c r="H116" i="19"/>
  <c r="E117" i="19"/>
  <c r="H117" i="19"/>
  <c r="E118" i="19"/>
  <c r="H118" i="19"/>
  <c r="E119" i="19"/>
  <c r="H119" i="19"/>
  <c r="E120" i="19"/>
  <c r="H120" i="19"/>
  <c r="E149" i="19"/>
  <c r="H149" i="19"/>
  <c r="E150" i="19"/>
  <c r="H150" i="19"/>
  <c r="E20" i="19"/>
  <c r="H20" i="19"/>
  <c r="E21" i="19"/>
  <c r="H21" i="19"/>
  <c r="E22" i="19"/>
  <c r="H22" i="19"/>
  <c r="E23" i="19"/>
  <c r="H23" i="19"/>
  <c r="E24" i="19"/>
  <c r="H24" i="19"/>
  <c r="E25" i="19"/>
  <c r="H25" i="19"/>
  <c r="E26" i="19"/>
  <c r="H26" i="19"/>
  <c r="E27" i="19"/>
  <c r="H27" i="19"/>
  <c r="E28" i="19"/>
  <c r="H28" i="19"/>
  <c r="E29" i="19"/>
  <c r="H29" i="19"/>
  <c r="E30" i="19"/>
  <c r="H30" i="19"/>
  <c r="E31" i="19"/>
  <c r="H31" i="19"/>
  <c r="E32" i="19"/>
  <c r="H32" i="19"/>
  <c r="E33" i="19"/>
  <c r="H33" i="19"/>
  <c r="E34" i="19"/>
  <c r="H34" i="19"/>
  <c r="E35" i="19"/>
  <c r="H35" i="19"/>
  <c r="E36" i="19"/>
  <c r="H36" i="19"/>
  <c r="E37" i="19"/>
  <c r="H37" i="19"/>
  <c r="E38" i="19"/>
  <c r="H38" i="19"/>
  <c r="E39" i="19"/>
  <c r="H39" i="19"/>
  <c r="E62" i="19"/>
  <c r="H62" i="19"/>
  <c r="E63" i="19"/>
  <c r="H63" i="19"/>
  <c r="E69" i="19"/>
  <c r="H69" i="19"/>
  <c r="E70" i="19"/>
  <c r="H70" i="19"/>
  <c r="E75" i="19"/>
  <c r="H75" i="19"/>
  <c r="E76" i="19"/>
  <c r="H76" i="19"/>
  <c r="E77" i="19"/>
  <c r="H77" i="19"/>
  <c r="E78" i="19"/>
  <c r="H78" i="19"/>
  <c r="E42" i="19"/>
  <c r="H42" i="19"/>
  <c r="E43" i="19"/>
  <c r="H43" i="19"/>
  <c r="E44" i="19"/>
  <c r="H44" i="19"/>
  <c r="E45" i="19"/>
  <c r="H45" i="19"/>
  <c r="E46" i="19"/>
  <c r="H46" i="19"/>
  <c r="E47" i="19"/>
  <c r="H47" i="19"/>
  <c r="E48" i="19"/>
  <c r="H48" i="19"/>
  <c r="E49" i="19"/>
  <c r="H49" i="19"/>
  <c r="E50" i="19"/>
  <c r="H50" i="19"/>
  <c r="E51" i="19"/>
  <c r="H51" i="19"/>
  <c r="E52" i="19"/>
  <c r="H52" i="19"/>
  <c r="E53" i="19"/>
  <c r="H53" i="19"/>
  <c r="E54" i="19"/>
  <c r="H54" i="19"/>
  <c r="E55" i="19"/>
  <c r="H55" i="19"/>
  <c r="E56" i="19"/>
  <c r="H56" i="19"/>
  <c r="E59" i="19"/>
  <c r="H59" i="19"/>
  <c r="E60" i="19"/>
  <c r="H60" i="19"/>
  <c r="E61" i="19"/>
  <c r="H61" i="19"/>
  <c r="E64" i="19"/>
  <c r="H64" i="19"/>
  <c r="E65" i="19"/>
  <c r="H65" i="19"/>
  <c r="E66" i="19"/>
  <c r="H66" i="19"/>
  <c r="E67" i="19"/>
  <c r="H67" i="19"/>
  <c r="E68" i="19"/>
  <c r="H68" i="19"/>
  <c r="E71" i="19"/>
  <c r="H71" i="19"/>
  <c r="E72" i="19"/>
  <c r="H72" i="19"/>
  <c r="E158" i="19"/>
  <c r="H158" i="19"/>
  <c r="E159" i="19"/>
  <c r="G159" i="19" s="1"/>
  <c r="H159" i="19"/>
  <c r="I159" i="19"/>
  <c r="E160" i="19"/>
  <c r="H160" i="19"/>
  <c r="E161" i="19"/>
  <c r="G161" i="19" s="1"/>
  <c r="I161" i="19" s="1"/>
  <c r="H161" i="19"/>
  <c r="E162" i="19"/>
  <c r="H162" i="19"/>
  <c r="E163" i="19"/>
  <c r="G163" i="19" s="1"/>
  <c r="I163" i="19" s="1"/>
  <c r="H163" i="19"/>
  <c r="E153" i="19"/>
  <c r="H153" i="19"/>
  <c r="E154" i="19"/>
  <c r="H154" i="19"/>
  <c r="E121" i="19"/>
  <c r="H121" i="19"/>
  <c r="E122" i="19"/>
  <c r="H122" i="19"/>
  <c r="E123" i="19"/>
  <c r="H123" i="19"/>
  <c r="E124" i="19"/>
  <c r="H124" i="19"/>
  <c r="E125" i="19"/>
  <c r="H125" i="19"/>
  <c r="E126" i="19"/>
  <c r="H126" i="19"/>
  <c r="E127" i="19"/>
  <c r="H127" i="19"/>
  <c r="E128" i="19"/>
  <c r="H128" i="19"/>
  <c r="E129" i="19"/>
  <c r="H129" i="19"/>
  <c r="E130" i="19"/>
  <c r="H130" i="19"/>
  <c r="E131" i="19"/>
  <c r="H131" i="19"/>
  <c r="E132" i="19"/>
  <c r="H132" i="19"/>
  <c r="E133" i="19"/>
  <c r="H133" i="19"/>
  <c r="E134" i="19"/>
  <c r="H134" i="19"/>
  <c r="E135" i="19"/>
  <c r="H135" i="19"/>
  <c r="E136" i="19"/>
  <c r="H136" i="19"/>
  <c r="E137" i="19"/>
  <c r="H137" i="19"/>
  <c r="E138" i="19"/>
  <c r="H138" i="19"/>
  <c r="E139" i="19"/>
  <c r="H139" i="19"/>
  <c r="E140" i="19"/>
  <c r="H140" i="19"/>
  <c r="E141" i="19"/>
  <c r="H141" i="19"/>
  <c r="E142" i="19"/>
  <c r="H142" i="19"/>
  <c r="E143" i="19"/>
  <c r="H143" i="19"/>
  <c r="E144" i="19"/>
  <c r="H144" i="19"/>
  <c r="E145" i="19"/>
  <c r="H145" i="19"/>
  <c r="E146" i="19"/>
  <c r="H146" i="19"/>
  <c r="D8" i="23"/>
  <c r="E8" i="23"/>
  <c r="F8" i="23"/>
  <c r="G8" i="23"/>
  <c r="H8" i="23"/>
  <c r="D9" i="23"/>
  <c r="I9" i="23" s="1"/>
  <c r="D10" i="23"/>
  <c r="E10" i="23"/>
  <c r="F10" i="23"/>
  <c r="G10" i="23"/>
  <c r="H10" i="23"/>
  <c r="D11" i="23"/>
  <c r="E11" i="23"/>
  <c r="F11" i="23"/>
  <c r="G11" i="23"/>
  <c r="H11" i="23"/>
  <c r="D12" i="23"/>
  <c r="E12" i="23"/>
  <c r="F12" i="23"/>
  <c r="H12" i="23"/>
  <c r="D13" i="23"/>
  <c r="I13" i="23" s="1"/>
  <c r="D14" i="23"/>
  <c r="I14" i="23" s="1"/>
  <c r="D15" i="23"/>
  <c r="I15" i="23" s="1"/>
  <c r="D16" i="23"/>
  <c r="I16" i="23" s="1"/>
  <c r="D17" i="23"/>
  <c r="I17" i="23" s="1"/>
  <c r="D18" i="23"/>
  <c r="I18" i="23" s="1"/>
  <c r="D19" i="23"/>
  <c r="I19" i="23" s="1"/>
  <c r="D20" i="23"/>
  <c r="I20" i="23" s="1"/>
  <c r="D21" i="23"/>
  <c r="I21" i="23" s="1"/>
  <c r="D24" i="23"/>
  <c r="I24" i="23" s="1"/>
  <c r="D25" i="23"/>
  <c r="I25" i="23" s="1"/>
  <c r="D26" i="23"/>
  <c r="I26" i="23" s="1"/>
  <c r="D27" i="23"/>
  <c r="I27" i="23" s="1"/>
  <c r="AQ28" i="23"/>
  <c r="AQ30" i="23"/>
  <c r="AQ31" i="23"/>
  <c r="AQ32" i="23"/>
  <c r="AQ34" i="23"/>
  <c r="AQ35" i="23"/>
  <c r="AQ36" i="23"/>
  <c r="AQ38" i="23"/>
  <c r="AQ39" i="23"/>
  <c r="AR30" i="23"/>
  <c r="AR34" i="23"/>
  <c r="AR38" i="23"/>
  <c r="AS22" i="23"/>
  <c r="AS28" i="23"/>
  <c r="AS32" i="23"/>
  <c r="AS36" i="23"/>
  <c r="AT22" i="23"/>
  <c r="AT28" i="23"/>
  <c r="AT29" i="23"/>
  <c r="AT30" i="23"/>
  <c r="AT32" i="23"/>
  <c r="AT33" i="23"/>
  <c r="AT34" i="23"/>
  <c r="AT36" i="23"/>
  <c r="AT37" i="23"/>
  <c r="AT38" i="23"/>
  <c r="AU30" i="23"/>
  <c r="AU31" i="23"/>
  <c r="AU34" i="23"/>
  <c r="AU35" i="23"/>
  <c r="AU38" i="23"/>
  <c r="P16" i="25"/>
  <c r="E12" i="25" s="1"/>
  <c r="E15" i="25" s="1"/>
  <c r="P18" i="25"/>
  <c r="P22" i="25"/>
  <c r="E13" i="25" s="1"/>
  <c r="Q16" i="25"/>
  <c r="G12" i="25" s="1"/>
  <c r="Q18" i="25"/>
  <c r="Q22" i="25"/>
  <c r="G13" i="25" s="1"/>
  <c r="R16" i="25"/>
  <c r="H12" i="25" s="1"/>
  <c r="H15" i="25" s="1"/>
  <c r="H28" i="25" s="1"/>
  <c r="R18" i="25"/>
  <c r="R22" i="25"/>
  <c r="H13" i="25" s="1"/>
  <c r="S16" i="25"/>
  <c r="S18" i="25"/>
  <c r="S22" i="25"/>
  <c r="I13" i="25" s="1"/>
  <c r="P11" i="25"/>
  <c r="E18" i="25" s="1"/>
  <c r="Q11" i="25"/>
  <c r="G18" i="25" s="1"/>
  <c r="R11" i="25"/>
  <c r="H18" i="25" s="1"/>
  <c r="S11" i="25"/>
  <c r="I18" i="25" s="1"/>
  <c r="O29" i="25"/>
  <c r="P29" i="25" s="1"/>
  <c r="Q29" i="25" s="1"/>
  <c r="S19" i="25"/>
  <c r="I19" i="25" s="1"/>
  <c r="S20" i="25"/>
  <c r="I20" i="25" s="1"/>
  <c r="S21" i="25"/>
  <c r="I21" i="25" s="1"/>
  <c r="R19" i="25"/>
  <c r="H19" i="25"/>
  <c r="R20" i="25"/>
  <c r="H20" i="25" s="1"/>
  <c r="R21" i="25"/>
  <c r="H21" i="25"/>
  <c r="Q19" i="25"/>
  <c r="G19" i="25" s="1"/>
  <c r="Q20" i="25"/>
  <c r="G20" i="25" s="1"/>
  <c r="Q21" i="25"/>
  <c r="G21" i="25" s="1"/>
  <c r="P19" i="25"/>
  <c r="E19" i="25"/>
  <c r="P20" i="25"/>
  <c r="E20" i="25" s="1"/>
  <c r="P21" i="25"/>
  <c r="E21" i="25"/>
  <c r="D29"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G20" i="24"/>
  <c r="F20" i="24"/>
  <c r="D19" i="24"/>
  <c r="G19" i="24"/>
  <c r="F19" i="24"/>
  <c r="H18" i="24"/>
  <c r="A1" i="24"/>
  <c r="AN8" i="23"/>
  <c r="AN9" i="23"/>
  <c r="AN11" i="23"/>
  <c r="AN12" i="23"/>
  <c r="AN13" i="23"/>
  <c r="AN15" i="23"/>
  <c r="AN16" i="23"/>
  <c r="AN17" i="23"/>
  <c r="AN19" i="23"/>
  <c r="AN20" i="23"/>
  <c r="AN21" i="23"/>
  <c r="D22" i="23"/>
  <c r="AM22" i="23" s="1"/>
  <c r="D23" i="23"/>
  <c r="AN23" i="23" s="1"/>
  <c r="AN24" i="23"/>
  <c r="AN25" i="23"/>
  <c r="AN26" i="23"/>
  <c r="AN27" i="23"/>
  <c r="D28" i="23"/>
  <c r="I28" i="23" s="1"/>
  <c r="D29" i="23"/>
  <c r="AN29" i="23" s="1"/>
  <c r="D30" i="23"/>
  <c r="AM30" i="23" s="1"/>
  <c r="D31" i="23"/>
  <c r="AN31" i="23" s="1"/>
  <c r="D32" i="23"/>
  <c r="AM32" i="23" s="1"/>
  <c r="D33" i="23"/>
  <c r="AN33" i="23" s="1"/>
  <c r="D34" i="23"/>
  <c r="D35" i="23"/>
  <c r="AN35" i="23" s="1"/>
  <c r="D36" i="23"/>
  <c r="AM36" i="23" s="1"/>
  <c r="AN37" i="23"/>
  <c r="D38" i="23"/>
  <c r="AN38" i="23" s="1"/>
  <c r="D39" i="23"/>
  <c r="I39" i="23" s="1"/>
  <c r="AM8" i="23"/>
  <c r="AM9" i="23"/>
  <c r="AM10" i="23"/>
  <c r="AM11" i="23"/>
  <c r="AM12" i="23"/>
  <c r="AM14" i="23"/>
  <c r="AM15" i="23"/>
  <c r="AM16" i="23"/>
  <c r="AM18" i="23"/>
  <c r="AM19" i="23"/>
  <c r="AM20" i="23"/>
  <c r="AM24" i="23"/>
  <c r="AM25" i="23"/>
  <c r="AM26" i="23"/>
  <c r="AM37" i="23"/>
  <c r="O22" i="23"/>
  <c r="O23" i="23"/>
  <c r="O28" i="23"/>
  <c r="O29" i="23"/>
  <c r="O30" i="23"/>
  <c r="O31" i="23"/>
  <c r="O32" i="23"/>
  <c r="O33" i="23"/>
  <c r="O34" i="23"/>
  <c r="O35" i="23"/>
  <c r="O36" i="23"/>
  <c r="O37" i="23"/>
  <c r="I38" i="23"/>
  <c r="O38" i="23"/>
  <c r="O39" i="23"/>
  <c r="N22" i="23"/>
  <c r="N23" i="23"/>
  <c r="N28" i="23"/>
  <c r="N29" i="23"/>
  <c r="N30" i="23"/>
  <c r="N31" i="23"/>
  <c r="N32" i="23"/>
  <c r="N33" i="23"/>
  <c r="N34" i="23"/>
  <c r="N35" i="23"/>
  <c r="N36" i="23"/>
  <c r="N37" i="23"/>
  <c r="N38" i="23"/>
  <c r="N39" i="23"/>
  <c r="M22" i="23"/>
  <c r="M23" i="23"/>
  <c r="M28" i="23"/>
  <c r="M29" i="23"/>
  <c r="M30" i="23"/>
  <c r="M31" i="23"/>
  <c r="M32" i="23"/>
  <c r="M33" i="23"/>
  <c r="M34" i="23"/>
  <c r="M35" i="23"/>
  <c r="M36" i="23"/>
  <c r="M37" i="23"/>
  <c r="M38" i="23"/>
  <c r="M39" i="23"/>
  <c r="L22" i="23"/>
  <c r="L23" i="23"/>
  <c r="L28" i="23"/>
  <c r="L29" i="23"/>
  <c r="L30" i="23"/>
  <c r="L31" i="23"/>
  <c r="L32" i="23"/>
  <c r="L33" i="23"/>
  <c r="L34" i="23"/>
  <c r="L35" i="23"/>
  <c r="L36" i="23"/>
  <c r="L37" i="23"/>
  <c r="L38" i="23"/>
  <c r="L39" i="23"/>
  <c r="P39" i="23"/>
  <c r="P38" i="23"/>
  <c r="P37" i="23"/>
  <c r="P36" i="23"/>
  <c r="P35" i="23"/>
  <c r="P34" i="23"/>
  <c r="P33" i="23"/>
  <c r="P32" i="23"/>
  <c r="P31" i="23"/>
  <c r="P30" i="23"/>
  <c r="P29" i="23"/>
  <c r="P28" i="23"/>
  <c r="P23" i="23"/>
  <c r="P22" i="23"/>
  <c r="A1" i="23"/>
  <c r="C110" i="22"/>
  <c r="C100" i="22"/>
  <c r="C43" i="22" s="1"/>
  <c r="C99" i="22"/>
  <c r="C42" i="22" s="1"/>
  <c r="C98" i="22"/>
  <c r="C41" i="22" s="1"/>
  <c r="C97" i="22"/>
  <c r="C40" i="22" s="1"/>
  <c r="C96" i="22"/>
  <c r="C39" i="22" s="1"/>
  <c r="C90" i="22"/>
  <c r="C22" i="22" s="1"/>
  <c r="C89" i="22"/>
  <c r="C21" i="22" s="1"/>
  <c r="C88" i="22"/>
  <c r="C87" i="22"/>
  <c r="C19" i="22" s="1"/>
  <c r="C79" i="22"/>
  <c r="C78" i="22"/>
  <c r="C77" i="22"/>
  <c r="C76" i="22"/>
  <c r="I227" i="6"/>
  <c r="J227" i="6"/>
  <c r="K227" i="6"/>
  <c r="L227" i="6"/>
  <c r="M227" i="6"/>
  <c r="I250" i="6"/>
  <c r="J250" i="6"/>
  <c r="K250" i="6"/>
  <c r="L250" i="6"/>
  <c r="M250" i="6"/>
  <c r="C69" i="22"/>
  <c r="C68" i="22"/>
  <c r="C67" i="22"/>
  <c r="I53" i="22"/>
  <c r="I49" i="22"/>
  <c r="I52" i="22"/>
  <c r="F31" i="22"/>
  <c r="C31" i="22"/>
  <c r="F30" i="22"/>
  <c r="C30" i="22"/>
  <c r="F29" i="22"/>
  <c r="C29" i="22"/>
  <c r="F28" i="22"/>
  <c r="C28" i="22"/>
  <c r="I22" i="22"/>
  <c r="I21" i="22"/>
  <c r="I20" i="22"/>
  <c r="F20" i="22"/>
  <c r="C20" i="22"/>
  <c r="I19" i="22"/>
  <c r="F19" i="22"/>
  <c r="A1" i="22"/>
  <c r="B8" i="21"/>
  <c r="B5" i="21"/>
  <c r="B6" i="21"/>
  <c r="B22" i="21" s="1"/>
  <c r="B23" i="21" s="1"/>
  <c r="B7" i="21"/>
  <c r="A1" i="21"/>
  <c r="A1" i="20"/>
  <c r="E157" i="19"/>
  <c r="G157" i="19" s="1"/>
  <c r="I157" i="19" s="1"/>
  <c r="H157" i="19"/>
  <c r="E156" i="19"/>
  <c r="H156" i="19"/>
  <c r="E155" i="19"/>
  <c r="H155" i="19"/>
  <c r="E152" i="19"/>
  <c r="H152" i="19"/>
  <c r="E151" i="19"/>
  <c r="H151" i="19"/>
  <c r="E148" i="19"/>
  <c r="H148" i="19"/>
  <c r="E147" i="19"/>
  <c r="H147" i="19"/>
  <c r="E80" i="19"/>
  <c r="H80" i="19"/>
  <c r="E79" i="19"/>
  <c r="H79" i="19"/>
  <c r="E74" i="19"/>
  <c r="H74" i="19"/>
  <c r="E73" i="19"/>
  <c r="H73" i="19"/>
  <c r="E58" i="19"/>
  <c r="H58" i="19"/>
  <c r="E57" i="19"/>
  <c r="H57" i="19"/>
  <c r="E41" i="19"/>
  <c r="H41" i="19"/>
  <c r="E40" i="19"/>
  <c r="H40" i="19"/>
  <c r="D240" i="6"/>
  <c r="E240" i="6"/>
  <c r="F240" i="6"/>
  <c r="G240" i="6"/>
  <c r="H240" i="6"/>
  <c r="I231" i="6"/>
  <c r="I235" i="6"/>
  <c r="I240" i="6" s="1"/>
  <c r="I239" i="6"/>
  <c r="J231" i="6"/>
  <c r="J235" i="6"/>
  <c r="J240" i="6" s="1"/>
  <c r="J11" i="6" s="1"/>
  <c r="J13" i="6" s="1"/>
  <c r="J239" i="6"/>
  <c r="K231" i="6"/>
  <c r="K235" i="6"/>
  <c r="K240" i="6" s="1"/>
  <c r="K11" i="6" s="1"/>
  <c r="K239" i="6"/>
  <c r="L231" i="6"/>
  <c r="L235" i="6"/>
  <c r="L240" i="6" s="1"/>
  <c r="L11" i="6" s="1"/>
  <c r="L13" i="6" s="1"/>
  <c r="L239" i="6"/>
  <c r="M231" i="6"/>
  <c r="M235" i="6"/>
  <c r="M240" i="6" s="1"/>
  <c r="M11" i="6" s="1"/>
  <c r="M239" i="6"/>
  <c r="D263" i="6"/>
  <c r="E263" i="6"/>
  <c r="F263" i="6"/>
  <c r="G263" i="6"/>
  <c r="H263" i="6"/>
  <c r="I254" i="6"/>
  <c r="I263" i="6" s="1"/>
  <c r="I12" i="6" s="1"/>
  <c r="I258" i="6"/>
  <c r="I262" i="6"/>
  <c r="J254" i="6"/>
  <c r="J263" i="6" s="1"/>
  <c r="J12" i="6" s="1"/>
  <c r="J258" i="6"/>
  <c r="J262" i="6"/>
  <c r="K254" i="6"/>
  <c r="K263" i="6" s="1"/>
  <c r="K12" i="6" s="1"/>
  <c r="K258" i="6"/>
  <c r="K262" i="6"/>
  <c r="L254" i="6"/>
  <c r="L263" i="6" s="1"/>
  <c r="L12" i="6" s="1"/>
  <c r="L258" i="6"/>
  <c r="L262" i="6"/>
  <c r="M254" i="6"/>
  <c r="M263" i="6" s="1"/>
  <c r="M12" i="6" s="1"/>
  <c r="M258" i="6"/>
  <c r="M262" i="6"/>
  <c r="Q250" i="6"/>
  <c r="Q254" i="6"/>
  <c r="Q263" i="6" s="1"/>
  <c r="T263" i="6" s="1"/>
  <c r="Q258" i="6"/>
  <c r="Q262" i="6"/>
  <c r="T262" i="6" s="1"/>
  <c r="S250" i="6"/>
  <c r="S254" i="6"/>
  <c r="S263" i="6" s="1"/>
  <c r="S258" i="6"/>
  <c r="S262" i="6"/>
  <c r="P250" i="6"/>
  <c r="P254" i="6"/>
  <c r="P258" i="6"/>
  <c r="P262" i="6"/>
  <c r="P263" i="6"/>
  <c r="O250" i="6"/>
  <c r="O254" i="6"/>
  <c r="O263" i="6" s="1"/>
  <c r="O258" i="6"/>
  <c r="O262" i="6"/>
  <c r="T258" i="6"/>
  <c r="T254" i="6"/>
  <c r="T250" i="6"/>
  <c r="Q227" i="6"/>
  <c r="Q231" i="6"/>
  <c r="Q235" i="6"/>
  <c r="Q240" i="6" s="1"/>
  <c r="T240" i="6" s="1"/>
  <c r="Q239" i="6"/>
  <c r="S227" i="6"/>
  <c r="S231" i="6"/>
  <c r="S239" i="6"/>
  <c r="P227" i="6"/>
  <c r="P231" i="6"/>
  <c r="P240" i="6" s="1"/>
  <c r="P235" i="6"/>
  <c r="P239" i="6"/>
  <c r="O227" i="6"/>
  <c r="O231" i="6"/>
  <c r="O235" i="6"/>
  <c r="O240" i="6" s="1"/>
  <c r="O239" i="6"/>
  <c r="T239" i="6"/>
  <c r="T235" i="6"/>
  <c r="T231" i="6"/>
  <c r="T227" i="6"/>
  <c r="Q192" i="6"/>
  <c r="Q200" i="6"/>
  <c r="Q217" i="6" s="1"/>
  <c r="T217" i="6" s="1"/>
  <c r="Q208" i="6"/>
  <c r="Q216" i="6"/>
  <c r="I192" i="6"/>
  <c r="J192" i="6"/>
  <c r="J217" i="6" s="1"/>
  <c r="K192" i="6"/>
  <c r="L192" i="6"/>
  <c r="L217" i="6" s="1"/>
  <c r="M192" i="6"/>
  <c r="I200" i="6"/>
  <c r="J200" i="6"/>
  <c r="K200" i="6"/>
  <c r="L200" i="6"/>
  <c r="M200" i="6"/>
  <c r="S200" i="6"/>
  <c r="I208" i="6"/>
  <c r="J208" i="6"/>
  <c r="K208" i="6"/>
  <c r="L208" i="6"/>
  <c r="S208" i="6" s="1"/>
  <c r="M208" i="6"/>
  <c r="I216" i="6"/>
  <c r="J216" i="6"/>
  <c r="K216" i="6"/>
  <c r="L216" i="6"/>
  <c r="M216" i="6"/>
  <c r="S216" i="6"/>
  <c r="P192" i="6"/>
  <c r="P200" i="6"/>
  <c r="P208" i="6"/>
  <c r="P217" i="6" s="1"/>
  <c r="P216" i="6"/>
  <c r="O192" i="6"/>
  <c r="O200" i="6"/>
  <c r="O217" i="6" s="1"/>
  <c r="O208" i="6"/>
  <c r="O216" i="6"/>
  <c r="M217" i="6"/>
  <c r="K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8" i="6" s="1"/>
  <c r="T178" i="6" s="1"/>
  <c r="Q177" i="6"/>
  <c r="I153" i="6"/>
  <c r="S153" i="6" s="1"/>
  <c r="S178" i="6" s="1"/>
  <c r="J153" i="6"/>
  <c r="K153" i="6"/>
  <c r="K178" i="6" s="1"/>
  <c r="K10" i="6" s="1"/>
  <c r="L153" i="6"/>
  <c r="M153" i="6"/>
  <c r="M178" i="6" s="1"/>
  <c r="M10" i="6" s="1"/>
  <c r="I161" i="6"/>
  <c r="S161" i="6" s="1"/>
  <c r="J161" i="6"/>
  <c r="K161" i="6"/>
  <c r="L161" i="6"/>
  <c r="M161" i="6"/>
  <c r="I169" i="6"/>
  <c r="S169" i="6" s="1"/>
  <c r="J169" i="6"/>
  <c r="K169" i="6"/>
  <c r="L169" i="6"/>
  <c r="M169" i="6"/>
  <c r="I177" i="6"/>
  <c r="S177" i="6" s="1"/>
  <c r="J177" i="6"/>
  <c r="K177" i="6"/>
  <c r="L177" i="6"/>
  <c r="M177" i="6"/>
  <c r="P153" i="6"/>
  <c r="P161" i="6"/>
  <c r="P178" i="6" s="1"/>
  <c r="P169" i="6"/>
  <c r="P177" i="6"/>
  <c r="O153" i="6"/>
  <c r="O161" i="6"/>
  <c r="O169" i="6"/>
  <c r="O178" i="6" s="1"/>
  <c r="O177" i="6"/>
  <c r="L178" i="6"/>
  <c r="J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7" i="6" s="1"/>
  <c r="M130" i="6"/>
  <c r="M136" i="6"/>
  <c r="L118" i="6"/>
  <c r="L124" i="6"/>
  <c r="L130" i="6"/>
  <c r="L137" i="6" s="1"/>
  <c r="L136" i="6"/>
  <c r="K118" i="6"/>
  <c r="K124" i="6"/>
  <c r="K137" i="6" s="1"/>
  <c r="K130" i="6"/>
  <c r="K136" i="6"/>
  <c r="J118" i="6"/>
  <c r="J124" i="6"/>
  <c r="J130" i="6"/>
  <c r="J136" i="6"/>
  <c r="J137" i="6"/>
  <c r="I118" i="6"/>
  <c r="I124" i="6"/>
  <c r="I137" i="6" s="1"/>
  <c r="I130" i="6"/>
  <c r="I136" i="6"/>
  <c r="I74" i="6" s="1"/>
  <c r="H137" i="6"/>
  <c r="G137" i="6"/>
  <c r="F137" i="6"/>
  <c r="E137" i="6"/>
  <c r="D137" i="6"/>
  <c r="M87" i="6"/>
  <c r="M93" i="6"/>
  <c r="M106" i="6" s="1"/>
  <c r="M99" i="6"/>
  <c r="M105" i="6"/>
  <c r="L87" i="6"/>
  <c r="L93" i="6"/>
  <c r="L99" i="6"/>
  <c r="L105" i="6"/>
  <c r="L106" i="6"/>
  <c r="K87" i="6"/>
  <c r="K93" i="6"/>
  <c r="K106" i="6" s="1"/>
  <c r="K99" i="6"/>
  <c r="K105" i="6"/>
  <c r="K74" i="6" s="1"/>
  <c r="J87" i="6"/>
  <c r="J93" i="6"/>
  <c r="J99" i="6"/>
  <c r="J106" i="6" s="1"/>
  <c r="J105" i="6"/>
  <c r="I87" i="6"/>
  <c r="I93" i="6"/>
  <c r="I106" i="6" s="1"/>
  <c r="I99" i="6"/>
  <c r="I105" i="6"/>
  <c r="H106" i="6"/>
  <c r="G106" i="6"/>
  <c r="F106" i="6"/>
  <c r="E106" i="6"/>
  <c r="D106" i="6"/>
  <c r="M52" i="6"/>
  <c r="M53" i="6"/>
  <c r="M75" i="6" s="1"/>
  <c r="M54" i="6"/>
  <c r="M55" i="6"/>
  <c r="M58" i="6"/>
  <c r="M59" i="6"/>
  <c r="M60" i="6"/>
  <c r="M61" i="6"/>
  <c r="M64" i="6"/>
  <c r="M65" i="6"/>
  <c r="M66" i="6"/>
  <c r="M67" i="6"/>
  <c r="M70" i="6"/>
  <c r="M71" i="6"/>
  <c r="M72" i="6"/>
  <c r="M73" i="6"/>
  <c r="L52" i="6"/>
  <c r="L53" i="6"/>
  <c r="L54" i="6"/>
  <c r="L75" i="6" s="1"/>
  <c r="L55" i="6"/>
  <c r="L58" i="6"/>
  <c r="L59" i="6"/>
  <c r="L60" i="6"/>
  <c r="L61" i="6"/>
  <c r="L64" i="6"/>
  <c r="L65" i="6"/>
  <c r="L66" i="6"/>
  <c r="L67" i="6"/>
  <c r="L70" i="6"/>
  <c r="L71" i="6"/>
  <c r="L72" i="6"/>
  <c r="L73" i="6"/>
  <c r="K52" i="6"/>
  <c r="K53" i="6"/>
  <c r="K75" i="6" s="1"/>
  <c r="K54" i="6"/>
  <c r="K55" i="6"/>
  <c r="K58" i="6"/>
  <c r="K59" i="6"/>
  <c r="K60" i="6"/>
  <c r="K61" i="6"/>
  <c r="K64" i="6"/>
  <c r="K65" i="6"/>
  <c r="K66" i="6"/>
  <c r="K67" i="6"/>
  <c r="K70" i="6"/>
  <c r="K71" i="6"/>
  <c r="K72" i="6"/>
  <c r="K73" i="6"/>
  <c r="J52" i="6"/>
  <c r="J53" i="6"/>
  <c r="J54" i="6"/>
  <c r="J55" i="6"/>
  <c r="J58" i="6"/>
  <c r="J59" i="6"/>
  <c r="J60" i="6"/>
  <c r="J61" i="6"/>
  <c r="J64" i="6"/>
  <c r="J65" i="6"/>
  <c r="J66" i="6"/>
  <c r="J67" i="6"/>
  <c r="J70" i="6"/>
  <c r="J71" i="6"/>
  <c r="J72" i="6"/>
  <c r="J73" i="6"/>
  <c r="J75" i="6"/>
  <c r="I52" i="6"/>
  <c r="I53" i="6"/>
  <c r="I75" i="6" s="1"/>
  <c r="I54" i="6"/>
  <c r="I55" i="6"/>
  <c r="I58" i="6"/>
  <c r="I59" i="6"/>
  <c r="I60" i="6"/>
  <c r="I61" i="6"/>
  <c r="I64" i="6"/>
  <c r="I65" i="6"/>
  <c r="I66" i="6"/>
  <c r="I67" i="6"/>
  <c r="I70" i="6"/>
  <c r="I71" i="6"/>
  <c r="I72" i="6"/>
  <c r="I73" i="6"/>
  <c r="H52" i="6"/>
  <c r="H53" i="6"/>
  <c r="H58" i="6"/>
  <c r="H75" i="6" s="1"/>
  <c r="H59" i="6"/>
  <c r="H64" i="6"/>
  <c r="H65" i="6"/>
  <c r="H70" i="6"/>
  <c r="H71" i="6"/>
  <c r="G52" i="6"/>
  <c r="G53" i="6"/>
  <c r="G75" i="6" s="1"/>
  <c r="G58" i="6"/>
  <c r="G59" i="6"/>
  <c r="G64" i="6"/>
  <c r="G65" i="6"/>
  <c r="G70" i="6"/>
  <c r="G71" i="6"/>
  <c r="F52" i="6"/>
  <c r="F53" i="6"/>
  <c r="F58" i="6"/>
  <c r="F59" i="6"/>
  <c r="F64" i="6"/>
  <c r="F65" i="6"/>
  <c r="F70" i="6"/>
  <c r="F71" i="6"/>
  <c r="F75" i="6"/>
  <c r="E52" i="6"/>
  <c r="E53" i="6"/>
  <c r="E75" i="6" s="1"/>
  <c r="E58" i="6"/>
  <c r="E59" i="6"/>
  <c r="E64" i="6"/>
  <c r="E65" i="6"/>
  <c r="E70" i="6"/>
  <c r="E71" i="6"/>
  <c r="D52" i="6"/>
  <c r="D53" i="6"/>
  <c r="D58" i="6"/>
  <c r="D75" i="6" s="1"/>
  <c r="D59" i="6"/>
  <c r="D64" i="6"/>
  <c r="D65" i="6"/>
  <c r="D70" i="6"/>
  <c r="D71" i="6"/>
  <c r="M74" i="6"/>
  <c r="L74" i="6"/>
  <c r="J74" i="6"/>
  <c r="H74" i="6"/>
  <c r="G74" i="6"/>
  <c r="F74" i="6"/>
  <c r="E74" i="6"/>
  <c r="D74" i="6"/>
  <c r="M68" i="6"/>
  <c r="L68" i="6"/>
  <c r="K68" i="6"/>
  <c r="J68" i="6"/>
  <c r="I68" i="6"/>
  <c r="H68" i="6"/>
  <c r="G68" i="6"/>
  <c r="F68" i="6"/>
  <c r="E68" i="6"/>
  <c r="D68" i="6"/>
  <c r="L62" i="6"/>
  <c r="K62" i="6"/>
  <c r="J62" i="6"/>
  <c r="H62" i="6"/>
  <c r="G62" i="6"/>
  <c r="F62" i="6"/>
  <c r="E62" i="6"/>
  <c r="D62" i="6"/>
  <c r="M56" i="6"/>
  <c r="L56" i="6"/>
  <c r="K56" i="6"/>
  <c r="J56" i="6"/>
  <c r="I56" i="6"/>
  <c r="H56" i="6"/>
  <c r="G56" i="6"/>
  <c r="F56" i="6"/>
  <c r="E56" i="6"/>
  <c r="D56" i="6"/>
  <c r="D43" i="6"/>
  <c r="E43" i="6"/>
  <c r="O43" i="6" s="1"/>
  <c r="F43" i="6"/>
  <c r="G43" i="6"/>
  <c r="H43" i="6"/>
  <c r="Q43" i="6"/>
  <c r="T43" i="6" s="1"/>
  <c r="I41" i="6"/>
  <c r="I42" i="6"/>
  <c r="I43" i="6"/>
  <c r="J41" i="6"/>
  <c r="J43" i="6" s="1"/>
  <c r="J42" i="6"/>
  <c r="K41" i="6"/>
  <c r="K43" i="6" s="1"/>
  <c r="K42" i="6"/>
  <c r="L41" i="6"/>
  <c r="L42" i="6"/>
  <c r="L43" i="6" s="1"/>
  <c r="M41" i="6"/>
  <c r="M42" i="6"/>
  <c r="M43" i="6"/>
  <c r="P43" i="6"/>
  <c r="D39" i="6"/>
  <c r="Q39" i="6" s="1"/>
  <c r="T39" i="6" s="1"/>
  <c r="E39" i="6"/>
  <c r="F39" i="6"/>
  <c r="G39" i="6"/>
  <c r="H39" i="6"/>
  <c r="P39" i="6" s="1"/>
  <c r="I37" i="6"/>
  <c r="I38" i="6"/>
  <c r="I39" i="6" s="1"/>
  <c r="J37" i="6"/>
  <c r="J38" i="6"/>
  <c r="J39" i="6"/>
  <c r="K37" i="6"/>
  <c r="K39" i="6" s="1"/>
  <c r="K38" i="6"/>
  <c r="L37" i="6"/>
  <c r="L39" i="6" s="1"/>
  <c r="L38" i="6"/>
  <c r="M37" i="6"/>
  <c r="M38" i="6"/>
  <c r="M39" i="6" s="1"/>
  <c r="O39" i="6"/>
  <c r="D35" i="6"/>
  <c r="E35" i="6"/>
  <c r="O35" i="6" s="1"/>
  <c r="F35" i="6"/>
  <c r="G35" i="6"/>
  <c r="Q35" i="6" s="1"/>
  <c r="T35" i="6" s="1"/>
  <c r="H35" i="6"/>
  <c r="I33" i="6"/>
  <c r="I35" i="6" s="1"/>
  <c r="S35" i="6" s="1"/>
  <c r="I34" i="6"/>
  <c r="J33" i="6"/>
  <c r="J34" i="6"/>
  <c r="J35" i="6" s="1"/>
  <c r="K33" i="6"/>
  <c r="K34" i="6"/>
  <c r="K35" i="6"/>
  <c r="L33" i="6"/>
  <c r="L35" i="6" s="1"/>
  <c r="L34" i="6"/>
  <c r="M33" i="6"/>
  <c r="M35" i="6" s="1"/>
  <c r="M34" i="6"/>
  <c r="P35" i="6"/>
  <c r="D31" i="6"/>
  <c r="Q31" i="6" s="1"/>
  <c r="T31" i="6" s="1"/>
  <c r="E31" i="6"/>
  <c r="F31" i="6"/>
  <c r="O31" i="6" s="1"/>
  <c r="G31" i="6"/>
  <c r="H31" i="6"/>
  <c r="P31" i="6" s="1"/>
  <c r="I29" i="6"/>
  <c r="I31" i="6" s="1"/>
  <c r="I30" i="6"/>
  <c r="J29" i="6"/>
  <c r="J31" i="6" s="1"/>
  <c r="J30" i="6"/>
  <c r="K29" i="6"/>
  <c r="K30" i="6"/>
  <c r="K31" i="6" s="1"/>
  <c r="L29" i="6"/>
  <c r="L30" i="6"/>
  <c r="L31" i="6"/>
  <c r="M29" i="6"/>
  <c r="M31" i="6" s="1"/>
  <c r="M30" i="6"/>
  <c r="D22" i="6"/>
  <c r="E22" i="6"/>
  <c r="O22" i="6" s="1"/>
  <c r="F22" i="6"/>
  <c r="G22" i="6"/>
  <c r="H22" i="6"/>
  <c r="Q22" i="6"/>
  <c r="T22" i="6" s="1"/>
  <c r="I22" i="6"/>
  <c r="S22" i="6" s="1"/>
  <c r="J22" i="6"/>
  <c r="K22" i="6"/>
  <c r="L22" i="6"/>
  <c r="M22" i="6"/>
  <c r="P22" i="6"/>
  <c r="Q21" i="6"/>
  <c r="T21" i="6" s="1"/>
  <c r="S21" i="6"/>
  <c r="P21" i="6"/>
  <c r="O21" i="6"/>
  <c r="Q20" i="6"/>
  <c r="T20" i="6"/>
  <c r="S20" i="6"/>
  <c r="P20" i="6"/>
  <c r="O20" i="6"/>
  <c r="H11" i="6"/>
  <c r="P11" i="6" s="1"/>
  <c r="H12" i="6"/>
  <c r="G11" i="6"/>
  <c r="G13" i="6" s="1"/>
  <c r="G12" i="6"/>
  <c r="F11" i="6"/>
  <c r="F13" i="6" s="1"/>
  <c r="F12" i="6"/>
  <c r="E11" i="6"/>
  <c r="E13" i="6" s="1"/>
  <c r="E12" i="6"/>
  <c r="D11" i="6"/>
  <c r="D13" i="6" s="1"/>
  <c r="D12" i="6"/>
  <c r="Q14" i="6"/>
  <c r="T14" i="6"/>
  <c r="S14" i="6"/>
  <c r="P14" i="6"/>
  <c r="O14" i="6"/>
  <c r="Q12" i="6"/>
  <c r="T12" i="6"/>
  <c r="P12" i="6"/>
  <c r="O12" i="6"/>
  <c r="D10" i="6"/>
  <c r="E10" i="6"/>
  <c r="O10" i="6" s="1"/>
  <c r="F10" i="6"/>
  <c r="G10" i="6"/>
  <c r="H10" i="6"/>
  <c r="Q10" i="6"/>
  <c r="T10" i="6" s="1"/>
  <c r="P10" i="6"/>
  <c r="A1" i="2"/>
  <c r="A1" i="1"/>
  <c r="Q34" i="25" l="1"/>
  <c r="Q41" i="25"/>
  <c r="P63" i="25"/>
  <c r="G65" i="25"/>
  <c r="G62" i="25"/>
  <c r="G64" i="25"/>
  <c r="G63" i="25"/>
  <c r="G61" i="25"/>
  <c r="C22" i="21"/>
  <c r="C23" i="21" s="1"/>
  <c r="AZ23" i="23" s="1"/>
  <c r="AI37" i="23"/>
  <c r="AI32" i="23"/>
  <c r="E14" i="21"/>
  <c r="H20" i="24"/>
  <c r="AI30" i="23"/>
  <c r="AI36" i="23"/>
  <c r="AI28" i="23"/>
  <c r="AI33" i="23"/>
  <c r="AI23" i="23"/>
  <c r="E13" i="21"/>
  <c r="E22" i="21" s="1"/>
  <c r="E23" i="21" s="1"/>
  <c r="AX39" i="23" s="1"/>
  <c r="AZ36" i="23"/>
  <c r="AI39" i="23"/>
  <c r="AZ35" i="23"/>
  <c r="AX37" i="23"/>
  <c r="AZ32" i="23"/>
  <c r="AX34" i="23"/>
  <c r="AZ38" i="23"/>
  <c r="AZ34" i="23"/>
  <c r="AG36" i="23"/>
  <c r="AG32" i="23"/>
  <c r="AG28" i="23"/>
  <c r="H19" i="24"/>
  <c r="AZ31" i="23"/>
  <c r="AX32" i="23"/>
  <c r="AZ37" i="23"/>
  <c r="AZ33" i="23"/>
  <c r="AI22" i="23"/>
  <c r="AI31" i="23"/>
  <c r="AI29" i="23"/>
  <c r="AX36" i="23"/>
  <c r="AX31" i="23"/>
  <c r="I10" i="23"/>
  <c r="AN39" i="23"/>
  <c r="I35" i="23"/>
  <c r="S38" i="23"/>
  <c r="U38" i="23"/>
  <c r="I23" i="23"/>
  <c r="AM27" i="23"/>
  <c r="AM21" i="23"/>
  <c r="AM17" i="23"/>
  <c r="AM13" i="23"/>
  <c r="AN18" i="23"/>
  <c r="AN14" i="23"/>
  <c r="AN10" i="23"/>
  <c r="I33" i="23"/>
  <c r="AM28" i="23"/>
  <c r="I29" i="23"/>
  <c r="V29" i="23" s="1"/>
  <c r="S39" i="23"/>
  <c r="U39" i="23"/>
  <c r="S33" i="23"/>
  <c r="S29" i="23"/>
  <c r="T39" i="23"/>
  <c r="V39" i="23"/>
  <c r="AM39" i="23"/>
  <c r="W39" i="23"/>
  <c r="S28" i="23"/>
  <c r="U28" i="23"/>
  <c r="I12" i="23"/>
  <c r="P68" i="25"/>
  <c r="Q66" i="25"/>
  <c r="R66" i="25" s="1"/>
  <c r="W37" i="23"/>
  <c r="S35" i="23"/>
  <c r="S23" i="23"/>
  <c r="T37" i="23"/>
  <c r="U35" i="23"/>
  <c r="U23" i="23"/>
  <c r="V38" i="23"/>
  <c r="AM38" i="23"/>
  <c r="S37" i="23"/>
  <c r="U37" i="23"/>
  <c r="U33" i="23"/>
  <c r="V37" i="23"/>
  <c r="D40" i="23"/>
  <c r="V33" i="23"/>
  <c r="I31" i="23"/>
  <c r="U31" i="23" s="1"/>
  <c r="G41" i="19"/>
  <c r="I41" i="19" s="1"/>
  <c r="G58" i="19"/>
  <c r="I58" i="19" s="1"/>
  <c r="G74" i="19"/>
  <c r="I74" i="19" s="1"/>
  <c r="G80" i="19"/>
  <c r="I80" i="19" s="1"/>
  <c r="G40" i="19"/>
  <c r="I40" i="19" s="1"/>
  <c r="G57" i="19"/>
  <c r="I57" i="19" s="1"/>
  <c r="G73" i="19"/>
  <c r="I73" i="19" s="1"/>
  <c r="G79" i="19"/>
  <c r="I79" i="19" s="1"/>
  <c r="AS39" i="23"/>
  <c r="AZ39" i="23" s="1"/>
  <c r="G145" i="19"/>
  <c r="I145" i="19" s="1"/>
  <c r="G143" i="19"/>
  <c r="I143" i="19" s="1"/>
  <c r="G141" i="19"/>
  <c r="I141" i="19" s="1"/>
  <c r="G139" i="19"/>
  <c r="I139" i="19" s="1"/>
  <c r="G137" i="19"/>
  <c r="I137" i="19" s="1"/>
  <c r="G135" i="19"/>
  <c r="I135" i="19" s="1"/>
  <c r="G133" i="19"/>
  <c r="I133" i="19" s="1"/>
  <c r="G131" i="19"/>
  <c r="I131" i="19" s="1"/>
  <c r="G129" i="19"/>
  <c r="I129" i="19" s="1"/>
  <c r="G127" i="19"/>
  <c r="I127" i="19" s="1"/>
  <c r="G125" i="19"/>
  <c r="I125" i="19" s="1"/>
  <c r="G123" i="19"/>
  <c r="I123" i="19" s="1"/>
  <c r="G121" i="19"/>
  <c r="I121" i="19" s="1"/>
  <c r="G153" i="19"/>
  <c r="I153" i="19" s="1"/>
  <c r="G146" i="19"/>
  <c r="I146" i="19" s="1"/>
  <c r="G144" i="19"/>
  <c r="I144" i="19" s="1"/>
  <c r="G142" i="19"/>
  <c r="I142" i="19" s="1"/>
  <c r="G140" i="19"/>
  <c r="I140" i="19" s="1"/>
  <c r="G138" i="19"/>
  <c r="I138" i="19" s="1"/>
  <c r="G136" i="19"/>
  <c r="I136" i="19" s="1"/>
  <c r="G134" i="19"/>
  <c r="I134" i="19" s="1"/>
  <c r="G132" i="19"/>
  <c r="I132" i="19" s="1"/>
  <c r="G130" i="19"/>
  <c r="I130" i="19" s="1"/>
  <c r="G128" i="19"/>
  <c r="I128" i="19" s="1"/>
  <c r="G126" i="19"/>
  <c r="I126" i="19" s="1"/>
  <c r="G124" i="19"/>
  <c r="I124" i="19" s="1"/>
  <c r="G122" i="19"/>
  <c r="I122" i="19" s="1"/>
  <c r="G154" i="19"/>
  <c r="I154" i="19" s="1"/>
  <c r="G23" i="19"/>
  <c r="I23" i="19" s="1"/>
  <c r="C55" i="22"/>
  <c r="F41" i="22" s="1"/>
  <c r="AG37" i="23"/>
  <c r="AI35" i="23"/>
  <c r="AG29" i="23"/>
  <c r="AQ33" i="23"/>
  <c r="AX33" i="23" s="1"/>
  <c r="AG23" i="23"/>
  <c r="L5" i="22"/>
  <c r="AI38" i="23"/>
  <c r="AI34" i="23"/>
  <c r="G34" i="19"/>
  <c r="I34" i="19" s="1"/>
  <c r="G32" i="19"/>
  <c r="I32" i="19" s="1"/>
  <c r="G26" i="19"/>
  <c r="I26" i="19" s="1"/>
  <c r="G24" i="19"/>
  <c r="I24" i="19" s="1"/>
  <c r="G72" i="19"/>
  <c r="I72" i="19" s="1"/>
  <c r="G119" i="19"/>
  <c r="I119" i="19" s="1"/>
  <c r="G117" i="19"/>
  <c r="I117" i="19" s="1"/>
  <c r="G115" i="19"/>
  <c r="I115" i="19" s="1"/>
  <c r="G113" i="19"/>
  <c r="I113" i="19" s="1"/>
  <c r="G111" i="19"/>
  <c r="I111" i="19" s="1"/>
  <c r="G109" i="19"/>
  <c r="I109" i="19" s="1"/>
  <c r="G107" i="19"/>
  <c r="I107" i="19" s="1"/>
  <c r="G105" i="19"/>
  <c r="I105" i="19" s="1"/>
  <c r="G103" i="19"/>
  <c r="I103" i="19" s="1"/>
  <c r="G101" i="19"/>
  <c r="I101" i="19" s="1"/>
  <c r="G87" i="19"/>
  <c r="I87" i="19" s="1"/>
  <c r="G85" i="19"/>
  <c r="I85" i="19" s="1"/>
  <c r="G64" i="19"/>
  <c r="I64" i="19" s="1"/>
  <c r="G60" i="19"/>
  <c r="I60" i="19" s="1"/>
  <c r="G52" i="19"/>
  <c r="I52" i="19" s="1"/>
  <c r="G50" i="19"/>
  <c r="I50" i="19" s="1"/>
  <c r="G151" i="19"/>
  <c r="I151" i="19" s="1"/>
  <c r="G155" i="19"/>
  <c r="I155" i="19" s="1"/>
  <c r="G44" i="19"/>
  <c r="I44" i="19" s="1"/>
  <c r="G42" i="19"/>
  <c r="I42" i="19" s="1"/>
  <c r="G69" i="19"/>
  <c r="I69" i="19" s="1"/>
  <c r="G62" i="19"/>
  <c r="I62" i="19" s="1"/>
  <c r="G147" i="19"/>
  <c r="I147" i="19" s="1"/>
  <c r="G68" i="19"/>
  <c r="I68" i="19" s="1"/>
  <c r="G66" i="19"/>
  <c r="I66" i="19" s="1"/>
  <c r="G48" i="19"/>
  <c r="I48" i="19" s="1"/>
  <c r="G46" i="19"/>
  <c r="I46" i="19" s="1"/>
  <c r="G38" i="19"/>
  <c r="I38" i="19" s="1"/>
  <c r="G36" i="19"/>
  <c r="I36" i="19" s="1"/>
  <c r="G22" i="19"/>
  <c r="I22" i="19" s="1"/>
  <c r="G20" i="19"/>
  <c r="I20" i="19" s="1"/>
  <c r="G149" i="19"/>
  <c r="I149" i="19" s="1"/>
  <c r="G99" i="19"/>
  <c r="I99" i="19" s="1"/>
  <c r="G97" i="19"/>
  <c r="I97" i="19" s="1"/>
  <c r="G83" i="19"/>
  <c r="I83" i="19" s="1"/>
  <c r="G81" i="19"/>
  <c r="I81" i="19" s="1"/>
  <c r="G95" i="19"/>
  <c r="I95" i="19" s="1"/>
  <c r="G93" i="19"/>
  <c r="I93" i="19" s="1"/>
  <c r="G56" i="19"/>
  <c r="I56" i="19" s="1"/>
  <c r="G54" i="19"/>
  <c r="I54" i="19" s="1"/>
  <c r="G77" i="19"/>
  <c r="I77" i="19" s="1"/>
  <c r="G75" i="19"/>
  <c r="I75" i="19" s="1"/>
  <c r="G30" i="19"/>
  <c r="I30" i="19" s="1"/>
  <c r="G28" i="19"/>
  <c r="I28" i="19" s="1"/>
  <c r="G91" i="19"/>
  <c r="I91" i="19" s="1"/>
  <c r="G89" i="19"/>
  <c r="I89" i="19" s="1"/>
  <c r="I12" i="25"/>
  <c r="I15" i="25" s="1"/>
  <c r="I28" i="25" s="1"/>
  <c r="D15" i="25"/>
  <c r="D28" i="25" s="1"/>
  <c r="G15" i="25"/>
  <c r="G28" i="25" s="1"/>
  <c r="G6" i="22"/>
  <c r="A1" i="27"/>
  <c r="R41" i="25"/>
  <c r="P30" i="25"/>
  <c r="R34" i="25"/>
  <c r="S31" i="23"/>
  <c r="BA39" i="23"/>
  <c r="AJ39" i="23"/>
  <c r="BA38" i="23"/>
  <c r="AJ38" i="23"/>
  <c r="BA37" i="23"/>
  <c r="AJ37" i="23"/>
  <c r="BA36" i="23"/>
  <c r="AJ36" i="23"/>
  <c r="BA35" i="23"/>
  <c r="AJ35" i="23"/>
  <c r="BA34" i="23"/>
  <c r="AJ34" i="23"/>
  <c r="BA33" i="23"/>
  <c r="AJ33" i="23"/>
  <c r="BA32" i="23"/>
  <c r="AJ32" i="23"/>
  <c r="BA31" i="23"/>
  <c r="AJ31" i="23"/>
  <c r="AZ30" i="23"/>
  <c r="AX29" i="23"/>
  <c r="AZ28" i="23"/>
  <c r="AX23" i="23"/>
  <c r="AZ22" i="23"/>
  <c r="E15" i="6"/>
  <c r="E16" i="6"/>
  <c r="G16" i="6"/>
  <c r="G15" i="6"/>
  <c r="S43" i="6"/>
  <c r="L10" i="6"/>
  <c r="M13" i="6"/>
  <c r="D266" i="6"/>
  <c r="I11" i="6"/>
  <c r="S12" i="6"/>
  <c r="J15" i="6"/>
  <c r="J16" i="6"/>
  <c r="AX30" i="23"/>
  <c r="AZ29" i="23"/>
  <c r="AX28" i="23"/>
  <c r="AX22" i="23"/>
  <c r="D15" i="6"/>
  <c r="O13" i="6"/>
  <c r="D16" i="6"/>
  <c r="F15" i="6"/>
  <c r="F16" i="6"/>
  <c r="S31" i="6"/>
  <c r="J10" i="6"/>
  <c r="K13" i="6"/>
  <c r="AJ22" i="23"/>
  <c r="BA22" i="23"/>
  <c r="AJ23" i="23"/>
  <c r="BA23" i="23"/>
  <c r="AJ28" i="23"/>
  <c r="BA28" i="23"/>
  <c r="AJ29" i="23"/>
  <c r="BA29" i="23"/>
  <c r="AJ30" i="23"/>
  <c r="BA30" i="23"/>
  <c r="S39" i="6"/>
  <c r="L15" i="6"/>
  <c r="L16" i="6"/>
  <c r="I62" i="6"/>
  <c r="M62" i="6"/>
  <c r="I178" i="6"/>
  <c r="I10" i="6" s="1"/>
  <c r="S10" i="6" s="1"/>
  <c r="G152" i="19"/>
  <c r="I152" i="19" s="1"/>
  <c r="F14" i="21"/>
  <c r="D13" i="21"/>
  <c r="D22" i="21" s="1"/>
  <c r="D23" i="21" s="1"/>
  <c r="F13" i="21"/>
  <c r="F22" i="21" s="1"/>
  <c r="F23" i="21" s="1"/>
  <c r="W38" i="23"/>
  <c r="T38" i="23"/>
  <c r="V35" i="23"/>
  <c r="T35" i="23"/>
  <c r="W35" i="23"/>
  <c r="T33" i="23"/>
  <c r="AM34" i="23"/>
  <c r="AN34" i="23"/>
  <c r="I34" i="23"/>
  <c r="I29" i="25"/>
  <c r="O11" i="6"/>
  <c r="Q11" i="6"/>
  <c r="T11" i="6" s="1"/>
  <c r="H13" i="6"/>
  <c r="S192" i="6"/>
  <c r="S217" i="6" s="1"/>
  <c r="S235" i="6"/>
  <c r="S240" i="6" s="1"/>
  <c r="H29" i="25"/>
  <c r="I11" i="23"/>
  <c r="I8" i="23"/>
  <c r="G148" i="19"/>
  <c r="I148" i="19" s="1"/>
  <c r="G156" i="19"/>
  <c r="I156" i="19" s="1"/>
  <c r="C75" i="22"/>
  <c r="C66" i="22"/>
  <c r="V23" i="23"/>
  <c r="T23" i="23"/>
  <c r="W23" i="23"/>
  <c r="I36" i="23"/>
  <c r="AN36" i="23"/>
  <c r="I32" i="23"/>
  <c r="AN32" i="23"/>
  <c r="W28" i="23"/>
  <c r="V28" i="23"/>
  <c r="T28" i="23"/>
  <c r="R30" i="25"/>
  <c r="R29" i="25"/>
  <c r="G29" i="25"/>
  <c r="G40" i="23"/>
  <c r="V31" i="23"/>
  <c r="T31" i="23"/>
  <c r="W31" i="23"/>
  <c r="T29" i="23"/>
  <c r="E29" i="25"/>
  <c r="C48" i="25"/>
  <c r="C49" i="25"/>
  <c r="E28" i="25"/>
  <c r="W29" i="23"/>
  <c r="W33" i="23"/>
  <c r="I30" i="23"/>
  <c r="I22" i="23"/>
  <c r="AM33" i="23"/>
  <c r="AM29" i="23"/>
  <c r="AN30" i="23"/>
  <c r="AN28" i="23"/>
  <c r="AN22" i="23"/>
  <c r="G160" i="19"/>
  <c r="I160" i="19" s="1"/>
  <c r="G71" i="19"/>
  <c r="I71" i="19" s="1"/>
  <c r="G65" i="19"/>
  <c r="I65" i="19" s="1"/>
  <c r="G59" i="19"/>
  <c r="I59" i="19" s="1"/>
  <c r="G53" i="19"/>
  <c r="I53" i="19" s="1"/>
  <c r="G49" i="19"/>
  <c r="I49" i="19" s="1"/>
  <c r="G45" i="19"/>
  <c r="I45" i="19" s="1"/>
  <c r="G78" i="19"/>
  <c r="I78" i="19" s="1"/>
  <c r="G70" i="19"/>
  <c r="I70" i="19" s="1"/>
  <c r="G39" i="19"/>
  <c r="I39" i="19" s="1"/>
  <c r="G35" i="19"/>
  <c r="I35" i="19" s="1"/>
  <c r="G31" i="19"/>
  <c r="I31" i="19" s="1"/>
  <c r="G27" i="19"/>
  <c r="I27" i="19" s="1"/>
  <c r="E7" i="23"/>
  <c r="E40" i="23" s="1"/>
  <c r="G70" i="25"/>
  <c r="AM35" i="23"/>
  <c r="AM31" i="23"/>
  <c r="AM23" i="23"/>
  <c r="Q30" i="25"/>
  <c r="G162" i="19"/>
  <c r="I162" i="19" s="1"/>
  <c r="G158" i="19"/>
  <c r="I158" i="19" s="1"/>
  <c r="G67" i="19"/>
  <c r="I67" i="19" s="1"/>
  <c r="G61" i="19"/>
  <c r="I61" i="19" s="1"/>
  <c r="G55" i="19"/>
  <c r="I55" i="19" s="1"/>
  <c r="G51" i="19"/>
  <c r="I51" i="19" s="1"/>
  <c r="G47" i="19"/>
  <c r="I47" i="19" s="1"/>
  <c r="G43" i="19"/>
  <c r="I43" i="19" s="1"/>
  <c r="G76" i="19"/>
  <c r="I76" i="19" s="1"/>
  <c r="G63" i="19"/>
  <c r="I63" i="19" s="1"/>
  <c r="G37" i="19"/>
  <c r="I37" i="19" s="1"/>
  <c r="G33" i="19"/>
  <c r="I33" i="19" s="1"/>
  <c r="G29" i="19"/>
  <c r="I29" i="19" s="1"/>
  <c r="G25" i="19"/>
  <c r="I25" i="19" s="1"/>
  <c r="G150" i="19"/>
  <c r="I150" i="19" s="1"/>
  <c r="G118" i="19"/>
  <c r="I118" i="19" s="1"/>
  <c r="G114" i="19"/>
  <c r="I114" i="19" s="1"/>
  <c r="G110" i="19"/>
  <c r="I110" i="19" s="1"/>
  <c r="G106" i="19"/>
  <c r="I106" i="19" s="1"/>
  <c r="G102" i="19"/>
  <c r="I102" i="19" s="1"/>
  <c r="G98" i="19"/>
  <c r="I98" i="19" s="1"/>
  <c r="G94" i="19"/>
  <c r="I94" i="19" s="1"/>
  <c r="G90" i="19"/>
  <c r="I90" i="19" s="1"/>
  <c r="G86" i="19"/>
  <c r="I86" i="19" s="1"/>
  <c r="G82" i="19"/>
  <c r="I82" i="19" s="1"/>
  <c r="F51" i="22"/>
  <c r="I51" i="22" s="1"/>
  <c r="P69" i="25"/>
  <c r="I40" i="22"/>
  <c r="G21" i="19"/>
  <c r="I21" i="19" s="1"/>
  <c r="G120" i="19"/>
  <c r="I120" i="19" s="1"/>
  <c r="G116" i="19"/>
  <c r="I116" i="19" s="1"/>
  <c r="G112" i="19"/>
  <c r="I112" i="19" s="1"/>
  <c r="G108" i="19"/>
  <c r="I108" i="19" s="1"/>
  <c r="G104" i="19"/>
  <c r="I104" i="19" s="1"/>
  <c r="G100" i="19"/>
  <c r="I100" i="19" s="1"/>
  <c r="G96" i="19"/>
  <c r="I96" i="19" s="1"/>
  <c r="G92" i="19"/>
  <c r="I92" i="19" s="1"/>
  <c r="G88" i="19"/>
  <c r="I88" i="19" s="1"/>
  <c r="G84" i="19"/>
  <c r="I84" i="19" s="1"/>
  <c r="I41" i="22"/>
  <c r="F40" i="22"/>
  <c r="F50" i="22"/>
  <c r="I50" i="22" s="1"/>
  <c r="J53" i="22" s="1"/>
  <c r="N41" i="25"/>
  <c r="H7" i="23"/>
  <c r="F7" i="23"/>
  <c r="F40" i="23" s="1"/>
  <c r="G66" i="25" l="1"/>
  <c r="Q65" i="25"/>
  <c r="R63" i="25"/>
  <c r="AG33" i="23"/>
  <c r="AG22" i="23"/>
  <c r="AG35" i="23"/>
  <c r="AG38" i="23"/>
  <c r="AG30" i="23"/>
  <c r="AX35" i="23"/>
  <c r="AX38" i="23"/>
  <c r="AG31" i="23"/>
  <c r="AG39" i="23"/>
  <c r="AG34" i="23"/>
  <c r="U29" i="23"/>
  <c r="AN40" i="23"/>
  <c r="G8" i="22"/>
  <c r="G7" i="22"/>
  <c r="G8" i="20"/>
  <c r="G6" i="20"/>
  <c r="G7" i="20"/>
  <c r="P35" i="25"/>
  <c r="Q35" i="25"/>
  <c r="R35" i="25"/>
  <c r="S35" i="25"/>
  <c r="O35" i="25"/>
  <c r="AM40" i="23"/>
  <c r="V30" i="23"/>
  <c r="W30" i="23"/>
  <c r="T30" i="23"/>
  <c r="S30" i="23"/>
  <c r="U30" i="23"/>
  <c r="W32" i="23"/>
  <c r="V32" i="23"/>
  <c r="T32" i="23"/>
  <c r="S32" i="23"/>
  <c r="U32" i="23"/>
  <c r="H15" i="6"/>
  <c r="P15" i="6" s="1"/>
  <c r="H16" i="6"/>
  <c r="P13" i="6"/>
  <c r="V34" i="23"/>
  <c r="W34" i="23"/>
  <c r="T34" i="23"/>
  <c r="S34" i="23"/>
  <c r="U34" i="23"/>
  <c r="K15" i="6"/>
  <c r="K16" i="6"/>
  <c r="O15" i="6"/>
  <c r="J49" i="22"/>
  <c r="J50" i="22"/>
  <c r="J52" i="22"/>
  <c r="S29" i="25"/>
  <c r="S30" i="25"/>
  <c r="M16" i="6"/>
  <c r="M15" i="6"/>
  <c r="H40" i="23"/>
  <c r="I40" i="23" s="1"/>
  <c r="J51" i="22"/>
  <c r="W36" i="23"/>
  <c r="V36" i="23"/>
  <c r="T36" i="23"/>
  <c r="S36" i="23"/>
  <c r="U36" i="23"/>
  <c r="AY23" i="23"/>
  <c r="AY29" i="23"/>
  <c r="AH23" i="23"/>
  <c r="AH29" i="23"/>
  <c r="AH31" i="23"/>
  <c r="AY31" i="23"/>
  <c r="AH32" i="23"/>
  <c r="AY32" i="23"/>
  <c r="AH33" i="23"/>
  <c r="AY33" i="23"/>
  <c r="AH34" i="23"/>
  <c r="AY34" i="23"/>
  <c r="AH35" i="23"/>
  <c r="AY35" i="23"/>
  <c r="AH36" i="23"/>
  <c r="AY36" i="23"/>
  <c r="AH37" i="23"/>
  <c r="AY37" i="23"/>
  <c r="AH38" i="23"/>
  <c r="AY38" i="23"/>
  <c r="AH39" i="23"/>
  <c r="AY39" i="23"/>
  <c r="AY22" i="23"/>
  <c r="AY28" i="23"/>
  <c r="AY30" i="23"/>
  <c r="AH22" i="23"/>
  <c r="AH28" i="23"/>
  <c r="AH30" i="23"/>
  <c r="V22" i="23"/>
  <c r="W22" i="23"/>
  <c r="T22" i="23"/>
  <c r="S22" i="23"/>
  <c r="U22" i="23"/>
  <c r="Q13" i="6"/>
  <c r="T13" i="6" s="1"/>
  <c r="S11" i="6"/>
  <c r="I13" i="6"/>
  <c r="Q68" i="25" l="1"/>
  <c r="R68" i="25" s="1"/>
  <c r="J75" i="25" s="1"/>
  <c r="P75" i="25" s="1"/>
  <c r="P77" i="25" s="1"/>
  <c r="Q69" i="25"/>
  <c r="R69" i="25" s="1"/>
  <c r="R65" i="25"/>
  <c r="G10" i="25"/>
  <c r="G22" i="25" s="1"/>
  <c r="Q37" i="25"/>
  <c r="Q38" i="25" s="1"/>
  <c r="Q15" i="6"/>
  <c r="T15" i="6" s="1"/>
  <c r="D10" i="25"/>
  <c r="D22" i="25" s="1"/>
  <c r="O37" i="25"/>
  <c r="O38" i="25" s="1"/>
  <c r="P37" i="25"/>
  <c r="P38" i="25" s="1"/>
  <c r="E10" i="25"/>
  <c r="E22" i="25" s="1"/>
  <c r="S13" i="6"/>
  <c r="I16" i="6"/>
  <c r="I15" i="6"/>
  <c r="S15" i="6" s="1"/>
  <c r="S37" i="25"/>
  <c r="S38" i="25" s="1"/>
  <c r="I10" i="25"/>
  <c r="I22" i="25" s="1"/>
  <c r="H10" i="25"/>
  <c r="H22" i="25" s="1"/>
  <c r="R37" i="25"/>
  <c r="R38" i="25" s="1"/>
  <c r="S39" i="25" l="1"/>
  <c r="D30" i="25"/>
  <c r="D23" i="25"/>
  <c r="D24" i="25" s="1"/>
  <c r="H30" i="25"/>
  <c r="H23" i="25"/>
  <c r="H24" i="25" s="1"/>
  <c r="E30" i="25"/>
  <c r="E23" i="25"/>
  <c r="E24" i="25" s="1"/>
  <c r="G30" i="25"/>
  <c r="G23" i="25"/>
  <c r="G24" i="25" s="1"/>
  <c r="I30" i="25"/>
  <c r="I23" i="25"/>
  <c r="I24" i="25" s="1"/>
  <c r="C47" i="25" l="1"/>
  <c r="C51" i="25"/>
  <c r="D32" i="24" l="1"/>
  <c r="C32" i="24" l="1"/>
  <c r="E32" i="24" s="1"/>
  <c r="G10" i="22" l="1"/>
  <c r="G10" i="20"/>
  <c r="G9" i="22"/>
  <c r="G9" i="20"/>
  <c r="G11" i="20" l="1"/>
  <c r="H6" i="20" s="1"/>
  <c r="H10" i="22"/>
  <c r="H9" i="20"/>
  <c r="H8" i="20"/>
  <c r="F22" i="24" s="1"/>
  <c r="H7" i="20"/>
  <c r="E22" i="24" s="1"/>
  <c r="H6" i="22"/>
  <c r="H8" i="22"/>
  <c r="F17" i="24" s="1"/>
  <c r="H9" i="22"/>
  <c r="H7" i="22"/>
  <c r="E17" i="24" s="1"/>
  <c r="H10" i="20"/>
  <c r="G17" i="24" l="1"/>
  <c r="H48" i="25"/>
  <c r="H47" i="25"/>
  <c r="N12" i="23"/>
  <c r="U12" i="23" s="1"/>
  <c r="AB12" i="23" s="1"/>
  <c r="N19" i="23"/>
  <c r="U19" i="23" s="1"/>
  <c r="AB19" i="23" s="1"/>
  <c r="N24" i="23"/>
  <c r="U24" i="23" s="1"/>
  <c r="AB24" i="23" s="1"/>
  <c r="N25" i="23"/>
  <c r="U25" i="23" s="1"/>
  <c r="AB25" i="23" s="1"/>
  <c r="N16" i="23"/>
  <c r="U16" i="23" s="1"/>
  <c r="AB16" i="23" s="1"/>
  <c r="N26" i="23"/>
  <c r="U26" i="23" s="1"/>
  <c r="AB26" i="23" s="1"/>
  <c r="N13" i="23"/>
  <c r="U13" i="23" s="1"/>
  <c r="AB13" i="23" s="1"/>
  <c r="N27" i="23"/>
  <c r="U27" i="23" s="1"/>
  <c r="AB27" i="23" s="1"/>
  <c r="N10" i="23"/>
  <c r="U10" i="23" s="1"/>
  <c r="AB10" i="23" s="1"/>
  <c r="N15" i="23"/>
  <c r="U15" i="23" s="1"/>
  <c r="AB15" i="23" s="1"/>
  <c r="N17" i="23"/>
  <c r="U17" i="23" s="1"/>
  <c r="AB17" i="23" s="1"/>
  <c r="N9" i="23"/>
  <c r="U9" i="23" s="1"/>
  <c r="AB9" i="23" s="1"/>
  <c r="N7" i="23"/>
  <c r="U7" i="23" s="1"/>
  <c r="N18" i="23"/>
  <c r="U18" i="23" s="1"/>
  <c r="AB18" i="23" s="1"/>
  <c r="N8" i="23"/>
  <c r="U8" i="23" s="1"/>
  <c r="AB8" i="23" s="1"/>
  <c r="N20" i="23"/>
  <c r="U20" i="23" s="1"/>
  <c r="AB20" i="23" s="1"/>
  <c r="N21" i="23"/>
  <c r="U21" i="23" s="1"/>
  <c r="AB21" i="23" s="1"/>
  <c r="N11" i="23"/>
  <c r="U11" i="23" s="1"/>
  <c r="AB11" i="23" s="1"/>
  <c r="N14" i="23"/>
  <c r="U14" i="23" s="1"/>
  <c r="AB14" i="23" s="1"/>
  <c r="E47" i="25"/>
  <c r="E48" i="25"/>
  <c r="M19" i="23"/>
  <c r="T19" i="23" s="1"/>
  <c r="AA19" i="23" s="1"/>
  <c r="M7" i="23"/>
  <c r="T7" i="23" s="1"/>
  <c r="M16" i="23"/>
  <c r="T16" i="23" s="1"/>
  <c r="AA16" i="23" s="1"/>
  <c r="M21" i="23"/>
  <c r="T21" i="23" s="1"/>
  <c r="AA21" i="23" s="1"/>
  <c r="M12" i="23"/>
  <c r="T12" i="23" s="1"/>
  <c r="AA12" i="23" s="1"/>
  <c r="M18" i="23"/>
  <c r="T18" i="23" s="1"/>
  <c r="AA18" i="23" s="1"/>
  <c r="M27" i="23"/>
  <c r="T27" i="23" s="1"/>
  <c r="AA27" i="23" s="1"/>
  <c r="M10" i="23"/>
  <c r="T10" i="23" s="1"/>
  <c r="AA10" i="23" s="1"/>
  <c r="M20" i="23"/>
  <c r="T20" i="23" s="1"/>
  <c r="AA20" i="23" s="1"/>
  <c r="M25" i="23"/>
  <c r="T25" i="23" s="1"/>
  <c r="AA25" i="23" s="1"/>
  <c r="M13" i="23"/>
  <c r="T13" i="23" s="1"/>
  <c r="AA13" i="23" s="1"/>
  <c r="M26" i="23"/>
  <c r="T26" i="23" s="1"/>
  <c r="AA26" i="23" s="1"/>
  <c r="M9" i="23"/>
  <c r="T9" i="23" s="1"/>
  <c r="AA9" i="23" s="1"/>
  <c r="M15" i="23"/>
  <c r="T15" i="23" s="1"/>
  <c r="AA15" i="23" s="1"/>
  <c r="M24" i="23"/>
  <c r="T24" i="23" s="1"/>
  <c r="AA24" i="23" s="1"/>
  <c r="M11" i="23"/>
  <c r="T11" i="23" s="1"/>
  <c r="AA11" i="23" s="1"/>
  <c r="M17" i="23"/>
  <c r="T17" i="23" s="1"/>
  <c r="AA17" i="23" s="1"/>
  <c r="M8" i="23"/>
  <c r="T8" i="23" s="1"/>
  <c r="AA8" i="23" s="1"/>
  <c r="M14" i="23"/>
  <c r="T14" i="23" s="1"/>
  <c r="AA14" i="23" s="1"/>
  <c r="G47" i="25"/>
  <c r="G48" i="25"/>
  <c r="H11" i="20"/>
  <c r="D22" i="24"/>
  <c r="C22" i="24"/>
  <c r="D17" i="24"/>
  <c r="C17" i="24"/>
  <c r="G22" i="24"/>
  <c r="I48" i="25" l="1"/>
  <c r="I47" i="25"/>
  <c r="L48" i="25"/>
  <c r="E6" i="26"/>
  <c r="AH17" i="23"/>
  <c r="AR17" i="23"/>
  <c r="AY17" i="23" s="1"/>
  <c r="AR9" i="23"/>
  <c r="AY9" i="23" s="1"/>
  <c r="AH9" i="23"/>
  <c r="AR20" i="23"/>
  <c r="AY20" i="23" s="1"/>
  <c r="AH20" i="23"/>
  <c r="AR12" i="23"/>
  <c r="AY12" i="23" s="1"/>
  <c r="AH12" i="23"/>
  <c r="AR19" i="23"/>
  <c r="AY19" i="23" s="1"/>
  <c r="AH19" i="23"/>
  <c r="AS11" i="23"/>
  <c r="AZ11" i="23" s="1"/>
  <c r="AI11" i="23"/>
  <c r="AS18" i="23"/>
  <c r="AZ18" i="23" s="1"/>
  <c r="AI18" i="23"/>
  <c r="AI15" i="23"/>
  <c r="AS15" i="23"/>
  <c r="AZ15" i="23" s="1"/>
  <c r="AS26" i="23"/>
  <c r="AZ26" i="23" s="1"/>
  <c r="AI26" i="23"/>
  <c r="AI19" i="23"/>
  <c r="AS19" i="23"/>
  <c r="AZ19" i="23" s="1"/>
  <c r="P9" i="23"/>
  <c r="P27" i="23"/>
  <c r="H22" i="24"/>
  <c r="P15" i="23"/>
  <c r="P12" i="23"/>
  <c r="P13" i="23"/>
  <c r="P10" i="23"/>
  <c r="P24" i="23"/>
  <c r="P19" i="23"/>
  <c r="P16" i="23"/>
  <c r="P17" i="23"/>
  <c r="P14" i="23"/>
  <c r="P7" i="23"/>
  <c r="P25" i="23"/>
  <c r="P20" i="23"/>
  <c r="P26" i="23"/>
  <c r="P21" i="23"/>
  <c r="P18" i="23"/>
  <c r="P11" i="23"/>
  <c r="P8" i="23"/>
  <c r="E7" i="26"/>
  <c r="L47" i="25"/>
  <c r="AR11" i="23"/>
  <c r="AY11" i="23" s="1"/>
  <c r="AH11" i="23"/>
  <c r="AH26" i="23"/>
  <c r="AR26" i="23"/>
  <c r="AY26" i="23" s="1"/>
  <c r="AR10" i="23"/>
  <c r="AY10" i="23" s="1"/>
  <c r="AH10" i="23"/>
  <c r="AR21" i="23"/>
  <c r="AY21" i="23" s="1"/>
  <c r="AH21" i="23"/>
  <c r="F6" i="26"/>
  <c r="K48" i="25"/>
  <c r="AS21" i="23"/>
  <c r="AZ21" i="23" s="1"/>
  <c r="AI21" i="23"/>
  <c r="U40" i="23"/>
  <c r="AB7" i="23"/>
  <c r="AS10" i="23"/>
  <c r="AZ10" i="23" s="1"/>
  <c r="AI10" i="23"/>
  <c r="AI16" i="23"/>
  <c r="AS16" i="23"/>
  <c r="AZ16" i="23" s="1"/>
  <c r="AS12" i="23"/>
  <c r="AZ12" i="23" s="1"/>
  <c r="AI12" i="23"/>
  <c r="L25" i="23"/>
  <c r="S25" i="23" s="1"/>
  <c r="Z25" i="23" s="1"/>
  <c r="L11" i="23"/>
  <c r="S11" i="23" s="1"/>
  <c r="Z11" i="23" s="1"/>
  <c r="L19" i="23"/>
  <c r="S19" i="23" s="1"/>
  <c r="Z19" i="23" s="1"/>
  <c r="L24" i="23"/>
  <c r="S24" i="23" s="1"/>
  <c r="Z24" i="23" s="1"/>
  <c r="L21" i="23"/>
  <c r="S21" i="23" s="1"/>
  <c r="Z21" i="23" s="1"/>
  <c r="L18" i="23"/>
  <c r="S18" i="23" s="1"/>
  <c r="Z18" i="23" s="1"/>
  <c r="L26" i="23"/>
  <c r="S26" i="23" s="1"/>
  <c r="Z26" i="23" s="1"/>
  <c r="L14" i="23"/>
  <c r="S14" i="23" s="1"/>
  <c r="Z14" i="23" s="1"/>
  <c r="L15" i="23"/>
  <c r="S15" i="23" s="1"/>
  <c r="Z15" i="23" s="1"/>
  <c r="L13" i="23"/>
  <c r="S13" i="23" s="1"/>
  <c r="Z13" i="23" s="1"/>
  <c r="L17" i="23"/>
  <c r="S17" i="23" s="1"/>
  <c r="Z17" i="23" s="1"/>
  <c r="L9" i="23"/>
  <c r="S9" i="23" s="1"/>
  <c r="Z9" i="23" s="1"/>
  <c r="L12" i="23"/>
  <c r="S12" i="23" s="1"/>
  <c r="Z12" i="23" s="1"/>
  <c r="L20" i="23"/>
  <c r="S20" i="23" s="1"/>
  <c r="Z20" i="23" s="1"/>
  <c r="L16" i="23"/>
  <c r="S16" i="23" s="1"/>
  <c r="Z16" i="23" s="1"/>
  <c r="L8" i="23"/>
  <c r="S8" i="23" s="1"/>
  <c r="Z8" i="23" s="1"/>
  <c r="L27" i="23"/>
  <c r="S27" i="23" s="1"/>
  <c r="Z27" i="23" s="1"/>
  <c r="L10" i="23"/>
  <c r="S10" i="23" s="1"/>
  <c r="Z10" i="23" s="1"/>
  <c r="L7" i="23"/>
  <c r="S7" i="23" s="1"/>
  <c r="O17" i="23"/>
  <c r="V17" i="23" s="1"/>
  <c r="AC17" i="23" s="1"/>
  <c r="O14" i="23"/>
  <c r="V14" i="23" s="1"/>
  <c r="AC14" i="23" s="1"/>
  <c r="O7" i="23"/>
  <c r="O12" i="23"/>
  <c r="V12" i="23" s="1"/>
  <c r="AC12" i="23" s="1"/>
  <c r="O26" i="23"/>
  <c r="V26" i="23" s="1"/>
  <c r="AC26" i="23" s="1"/>
  <c r="O21" i="23"/>
  <c r="V21" i="23" s="1"/>
  <c r="AC21" i="23" s="1"/>
  <c r="O18" i="23"/>
  <c r="V18" i="23" s="1"/>
  <c r="AC18" i="23" s="1"/>
  <c r="O11" i="23"/>
  <c r="V11" i="23" s="1"/>
  <c r="AC11" i="23" s="1"/>
  <c r="O20" i="23"/>
  <c r="V20" i="23" s="1"/>
  <c r="AC20" i="23" s="1"/>
  <c r="O9" i="23"/>
  <c r="V9" i="23" s="1"/>
  <c r="AC9" i="23" s="1"/>
  <c r="O27" i="23"/>
  <c r="V27" i="23" s="1"/>
  <c r="AC27" i="23" s="1"/>
  <c r="O8" i="23"/>
  <c r="V8" i="23" s="1"/>
  <c r="AC8" i="23" s="1"/>
  <c r="O15" i="23"/>
  <c r="V15" i="23" s="1"/>
  <c r="AC15" i="23" s="1"/>
  <c r="O25" i="23"/>
  <c r="V25" i="23" s="1"/>
  <c r="AC25" i="23" s="1"/>
  <c r="O13" i="23"/>
  <c r="O10" i="23"/>
  <c r="O24" i="23"/>
  <c r="O19" i="23"/>
  <c r="O16" i="23"/>
  <c r="AH14" i="23"/>
  <c r="AR14" i="23"/>
  <c r="AY14" i="23" s="1"/>
  <c r="AR24" i="23"/>
  <c r="AY24" i="23" s="1"/>
  <c r="AH24" i="23"/>
  <c r="AA48" i="23"/>
  <c r="AR13" i="23"/>
  <c r="AY13" i="23" s="1"/>
  <c r="AH13" i="23"/>
  <c r="AR27" i="23"/>
  <c r="AY27" i="23" s="1"/>
  <c r="AH27" i="23"/>
  <c r="AH16" i="23"/>
  <c r="AR16" i="23"/>
  <c r="AY16" i="23" s="1"/>
  <c r="F7" i="26"/>
  <c r="K47" i="25"/>
  <c r="AS20" i="23"/>
  <c r="AZ20" i="23" s="1"/>
  <c r="AI20" i="23"/>
  <c r="AS9" i="23"/>
  <c r="AZ9" i="23" s="1"/>
  <c r="AI9" i="23"/>
  <c r="AI27" i="23"/>
  <c r="AS27" i="23"/>
  <c r="AZ27" i="23" s="1"/>
  <c r="AI25" i="23"/>
  <c r="AS25" i="23"/>
  <c r="AZ25" i="23" s="1"/>
  <c r="M47" i="25"/>
  <c r="D7" i="26"/>
  <c r="J47" i="25"/>
  <c r="J48" i="25"/>
  <c r="AR8" i="23"/>
  <c r="AY8" i="23" s="1"/>
  <c r="AH8" i="23"/>
  <c r="AR15" i="23"/>
  <c r="AY15" i="23" s="1"/>
  <c r="AH15" i="23"/>
  <c r="AR25" i="23"/>
  <c r="AY25" i="23" s="1"/>
  <c r="AH25" i="23"/>
  <c r="AR18" i="23"/>
  <c r="AY18" i="23" s="1"/>
  <c r="AH18" i="23"/>
  <c r="T40" i="23"/>
  <c r="AA7" i="23"/>
  <c r="AS14" i="23"/>
  <c r="AZ14" i="23" s="1"/>
  <c r="AI14" i="23"/>
  <c r="AS8" i="23"/>
  <c r="AZ8" i="23" s="1"/>
  <c r="AI8" i="23"/>
  <c r="AS17" i="23"/>
  <c r="AZ17" i="23" s="1"/>
  <c r="AI17" i="23"/>
  <c r="AB48" i="23"/>
  <c r="AS13" i="23"/>
  <c r="AZ13" i="23" s="1"/>
  <c r="AI13" i="23"/>
  <c r="AS24" i="23"/>
  <c r="AZ24" i="23" s="1"/>
  <c r="AI24" i="23"/>
  <c r="D6" i="26"/>
  <c r="M48" i="25"/>
  <c r="B6" i="26" l="1"/>
  <c r="O47" i="25"/>
  <c r="V16" i="23"/>
  <c r="AC16" i="23" s="1"/>
  <c r="V13" i="23"/>
  <c r="AC13" i="23" s="1"/>
  <c r="AT27" i="23"/>
  <c r="BA27" i="23" s="1"/>
  <c r="AJ27" i="23"/>
  <c r="AT18" i="23"/>
  <c r="BA18" i="23" s="1"/>
  <c r="AJ18" i="23"/>
  <c r="V7" i="23"/>
  <c r="AC7" i="23" s="1"/>
  <c r="AG10" i="23"/>
  <c r="AQ10" i="23"/>
  <c r="AX10" i="23" s="1"/>
  <c r="AG20" i="23"/>
  <c r="AQ20" i="23"/>
  <c r="AX20" i="23" s="1"/>
  <c r="AQ13" i="23"/>
  <c r="AX13" i="23" s="1"/>
  <c r="Z48" i="23"/>
  <c r="AG13" i="23"/>
  <c r="AQ18" i="23"/>
  <c r="AX18" i="23" s="1"/>
  <c r="AG18" i="23"/>
  <c r="AG11" i="23"/>
  <c r="AQ11" i="23"/>
  <c r="AX11" i="23" s="1"/>
  <c r="AB41" i="23"/>
  <c r="AS7" i="23"/>
  <c r="AI7" i="23"/>
  <c r="AI41" i="23" s="1"/>
  <c r="AB47" i="23"/>
  <c r="AB49" i="23" s="1"/>
  <c r="D10" i="26" s="1"/>
  <c r="W8" i="23"/>
  <c r="AD8" i="23" s="1"/>
  <c r="AU8" i="23" s="1"/>
  <c r="W26" i="23"/>
  <c r="AD26" i="23" s="1"/>
  <c r="AU26" i="23" s="1"/>
  <c r="W14" i="23"/>
  <c r="AD14" i="23" s="1"/>
  <c r="AU14" i="23" s="1"/>
  <c r="W24" i="23"/>
  <c r="AD24" i="23" s="1"/>
  <c r="AU24" i="23" s="1"/>
  <c r="W15" i="23"/>
  <c r="AD15" i="23" s="1"/>
  <c r="AU15" i="23" s="1"/>
  <c r="AA41" i="23"/>
  <c r="AR7" i="23"/>
  <c r="AH7" i="23"/>
  <c r="AH41" i="23" s="1"/>
  <c r="AA47" i="23"/>
  <c r="AA49" i="23" s="1"/>
  <c r="E10" i="26" s="1"/>
  <c r="V19" i="23"/>
  <c r="AC19" i="23" s="1"/>
  <c r="AJ25" i="23"/>
  <c r="AT25" i="23"/>
  <c r="BA25" i="23" s="1"/>
  <c r="AT9" i="23"/>
  <c r="BA9" i="23" s="1"/>
  <c r="AJ9" i="23"/>
  <c r="AT21" i="23"/>
  <c r="BA21" i="23" s="1"/>
  <c r="AJ21" i="23"/>
  <c r="AJ14" i="23"/>
  <c r="AT14" i="23"/>
  <c r="BA14" i="23" s="1"/>
  <c r="AG27" i="23"/>
  <c r="AQ27" i="23"/>
  <c r="AX27" i="23" s="1"/>
  <c r="AG12" i="23"/>
  <c r="AQ12" i="23"/>
  <c r="AX12" i="23" s="1"/>
  <c r="AQ15" i="23"/>
  <c r="AX15" i="23" s="1"/>
  <c r="AG15" i="23"/>
  <c r="AG21" i="23"/>
  <c r="AQ21" i="23"/>
  <c r="AX21" i="23" s="1"/>
  <c r="AG25" i="23"/>
  <c r="AQ25" i="23"/>
  <c r="AX25" i="23" s="1"/>
  <c r="W11" i="23"/>
  <c r="AD11" i="23" s="1"/>
  <c r="AU11" i="23" s="1"/>
  <c r="W20" i="23"/>
  <c r="AD20" i="23" s="1"/>
  <c r="AU20" i="23" s="1"/>
  <c r="W17" i="23"/>
  <c r="AD17" i="23" s="1"/>
  <c r="AU17" i="23" s="1"/>
  <c r="W10" i="23"/>
  <c r="AD10" i="23" s="1"/>
  <c r="AU10" i="23" s="1"/>
  <c r="AB50" i="23"/>
  <c r="V24" i="23"/>
  <c r="AC24" i="23" s="1"/>
  <c r="AT15" i="23"/>
  <c r="BA15" i="23" s="1"/>
  <c r="AJ15" i="23"/>
  <c r="AT20" i="23"/>
  <c r="BA20" i="23" s="1"/>
  <c r="AJ20" i="23"/>
  <c r="AJ26" i="23"/>
  <c r="AT26" i="23"/>
  <c r="BA26" i="23" s="1"/>
  <c r="AJ17" i="23"/>
  <c r="AT17" i="23"/>
  <c r="BA17" i="23" s="1"/>
  <c r="AG8" i="23"/>
  <c r="AQ8" i="23"/>
  <c r="AX8" i="23" s="1"/>
  <c r="AQ9" i="23"/>
  <c r="AX9" i="23" s="1"/>
  <c r="AG9" i="23"/>
  <c r="AG14" i="23"/>
  <c r="AQ14" i="23"/>
  <c r="AX14" i="23" s="1"/>
  <c r="AQ24" i="23"/>
  <c r="AX24" i="23" s="1"/>
  <c r="AG24" i="23"/>
  <c r="W18" i="23"/>
  <c r="AD18" i="23" s="1"/>
  <c r="AU18" i="23" s="1"/>
  <c r="W25" i="23"/>
  <c r="AD25" i="23" s="1"/>
  <c r="AU25" i="23" s="1"/>
  <c r="W16" i="23"/>
  <c r="AD16" i="23" s="1"/>
  <c r="AU16" i="23" s="1"/>
  <c r="W13" i="23"/>
  <c r="AD13" i="23" s="1"/>
  <c r="W27" i="23"/>
  <c r="AD27" i="23" s="1"/>
  <c r="AU27" i="23" s="1"/>
  <c r="N47" i="25"/>
  <c r="C7" i="26"/>
  <c r="B7" i="26"/>
  <c r="O48" i="25"/>
  <c r="AA50" i="23"/>
  <c r="V10" i="23"/>
  <c r="AC10" i="23" s="1"/>
  <c r="AT8" i="23"/>
  <c r="BA8" i="23" s="1"/>
  <c r="AJ8" i="23"/>
  <c r="AT11" i="23"/>
  <c r="BA11" i="23" s="1"/>
  <c r="AJ11" i="23"/>
  <c r="AT12" i="23"/>
  <c r="BA12" i="23" s="1"/>
  <c r="AJ12" i="23"/>
  <c r="S40" i="23"/>
  <c r="Z7" i="23"/>
  <c r="AQ16" i="23"/>
  <c r="AX16" i="23" s="1"/>
  <c r="AG16" i="23"/>
  <c r="AG17" i="23"/>
  <c r="AQ17" i="23"/>
  <c r="AX17" i="23" s="1"/>
  <c r="AQ26" i="23"/>
  <c r="AX26" i="23" s="1"/>
  <c r="AG26" i="23"/>
  <c r="AG19" i="23"/>
  <c r="AQ19" i="23"/>
  <c r="AX19" i="23" s="1"/>
  <c r="W21" i="23"/>
  <c r="AD21" i="23" s="1"/>
  <c r="AU21" i="23" s="1"/>
  <c r="W7" i="23"/>
  <c r="AD7" i="23" s="1"/>
  <c r="W19" i="23"/>
  <c r="AD19" i="23" s="1"/>
  <c r="AU19" i="23" s="1"/>
  <c r="W12" i="23"/>
  <c r="AD12" i="23" s="1"/>
  <c r="AU12" i="23" s="1"/>
  <c r="W9" i="23"/>
  <c r="AD9" i="23" s="1"/>
  <c r="AU9" i="23" s="1"/>
  <c r="C6" i="26"/>
  <c r="N48" i="25"/>
  <c r="AT7" i="23" l="1"/>
  <c r="AC47" i="23"/>
  <c r="AJ7" i="23"/>
  <c r="AC41" i="23"/>
  <c r="AD48" i="23"/>
  <c r="AU13" i="23"/>
  <c r="AT24" i="23"/>
  <c r="BA24" i="23" s="1"/>
  <c r="AJ24" i="23"/>
  <c r="AC48" i="23"/>
  <c r="AJ13" i="23"/>
  <c r="AT13" i="23"/>
  <c r="BA13" i="23" s="1"/>
  <c r="AT16" i="23"/>
  <c r="BA16" i="23" s="1"/>
  <c r="AJ16" i="23"/>
  <c r="AT19" i="23"/>
  <c r="BA19" i="23" s="1"/>
  <c r="AJ19" i="23"/>
  <c r="AR41" i="23"/>
  <c r="AY7" i="23"/>
  <c r="AY41" i="23" s="1"/>
  <c r="V40" i="23"/>
  <c r="AD47" i="23"/>
  <c r="AU7" i="23"/>
  <c r="AD41" i="23"/>
  <c r="Z47" i="23"/>
  <c r="Z49" i="23" s="1"/>
  <c r="F10" i="26" s="1"/>
  <c r="AQ7" i="23"/>
  <c r="AG7" i="23"/>
  <c r="AG41" i="23" s="1"/>
  <c r="Z41" i="23"/>
  <c r="AT10" i="23"/>
  <c r="BA10" i="23" s="1"/>
  <c r="AJ10" i="23"/>
  <c r="AZ7" i="23"/>
  <c r="AZ41" i="23" s="1"/>
  <c r="AS41" i="23"/>
  <c r="AU41" i="23" l="1"/>
  <c r="AC50" i="23"/>
  <c r="AD50" i="23"/>
  <c r="AQ41" i="23"/>
  <c r="AX7" i="23"/>
  <c r="AX41" i="23" s="1"/>
  <c r="AD49" i="23"/>
  <c r="B10" i="26" s="1"/>
  <c r="Z50" i="23"/>
  <c r="AJ41" i="23"/>
  <c r="Z40" i="23"/>
  <c r="Z42" i="23" s="1"/>
  <c r="AC49" i="23"/>
  <c r="C10" i="26" s="1"/>
  <c r="BA7" i="23"/>
  <c r="BA41" i="23" s="1"/>
  <c r="AT41" i="23"/>
  <c r="AX40" i="23" l="1"/>
  <c r="AX42" i="23" s="1"/>
  <c r="AQ40" i="23"/>
  <c r="AT42" i="23"/>
  <c r="I49" i="25" s="1"/>
  <c r="AG40" i="23"/>
  <c r="AD42" i="23"/>
  <c r="AA42" i="23"/>
  <c r="AB42" i="23"/>
  <c r="AQ42" i="23"/>
  <c r="E49" i="25" s="1"/>
  <c r="AC42" i="23"/>
  <c r="AR42" i="23" l="1"/>
  <c r="G49" i="25" s="1"/>
  <c r="AS42" i="23"/>
  <c r="H49" i="25" s="1"/>
  <c r="AU42" i="23"/>
  <c r="J49" i="25" s="1"/>
  <c r="K49" i="25"/>
  <c r="K51" i="25" s="1"/>
  <c r="F5" i="26"/>
  <c r="AH42" i="23"/>
  <c r="AI42" i="23"/>
  <c r="AG42" i="23"/>
  <c r="BA42" i="23"/>
  <c r="AZ42" i="23"/>
  <c r="AY42" i="23"/>
  <c r="C5" i="26"/>
  <c r="N49" i="25"/>
  <c r="N51" i="25" s="1"/>
  <c r="AJ42" i="23"/>
  <c r="B5" i="26" l="1"/>
  <c r="O49" i="25"/>
  <c r="O51" i="25" s="1"/>
  <c r="D5" i="26"/>
  <c r="M49" i="25"/>
  <c r="M51" i="25" s="1"/>
  <c r="E5" i="26"/>
  <c r="L49" i="25"/>
  <c r="L51" i="25" s="1"/>
  <c r="O52" i="25" l="1"/>
  <c r="B8" i="26" s="1"/>
  <c r="L52" i="25"/>
  <c r="N52" i="25"/>
  <c r="M52" i="25"/>
  <c r="K52" i="25"/>
  <c r="F75" i="25" l="1"/>
  <c r="F8" i="26"/>
  <c r="D8" i="26"/>
  <c r="H75" i="25"/>
  <c r="N75" i="25" s="1"/>
  <c r="N77" i="25" s="1"/>
  <c r="C8" i="26"/>
  <c r="I75" i="25"/>
  <c r="O75" i="25" s="1"/>
  <c r="O77" i="25" s="1"/>
  <c r="E8" i="26"/>
  <c r="G75" i="25"/>
  <c r="M75" i="25" s="1"/>
  <c r="M77" i="25" s="1"/>
  <c r="L75" i="25" l="1"/>
  <c r="L77" i="25" s="1"/>
  <c r="D75" i="25"/>
  <c r="R77" i="25" l="1"/>
  <c r="L81" i="25" s="1"/>
  <c r="F9" i="26" l="1"/>
  <c r="S81" i="25"/>
  <c r="B9" i="26" s="1"/>
  <c r="P81" i="25"/>
  <c r="G9" i="26" s="1"/>
  <c r="N81" i="25"/>
  <c r="D9" i="26" s="1"/>
  <c r="O81" i="25"/>
  <c r="C9" i="26" s="1"/>
  <c r="M81" i="25"/>
  <c r="E9" i="26" s="1"/>
  <c r="E13" i="26" l="1"/>
  <c r="F6" i="27" s="1"/>
  <c r="C13" i="26"/>
  <c r="D6" i="27" s="1"/>
  <c r="B13" i="26"/>
  <c r="C6" i="27" s="1"/>
  <c r="D13" i="26"/>
  <c r="E6" i="27" s="1"/>
  <c r="R81" i="25"/>
</calcChain>
</file>

<file path=xl/sharedStrings.xml><?xml version="1.0" encoding="utf-8"?>
<sst xmlns="http://schemas.openxmlformats.org/spreadsheetml/2006/main" count="3864" uniqueCount="1062">
  <si>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</si>
  <si>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</si>
  <si>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</si>
  <si>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</si>
  <si>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</si>
  <si>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</si>
  <si>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</si>
  <si>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</si>
  <si>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</si>
  <si>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</si>
  <si>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</si>
  <si>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</si>
  <si>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</si>
  <si>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</si>
  <si>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</si>
  <si>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</si>
  <si>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</si>
  <si>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</si>
  <si>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</si>
  <si>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</si>
  <si>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</si>
  <si>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</si>
  <si>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</si>
  <si>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</si>
  <si>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</si>
  <si>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</si>
  <si>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</si>
  <si>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</si>
  <si>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</si>
  <si>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</si>
  <si>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</si>
  <si>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</si>
  <si>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</si>
  <si>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</si>
  <si>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</si>
  <si>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</si>
  <si>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</si>
  <si>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</si>
  <si>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</si>
  <si>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</si>
  <si>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</si>
  <si>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</si>
  <si>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</si>
  <si>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</si>
  <si>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</si>
  <si>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</si>
  <si>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</si>
  <si>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</si>
  <si>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</si>
  <si>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</si>
  <si>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</si>
  <si>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</si>
  <si>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</si>
  <si>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</si>
  <si>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</si>
  <si>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</si>
  <si>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</si>
  <si>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</si>
  <si>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</si>
  <si>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</si>
  <si>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</si>
  <si>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</si>
  <si>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</si>
  <si>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</si>
  <si>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</si>
  <si>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</si>
  <si>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</si>
  <si>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</si>
  <si>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</si>
  <si>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</si>
  <si>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</si>
  <si>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</si>
  <si>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</si>
  <si>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</si>
  <si>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</si>
  <si>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</si>
  <si>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</si>
  <si>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</si>
  <si>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</si>
  <si>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</si>
  <si>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</si>
  <si>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</si>
  <si>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</si>
  <si>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</si>
  <si>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</si>
  <si>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</si>
  <si>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</si>
  <si>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</si>
  <si>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</si>
  <si>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</si>
  <si>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</si>
  <si>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</si>
  <si>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</si>
  <si>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</si>
  <si>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</si>
  <si>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</si>
  <si>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</si>
  <si>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</si>
  <si>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</si>
  <si>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</si>
  <si>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</si>
  <si>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</si>
  <si>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</si>
  <si>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</si>
  <si>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</si>
  <si>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</si>
  <si>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</si>
  <si>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</si>
  <si>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</si>
  <si>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</si>
  <si>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</si>
  <si>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</si>
  <si>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</si>
  <si>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</si>
  <si>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</si>
  <si>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</si>
  <si>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</si>
  <si>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</si>
  <si>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</si>
  <si>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</si>
  <si>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</si>
  <si>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</si>
  <si>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</si>
  <si>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</si>
  <si>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</si>
  <si>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</si>
  <si>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</si>
  <si>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</si>
  <si>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</si>
  <si>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</si>
  <si>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</si>
  <si>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</si>
  <si>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</si>
  <si>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</si>
  <si>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</si>
  <si>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</si>
  <si>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</si>
  <si>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</si>
  <si>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</si>
  <si>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</si>
  <si>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</si>
  <si>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</si>
  <si>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</si>
  <si>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</si>
  <si>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</si>
  <si>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</si>
  <si>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</si>
  <si>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</si>
  <si>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</si>
  <si>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</si>
  <si>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</si>
  <si>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</si>
  <si>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</si>
  <si>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</si>
  <si>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</si>
  <si>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</si>
  <si>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</si>
  <si>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</si>
  <si>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</si>
  <si>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</si>
  <si>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</si>
  <si>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</si>
  <si>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</si>
  <si>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</si>
  <si>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</si>
  <si>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</si>
  <si>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</si>
  <si>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</si>
  <si>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</si>
  <si>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</si>
  <si>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</si>
  <si>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</si>
  <si>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</si>
  <si>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</si>
  <si>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</si>
  <si>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</si>
  <si>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</si>
  <si>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</si>
  <si>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</si>
  <si>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</si>
  <si>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</si>
  <si>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</si>
  <si>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</si>
  <si>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</si>
  <si>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</si>
  <si>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</si>
  <si>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</si>
  <si>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</si>
  <si>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</si>
  <si>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</si>
  <si>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</si>
  <si>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</si>
  <si>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</si>
  <si>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</si>
  <si>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</si>
  <si>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</si>
  <si>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</si>
  <si>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</si>
  <si>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</si>
  <si>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</si>
  <si>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</si>
  <si>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</si>
  <si>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</si>
  <si>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</si>
  <si>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</si>
  <si>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</si>
  <si>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</si>
  <si>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</si>
  <si>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</si>
  <si>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</si>
  <si>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</si>
  <si>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</si>
  <si>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</si>
  <si>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</si>
  <si>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</si>
  <si>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</si>
  <si>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</si>
  <si>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</si>
  <si>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</si>
  <si>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</si>
  <si>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</si>
  <si>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</si>
  <si>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</si>
  <si>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</si>
  <si>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</si>
  <si>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</si>
  <si>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</si>
  <si>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</si>
  <si>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</si>
  <si>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</si>
  <si>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</si>
  <si>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</si>
  <si>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</si>
  <si>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</si>
  <si>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</si>
  <si>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</si>
  <si>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</si>
  <si>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</si>
  <si>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</si>
  <si>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</si>
  <si>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</si>
  <si>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</si>
  <si>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</si>
  <si>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</si>
  <si>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</si>
  <si>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</si>
  <si>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</si>
  <si>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</si>
  <si>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</si>
  <si>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</si>
  <si>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</si>
  <si>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</si>
  <si>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</si>
  <si>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</si>
  <si>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</si>
  <si>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</si>
  <si>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</si>
  <si>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</si>
  <si>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</si>
  <si>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</si>
  <si>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</si>
  <si>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</si>
  <si>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</si>
  <si>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</si>
  <si>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</si>
  <si>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</si>
  <si>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</si>
  <si>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</si>
  <si>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</si>
  <si>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</si>
  <si>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</si>
  <si>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</si>
  <si>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</si>
  <si>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</si>
  <si>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</si>
  <si>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</si>
  <si>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</si>
  <si>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</si>
  <si>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</si>
  <si>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</si>
  <si>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</si>
  <si>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</si>
  <si>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</si>
  <si>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</si>
  <si>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</si>
  <si>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</si>
  <si>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</si>
  <si>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</si>
  <si>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</si>
  <si>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</si>
  <si>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</si>
  <si>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</si>
  <si>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</si>
  <si>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</si>
  <si>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</si>
  <si>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</si>
  <si>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</si>
  <si>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</si>
  <si>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</si>
  <si>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</si>
  <si>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</si>
  <si>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</si>
  <si>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</si>
  <si>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</si>
  <si>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</si>
  <si>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</si>
  <si>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</si>
  <si>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</si>
  <si>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</si>
  <si>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</si>
  <si>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</si>
  <si>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</si>
  <si>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</si>
  <si>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</si>
  <si>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</si>
  <si>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</si>
  <si>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</si>
  <si>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</si>
  <si>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</si>
  <si>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</si>
  <si>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</si>
  <si>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</si>
  <si>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</si>
  <si>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</si>
  <si>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</si>
  <si>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</si>
  <si>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</si>
  <si>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</si>
  <si>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</si>
  <si>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</si>
  <si>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</si>
  <si>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</si>
  <si>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</si>
  <si>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</si>
  <si>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</si>
  <si>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</si>
  <si>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</si>
  <si>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</si>
  <si>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</si>
  <si>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</si>
  <si>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</si>
  <si>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</si>
  <si>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</si>
  <si>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</si>
  <si>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</si>
  <si>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</si>
  <si>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</si>
  <si>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</si>
  <si>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</si>
  <si>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</si>
  <si>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</si>
  <si>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</si>
  <si>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</si>
  <si>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</si>
  <si>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</si>
  <si>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</si>
  <si>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</si>
  <si>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</si>
  <si>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</si>
  <si>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</si>
  <si>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</si>
  <si>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</si>
  <si>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</si>
  <si>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</si>
  <si>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</si>
  <si>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</si>
  <si>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</si>
  <si>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</si>
  <si>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</si>
  <si>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</si>
  <si>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</si>
  <si>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</si>
  <si>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</si>
  <si>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</si>
  <si>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</si>
  <si>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</si>
  <si>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</si>
  <si>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</si>
  <si>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</si>
  <si>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</si>
  <si>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</si>
  <si>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</si>
  <si>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</si>
  <si>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</si>
  <si>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</si>
  <si>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</si>
  <si>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</si>
  <si>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</si>
  <si>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</si>
  <si>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</si>
  <si>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</si>
  <si>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</si>
  <si>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</si>
  <si>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</si>
  <si>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</si>
  <si>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</si>
  <si>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</si>
  <si>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</si>
  <si>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</si>
  <si>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</si>
  <si>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</si>
  <si>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</si>
  <si>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</si>
  <si>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</si>
  <si>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</si>
  <si>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</si>
  <si>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</si>
  <si>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</si>
  <si>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</si>
  <si>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</si>
  <si>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</si>
  <si>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</si>
  <si>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</si>
  <si>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</si>
  <si>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</si>
  <si>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</si>
  <si>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</si>
  <si>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</si>
  <si>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</si>
  <si>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</si>
  <si>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</si>
  <si>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</si>
  <si>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</si>
  <si>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</si>
  <si>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</si>
  <si>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</si>
  <si>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</si>
  <si>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</si>
  <si>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</si>
  <si>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</si>
  <si>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</si>
  <si>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</si>
  <si>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</si>
  <si>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</si>
  <si>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</si>
  <si>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</si>
  <si>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</si>
  <si>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</si>
  <si>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</si>
  <si>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</si>
  <si>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</si>
  <si>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</si>
  <si>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</si>
  <si>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</si>
  <si>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</si>
  <si>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</si>
  <si>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</si>
  <si>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</si>
  <si>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</si>
  <si>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</si>
  <si>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</si>
  <si>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</si>
  <si>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</si>
  <si>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</si>
  <si>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</si>
  <si>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</si>
  <si>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</si>
  <si>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</si>
  <si>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</si>
  <si>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</si>
  <si>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</si>
  <si>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</si>
  <si>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</si>
  <si>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</si>
  <si>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</si>
  <si>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</si>
  <si>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</si>
  <si>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</si>
  <si>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</si>
  <si>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</si>
  <si>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</si>
  <si>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</si>
  <si>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</si>
  <si>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</si>
  <si>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</si>
  <si>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</si>
  <si>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</si>
  <si>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</si>
  <si>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</si>
  <si>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</si>
  <si>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</si>
  <si>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</si>
  <si>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</si>
  <si>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</si>
  <si>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</si>
  <si>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</si>
  <si>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</si>
  <si>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</si>
  <si>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</si>
  <si>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</si>
  <si>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</si>
  <si>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</si>
  <si>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</si>
  <si>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</si>
  <si>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</si>
  <si>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</si>
  <si>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</si>
  <si>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</si>
  <si>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</si>
  <si>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</si>
  <si>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</si>
  <si>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</si>
  <si>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</si>
  <si>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</si>
  <si>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</si>
  <si>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</si>
  <si>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</si>
  <si>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</si>
  <si>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</si>
  <si>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</si>
  <si>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</si>
  <si>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</si>
  <si>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</si>
  <si>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</si>
  <si>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</si>
  <si>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</si>
  <si>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</si>
  <si>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</si>
  <si>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</si>
  <si>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</si>
  <si>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</si>
  <si>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</si>
  <si>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</si>
  <si>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</si>
  <si>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</si>
  <si>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</si>
  <si>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</si>
  <si>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</si>
  <si>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</si>
  <si>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</si>
  <si>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</si>
  <si>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</si>
  <si>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</si>
  <si>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</si>
  <si>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</si>
  <si>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</si>
  <si>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</si>
  <si>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</si>
  <si>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</si>
  <si>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</si>
  <si>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</si>
  <si>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</si>
  <si>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</si>
  <si>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</si>
  <si>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</si>
  <si>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</si>
  <si>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</si>
  <si>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</si>
  <si>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</si>
  <si>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</si>
  <si>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</si>
  <si>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</si>
  <si>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</si>
  <si>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</si>
  <si>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</si>
  <si>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</si>
  <si>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</si>
  <si>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</si>
  <si>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</si>
  <si>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</si>
  <si>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</si>
  <si>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</si>
  <si>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</si>
  <si>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</si>
  <si>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</si>
  <si>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</si>
  <si>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</si>
  <si>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</si>
  <si>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</si>
  <si>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</si>
  <si>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</si>
  <si>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</si>
  <si>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</si>
  <si>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</si>
  <si>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</si>
  <si>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</si>
  <si>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</si>
  <si>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</si>
  <si>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</si>
  <si>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</si>
  <si>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</si>
  <si>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</si>
  <si>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</si>
  <si>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</si>
  <si>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</si>
  <si>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</si>
  <si>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</si>
  <si>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</si>
  <si>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</si>
  <si>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</si>
  <si>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</si>
  <si>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</si>
  <si>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</si>
  <si>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</si>
  <si>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</si>
  <si>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</si>
  <si>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</si>
  <si>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</si>
  <si>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</si>
  <si>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</si>
  <si>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</si>
  <si>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</si>
  <si>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</si>
  <si>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</si>
  <si>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</si>
  <si>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</si>
  <si>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</si>
  <si>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</si>
  <si>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</si>
  <si>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</si>
  <si>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</si>
  <si>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</si>
  <si>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</si>
  <si>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</si>
  <si>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</si>
  <si>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</si>
  <si>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</si>
  <si>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</si>
  <si>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</si>
  <si>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</si>
  <si>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</si>
  <si>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</si>
  <si>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</si>
  <si>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</si>
  <si>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</si>
  <si>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</si>
  <si>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</si>
  <si>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</si>
  <si>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</si>
  <si>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</si>
  <si>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</si>
  <si>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</si>
  <si>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</si>
  <si>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</si>
  <si>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</si>
  <si>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</si>
  <si>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</si>
  <si>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</si>
  <si>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</si>
  <si>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</si>
  <si>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</si>
  <si>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</si>
  <si>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</si>
  <si>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</si>
  <si>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</si>
  <si>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</si>
  <si>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</si>
  <si>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</si>
  <si>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</si>
  <si>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</si>
  <si>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</si>
  <si>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</si>
  <si>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</si>
  <si>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</si>
  <si>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</si>
  <si>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</si>
  <si>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</si>
  <si>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</si>
  <si>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</si>
  <si>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</si>
  <si>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</si>
  <si>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</si>
  <si>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</si>
  <si>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</si>
  <si>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</si>
  <si>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</si>
  <si>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</si>
  <si>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</si>
  <si>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</si>
  <si>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</si>
  <si>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</si>
  <si>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</si>
  <si>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</si>
  <si>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</si>
  <si>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</si>
  <si>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</si>
  <si>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</si>
  <si>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</si>
  <si>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</si>
  <si>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</si>
  <si>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</si>
  <si>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</si>
  <si>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</si>
  <si>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</si>
  <si>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</si>
  <si>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</si>
  <si>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</si>
  <si>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</si>
  <si>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</si>
  <si>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</si>
  <si>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</si>
  <si>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</si>
  <si>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</si>
  <si>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</si>
  <si>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</si>
  <si>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</si>
  <si>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</si>
  <si>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</si>
  <si>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</si>
  <si>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</si>
  <si>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</si>
  <si>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</si>
  <si>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</si>
  <si>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</si>
  <si>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</si>
  <si>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</si>
  <si>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</si>
  <si>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</si>
  <si>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</si>
  <si>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</si>
  <si>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</si>
  <si>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</si>
  <si>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</si>
  <si>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</si>
  <si>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</si>
  <si>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</si>
  <si>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</si>
  <si>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</si>
  <si>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</si>
  <si>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</si>
  <si>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</si>
  <si>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</si>
  <si>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</si>
  <si>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</si>
  <si>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</si>
  <si>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</si>
  <si>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</si>
  <si>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</si>
  <si>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</si>
  <si>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</si>
  <si>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</si>
  <si>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</si>
  <si>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</si>
  <si>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</si>
  <si>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</si>
  <si>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</si>
  <si>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</si>
  <si>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</si>
  <si>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</si>
  <si>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</si>
  <si>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</si>
  <si>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</si>
  <si>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</si>
  <si>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</si>
  <si>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</si>
  <si>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</si>
  <si>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</si>
  <si>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</si>
  <si>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</si>
  <si>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</si>
  <si>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</si>
  <si>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</si>
  <si>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</si>
  <si>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</si>
  <si>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</si>
  <si>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</si>
  <si>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</si>
  <si>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</si>
  <si>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</si>
  <si>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</si>
  <si>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</si>
  <si>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</si>
  <si>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</si>
  <si>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</si>
  <si>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</si>
  <si>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</si>
  <si>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</si>
  <si>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</si>
  <si>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</si>
  <si>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</si>
  <si>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</si>
  <si>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</si>
  <si>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</si>
  <si>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</si>
  <si>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</si>
  <si>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</si>
  <si>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</si>
  <si>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</si>
  <si>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</si>
  <si>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</si>
  <si>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</si>
  <si>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</si>
  <si>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</si>
  <si>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</si>
  <si>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</si>
  <si>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</si>
  <si>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</si>
  <si>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</si>
  <si>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</si>
  <si>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</si>
  <si>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</si>
  <si>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</si>
  <si>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</si>
  <si>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</si>
  <si>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</si>
  <si>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</si>
  <si>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</si>
  <si>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</si>
  <si>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</si>
  <si>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</si>
  <si>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</si>
  <si>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</si>
  <si>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</si>
  <si>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</si>
  <si>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</si>
  <si>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</si>
  <si>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</si>
  <si>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</si>
  <si>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</si>
  <si>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</si>
  <si>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</si>
  <si>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</si>
  <si>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</si>
  <si>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</si>
  <si>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</si>
  <si>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</si>
  <si>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</si>
  <si>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</si>
  <si>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</si>
  <si>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</si>
  <si>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</si>
  <si>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</si>
  <si>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</si>
  <si>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</si>
  <si>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</si>
  <si>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</si>
  <si>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</si>
  <si>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</si>
  <si>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</si>
  <si>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</si>
  <si>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</si>
  <si>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</si>
  <si>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</si>
  <si>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</si>
  <si>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</si>
  <si>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</si>
  <si>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</si>
  <si>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</si>
  <si>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</si>
  <si>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</si>
  <si>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</si>
  <si>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</si>
  <si>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</si>
  <si>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</si>
  <si>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</si>
  <si>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</si>
  <si>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</si>
  <si>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</si>
  <si>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</si>
  <si>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</si>
  <si>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</si>
  <si>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</si>
  <si>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</si>
  <si>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</si>
  <si>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</si>
  <si>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</si>
  <si>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</si>
  <si>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</si>
  <si>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</si>
  <si>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</si>
  <si>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</si>
  <si>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</si>
  <si>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</si>
  <si>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</si>
  <si>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</si>
  <si>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</si>
  <si>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</si>
  <si>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</si>
  <si>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</si>
  <si>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</si>
  <si>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</si>
  <si>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</si>
  <si>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</si>
  <si>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</si>
  <si>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</si>
  <si>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</si>
  <si>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</si>
  <si>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</si>
  <si>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</si>
  <si>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</si>
  <si>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</si>
  <si>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</si>
  <si>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</si>
  <si>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</si>
  <si>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</si>
  <si>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</si>
  <si>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</si>
  <si>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</si>
  <si>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</si>
  <si>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</si>
  <si>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</si>
  <si>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</si>
  <si>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</si>
  <si>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</si>
  <si>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</si>
  <si>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</si>
  <si>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</si>
  <si>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</si>
  <si>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</si>
  <si>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</si>
  <si>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</si>
  <si>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</si>
  <si>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</si>
  <si>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</si>
  <si>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</si>
  <si>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</si>
  <si>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</si>
  <si>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</si>
  <si>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</si>
  <si>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</si>
  <si>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</si>
  <si>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</si>
  <si>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</si>
  <si>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</si>
  <si>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</si>
  <si>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</si>
  <si>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</si>
  <si>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</si>
  <si>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</si>
  <si>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</si>
  <si>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</si>
  <si>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</si>
  <si>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</si>
  <si>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</si>
  <si>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</si>
  <si>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</si>
  <si>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</si>
  <si>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</si>
  <si>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</si>
  <si>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</si>
  <si>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</si>
  <si>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</si>
  <si>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</si>
  <si>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</si>
  <si>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</si>
  <si>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</si>
  <si>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</si>
  <si>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</si>
  <si>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</si>
  <si>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</si>
  <si>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</si>
  <si>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</si>
  <si>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</si>
  <si>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</si>
  <si>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</si>
  <si>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</si>
  <si>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</si>
  <si>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</si>
  <si>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</si>
  <si>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</si>
  <si>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</si>
  <si>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</si>
  <si>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</si>
  <si>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</si>
  <si>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</si>
  <si>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</si>
  <si>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</si>
  <si>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</si>
  <si>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</si>
  <si>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</si>
  <si>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</si>
  <si>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</si>
  <si>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</si>
  <si>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</si>
  <si>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</si>
  <si>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</si>
  <si>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</si>
  <si>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</si>
  <si>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</si>
  <si>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</si>
  <si>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</si>
  <si>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</si>
  <si>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</si>
  <si>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</si>
  <si>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</si>
  <si>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</si>
  <si>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</si>
  <si>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</si>
  <si>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</si>
  <si>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</si>
  <si>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</si>
  <si>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</si>
  <si>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</si>
  <si>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</si>
  <si>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</si>
  <si>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</si>
  <si>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</si>
  <si>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</si>
  <si>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</si>
  <si>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</si>
  <si>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</si>
  <si>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</si>
  <si>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</si>
  <si>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</si>
  <si>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</si>
  <si>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</si>
  <si>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</si>
  <si>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</si>
  <si>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</si>
  <si>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</si>
  <si>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</si>
  <si>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</si>
  <si>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</si>
  <si>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</si>
  <si>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</si>
  <si>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</si>
  <si>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</si>
  <si>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</si>
  <si>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</si>
  <si>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</si>
  <si>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</si>
  <si>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</si>
  <si>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</si>
  <si>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</si>
  <si>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</si>
  <si>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</si>
  <si>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</si>
  <si>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</si>
  <si>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</si>
  <si>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WPD South Wales</t>
  </si>
  <si>
    <t>2016/17</t>
  </si>
  <si>
    <t>Finals</t>
  </si>
  <si>
    <t>Index</t>
  </si>
  <si>
    <t>-</t>
  </si>
  <si>
    <t>0</t>
  </si>
  <si>
    <t>EDFE SPN</t>
  </si>
  <si>
    <t>33/11</t>
  </si>
  <si>
    <t>a</t>
  </si>
  <si>
    <t>Change 33/11 transformer units to 12/24 and replace 11kV switchboard</t>
  </si>
  <si>
    <t>c</t>
  </si>
  <si>
    <t>Establish new 33kV circuit into Tregaron site.</t>
  </si>
  <si>
    <t>11kV load transfer to Waterton 132/11</t>
  </si>
  <si>
    <t>d</t>
  </si>
  <si>
    <t>Establish 3rd 33kV circuit (cable) to s/s and additional 12/24 transformer &amp; 11kV Swbd Change</t>
  </si>
  <si>
    <t>b</t>
  </si>
  <si>
    <t>Establish 33kV switchboard and 2nd transformer unit.</t>
  </si>
  <si>
    <t>Install 2nd transformer, and 33kV circuit (o/h)</t>
  </si>
  <si>
    <t>a/b</t>
  </si>
  <si>
    <t>Increase 11kV Interconnection between  3 Tx Group</t>
  </si>
  <si>
    <t>Overlay 33kV circuits and install 19/38 MVA 33/11 units</t>
  </si>
  <si>
    <t>Establish new 33kV circuit to Gas Yard, to remove load from  Gas Yard/Nelson 33kV ring.</t>
  </si>
  <si>
    <t>j</t>
  </si>
  <si>
    <t>Establish 66kV bar with bus-section breaker</t>
  </si>
  <si>
    <t>Reconductor front end of 66kV circuits Abergavenny to Crickhowell or apply higher operating Temp/increasing height</t>
  </si>
  <si>
    <t>Increase height to allow higher Op Temp, installation of 11kV Cap Bank Brawdy</t>
  </si>
  <si>
    <t>Install addition 33/11 Tx capacity 11kV interconnection between sites</t>
  </si>
  <si>
    <t>Additional Grid Tx at Rhos or 33 kV circuit uprating</t>
  </si>
  <si>
    <t>f</t>
  </si>
  <si>
    <t>New 33kV tranformer circuit and 33/11kV transformer</t>
  </si>
  <si>
    <t>Transformer change to 19/38 MVA units &amp; 33/11kV Swbd Change</t>
  </si>
  <si>
    <t>Typically smaller schemes. Unidentified larger scheme(s) 2014/15.</t>
  </si>
  <si>
    <t>132/11</t>
  </si>
  <si>
    <t>Establish 132/11kV susbstaion at Abergavenny</t>
  </si>
  <si>
    <t>Establish 132/11kV substation near Pentrebach to deload existing 33kV ccts</t>
  </si>
  <si>
    <t>132/33</t>
  </si>
  <si>
    <t>Establish a second 132/33 transformer</t>
  </si>
  <si>
    <t>Establish second 132/33kv unit and break parallel.</t>
  </si>
  <si>
    <t>Establish new 132/11kV site</t>
  </si>
  <si>
    <t>Unidentified</t>
  </si>
  <si>
    <t>CAUTION - THIS PACK DOES NOT BALANCE</t>
  </si>
  <si>
    <t>Redundant operational assets</t>
  </si>
  <si>
    <t>Sales of scrap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</si>
</sst>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_);[Red]\(#,##0\);\-"/>
    <numFmt numFmtId="172" formatCode="0.000"/>
    <numFmt numFmtId="173" formatCode="0;\(0\)"/>
    <numFmt numFmtId="174" formatCode="0;[Red]\(0\);\-"/>
    <numFmt numFmtId="175" formatCode="#,##0.0_);[Red]\(#,##0.0\);\-"/>
    <numFmt numFmtId="176" formatCode="_(* #,##0.0_);_(* \(#,##0.0\);_(* &quot;-&quot;?_);_(@_)"/>
  </numFmts>
  <fonts count="72">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b/>
      <sz val="16"/>
      <name val="Arial"/>
      <family val="2"/>
    </font>
    <font>
      <b/>
      <sz val="16"/>
      <name val="CG Omega"/>
      <family val="2"/>
    </font>
    <font>
      <b/>
      <sz val="20"/>
      <name val="CG Omega"/>
      <family val="2"/>
    </font>
    <font>
      <b/>
      <sz val="14"/>
      <name val="Arial"/>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b/>
      <sz val="11"/>
      <name val="CG Omega"/>
      <family val="2"/>
    </font>
    <font>
      <sz val="11"/>
      <color indexed="12"/>
      <name val="CG Omega"/>
      <family val="2"/>
    </font>
    <font>
      <sz val="10"/>
      <color indexed="8"/>
      <name val="Verdan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0"/>
      <color indexed="30"/>
      <name val="CG Omega"/>
      <family val="2"/>
    </font>
    <font>
      <sz val="11"/>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79">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41"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50" fillId="0" borderId="0" applyFont="0" applyFill="0" applyBorder="0" applyAlignment="0" applyProtection="0"/>
    <xf numFmtId="0" fontId="50"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525">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1" fontId="31" fillId="17" borderId="38" xfId="62" applyNumberFormat="1" applyFont="1" applyFill="1" applyBorder="1" applyAlignment="1" applyProtection="1">
      <alignment horizontal="center"/>
    </xf>
    <xf numFmtId="171" fontId="32" fillId="0" borderId="46" xfId="62" applyNumberFormat="1" applyFont="1" applyFill="1" applyBorder="1" applyAlignment="1" applyProtection="1">
      <alignment horizontal="center"/>
    </xf>
    <xf numFmtId="171" fontId="32" fillId="0" borderId="47" xfId="62" applyNumberFormat="1" applyFont="1" applyFill="1" applyBorder="1" applyAlignment="1" applyProtection="1">
      <alignment horizontal="center"/>
    </xf>
    <xf numFmtId="170" fontId="33" fillId="18" borderId="38" xfId="62" applyNumberFormat="1" applyFont="1" applyFill="1" applyBorder="1" applyAlignment="1" applyProtection="1">
      <alignment horizontal="center"/>
      <protection locked="0"/>
    </xf>
    <xf numFmtId="171" fontId="32" fillId="0" borderId="10" xfId="62" applyNumberFormat="1" applyFont="1" applyFill="1" applyBorder="1" applyAlignment="1" applyProtection="1">
      <alignment horizontal="center"/>
    </xf>
    <xf numFmtId="171" fontId="31" fillId="0" borderId="29" xfId="62" applyNumberFormat="1" applyFont="1" applyFill="1" applyBorder="1" applyAlignment="1" applyProtection="1">
      <alignment horizontal="center"/>
    </xf>
    <xf numFmtId="171" fontId="32" fillId="0" borderId="44" xfId="62" applyNumberFormat="1" applyFont="1" applyFill="1" applyBorder="1" applyAlignment="1" applyProtection="1">
      <alignment horizontal="center"/>
    </xf>
    <xf numFmtId="171" fontId="32" fillId="0" borderId="45" xfId="62" applyNumberFormat="1" applyFont="1" applyFill="1" applyBorder="1" applyAlignment="1" applyProtection="1">
      <alignment horizontal="center"/>
    </xf>
    <xf numFmtId="17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1" fontId="33" fillId="0" borderId="33" xfId="62" applyNumberFormat="1" applyFont="1" applyFill="1" applyBorder="1" applyAlignment="1" applyProtection="1">
      <alignment horizontal="center"/>
    </xf>
    <xf numFmtId="171" fontId="32" fillId="0" borderId="48" xfId="62" applyNumberFormat="1" applyFont="1" applyFill="1" applyBorder="1" applyAlignment="1" applyProtection="1">
      <alignment horizontal="center"/>
    </xf>
    <xf numFmtId="171" fontId="32" fillId="0" borderId="49" xfId="62" applyNumberFormat="1" applyFont="1" applyFill="1" applyBorder="1" applyAlignment="1" applyProtection="1">
      <alignment horizontal="center"/>
    </xf>
    <xf numFmtId="171" fontId="32" fillId="0" borderId="50" xfId="62" applyNumberFormat="1" applyFont="1" applyFill="1" applyBorder="1" applyAlignment="1" applyProtection="1">
      <alignment horizontal="center"/>
    </xf>
    <xf numFmtId="171"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1" fontId="31" fillId="0" borderId="24" xfId="62" applyNumberFormat="1" applyFont="1" applyFill="1" applyBorder="1" applyAlignment="1" applyProtection="1">
      <alignment horizontal="center"/>
    </xf>
    <xf numFmtId="171" fontId="32" fillId="0" borderId="41" xfId="62" applyNumberFormat="1" applyFont="1" applyFill="1" applyBorder="1" applyAlignment="1" applyProtection="1">
      <alignment horizontal="center"/>
    </xf>
    <xf numFmtId="171" fontId="32" fillId="0" borderId="42" xfId="62" applyNumberFormat="1" applyFont="1" applyFill="1" applyBorder="1" applyAlignment="1" applyProtection="1">
      <alignment horizontal="center"/>
    </xf>
    <xf numFmtId="171"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1" xfId="63" applyFont="1"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 fillId="0" borderId="52" xfId="63" applyBorder="1" applyAlignment="1" applyProtection="1">
      <alignment horizontal="centerContinuous" vertical="center"/>
    </xf>
    <xf numFmtId="0" fontId="2" fillId="0" borderId="55" xfId="63"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Continuous" vertical="center"/>
    </xf>
    <xf numFmtId="0" fontId="28" fillId="0" borderId="59"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2" xfId="63" applyFont="1" applyBorder="1" applyAlignment="1" applyProtection="1">
      <alignment horizontal="center" vertical="center" wrapText="1"/>
    </xf>
    <xf numFmtId="0" fontId="2" fillId="0" borderId="27"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 fillId="0" borderId="59"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17" borderId="46" xfId="63" applyNumberFormat="1" applyFill="1" applyBorder="1" applyAlignment="1" applyProtection="1">
      <alignment horizontal="center" vertical="center"/>
    </xf>
    <xf numFmtId="170" fontId="2" fillId="17" borderId="47" xfId="63" applyNumberFormat="1" applyFill="1" applyBorder="1" applyAlignment="1" applyProtection="1">
      <alignment horizontal="center" vertical="center"/>
    </xf>
    <xf numFmtId="170" fontId="2" fillId="17" borderId="62" xfId="63" applyNumberFormat="1" applyFill="1" applyBorder="1" applyAlignment="1" applyProtection="1">
      <alignment horizontal="center" vertical="center"/>
    </xf>
    <xf numFmtId="164" fontId="2" fillId="17" borderId="62"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2"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7" borderId="46" xfId="63" applyNumberFormat="1" applyFont="1" applyFill="1" applyBorder="1" applyAlignment="1" applyProtection="1">
      <alignment horizontal="center" vertical="center"/>
    </xf>
    <xf numFmtId="170" fontId="28" fillId="17" borderId="47" xfId="63" applyNumberFormat="1" applyFont="1" applyFill="1" applyBorder="1" applyAlignment="1" applyProtection="1">
      <alignment horizontal="center" vertical="center"/>
    </xf>
    <xf numFmtId="170" fontId="28" fillId="17" borderId="62" xfId="63" applyNumberFormat="1" applyFont="1" applyFill="1" applyBorder="1" applyAlignment="1" applyProtection="1">
      <alignment horizontal="center" vertical="center"/>
    </xf>
    <xf numFmtId="170" fontId="28" fillId="17"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4" xfId="63" applyNumberFormat="1" applyFont="1" applyBorder="1" applyAlignment="1" applyProtection="1">
      <alignment horizontal="center" vertical="center" wrapText="1"/>
    </xf>
    <xf numFmtId="170" fontId="28" fillId="17" borderId="36" xfId="63" applyNumberFormat="1" applyFont="1" applyFill="1" applyBorder="1" applyAlignment="1" applyProtection="1">
      <alignment horizontal="center" vertical="center"/>
    </xf>
    <xf numFmtId="170" fontId="28" fillId="17" borderId="35" xfId="63" applyNumberFormat="1" applyFont="1" applyFill="1" applyBorder="1" applyAlignment="1" applyProtection="1">
      <alignment horizontal="center" vertical="center"/>
    </xf>
    <xf numFmtId="170" fontId="28" fillId="17" borderId="39" xfId="63" applyNumberFormat="1" applyFont="1" applyFill="1" applyBorder="1" applyAlignment="1" applyProtection="1">
      <alignment horizontal="center" vertical="center"/>
    </xf>
    <xf numFmtId="170" fontId="28" fillId="17" borderId="34" xfId="63" applyNumberFormat="1" applyFont="1" applyFill="1" applyBorder="1" applyAlignment="1" applyProtection="1">
      <alignment horizontal="center" vertical="center"/>
    </xf>
    <xf numFmtId="170" fontId="2" fillId="17" borderId="36" xfId="63" applyNumberFormat="1" applyFill="1" applyBorder="1" applyAlignment="1" applyProtection="1">
      <alignment horizontal="center" vertical="center"/>
    </xf>
    <xf numFmtId="170" fontId="2" fillId="17" borderId="35" xfId="63" applyNumberFormat="1" applyFill="1" applyBorder="1" applyAlignment="1" applyProtection="1">
      <alignment horizontal="center" vertical="center"/>
    </xf>
    <xf numFmtId="170" fontId="2" fillId="17" borderId="39" xfId="63" applyNumberFormat="1" applyFill="1" applyBorder="1" applyAlignment="1" applyProtection="1">
      <alignment horizontal="center" vertical="center"/>
    </xf>
    <xf numFmtId="164" fontId="2" fillId="17"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1" xfId="2" applyFont="1" applyBorder="1" applyAlignment="1" applyProtection="1">
      <alignment horizontal="centerContinuous" vertical="center"/>
    </xf>
    <xf numFmtId="43" fontId="28" fillId="0" borderId="55" xfId="2" applyFont="1" applyBorder="1" applyAlignment="1" applyProtection="1">
      <alignment horizontal="centerContinuous" vertical="center"/>
    </xf>
    <xf numFmtId="43" fontId="2" fillId="0" borderId="52" xfId="2" applyFont="1" applyBorder="1" applyAlignment="1" applyProtection="1">
      <alignment horizontal="centerContinuous" vertical="center"/>
    </xf>
    <xf numFmtId="43" fontId="2" fillId="0" borderId="55" xfId="2" applyFont="1" applyBorder="1" applyAlignment="1" applyProtection="1">
      <alignment horizontal="centerContinuous" vertical="center"/>
    </xf>
    <xf numFmtId="43" fontId="28" fillId="0" borderId="59"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3" xfId="63" applyFill="1" applyBorder="1" applyAlignment="1" applyProtection="1">
      <alignment horizontal="center"/>
    </xf>
    <xf numFmtId="43" fontId="2" fillId="0" borderId="65"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6"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170" fontId="2" fillId="18"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8" borderId="46" xfId="63" applyNumberFormat="1" applyFont="1" applyFill="1" applyBorder="1" applyAlignment="1" applyProtection="1">
      <alignment horizontal="center" vertical="center"/>
      <protection locked="0"/>
    </xf>
    <xf numFmtId="170" fontId="34" fillId="18" borderId="12" xfId="63" applyNumberFormat="1" applyFont="1" applyFill="1" applyBorder="1" applyAlignment="1" applyProtection="1">
      <alignment horizontal="center" vertical="center"/>
      <protection locked="0"/>
    </xf>
    <xf numFmtId="170" fontId="34" fillId="18" borderId="62" xfId="63" applyNumberFormat="1" applyFont="1" applyFill="1" applyBorder="1" applyAlignment="1" applyProtection="1">
      <alignment horizontal="center" vertical="center"/>
      <protection locked="0"/>
    </xf>
    <xf numFmtId="170" fontId="34" fillId="18"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3" xfId="63" applyNumberFormat="1" applyBorder="1" applyAlignment="1" applyProtection="1">
      <alignment horizontal="center"/>
    </xf>
    <xf numFmtId="0" fontId="2" fillId="0" borderId="67" xfId="63" applyBorder="1" applyAlignment="1" applyProtection="1">
      <alignment horizontal="center" vertical="center"/>
    </xf>
    <xf numFmtId="0" fontId="2" fillId="0" borderId="14" xfId="63" applyBorder="1" applyAlignment="1" applyProtection="1">
      <alignment horizontal="center" vertical="center"/>
    </xf>
    <xf numFmtId="0" fontId="2" fillId="0" borderId="68" xfId="63"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Border="1" applyAlignment="1" applyProtection="1">
      <alignment horizontal="center" vertical="center"/>
    </xf>
    <xf numFmtId="0" fontId="2" fillId="0" borderId="0" xfId="63" applyBorder="1" applyAlignment="1" applyProtection="1">
      <alignment horizontal="center" vertical="center"/>
    </xf>
    <xf numFmtId="0" fontId="2" fillId="0" borderId="28" xfId="63" applyBorder="1" applyAlignment="1" applyProtection="1">
      <alignment horizontal="center" vertical="center"/>
    </xf>
    <xf numFmtId="0" fontId="2" fillId="0" borderId="65" xfId="63" applyBorder="1" applyProtection="1"/>
    <xf numFmtId="0" fontId="2" fillId="0" borderId="19" xfId="63" applyBorder="1" applyProtection="1"/>
    <xf numFmtId="0" fontId="2" fillId="0" borderId="66" xfId="63" applyBorder="1" applyProtection="1"/>
    <xf numFmtId="0" fontId="28" fillId="0" borderId="30" xfId="63" applyFont="1" applyBorder="1" applyAlignment="1" applyProtection="1">
      <alignment horizontal="left" vertical="center" wrapText="1"/>
    </xf>
    <xf numFmtId="0" fontId="2" fillId="0" borderId="64"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7"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8"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8"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8" borderId="46" xfId="63" applyNumberFormat="1" applyFont="1" applyFill="1" applyBorder="1" applyAlignment="1" applyProtection="1">
      <alignment horizontal="center" vertical="center"/>
      <protection locked="0"/>
    </xf>
    <xf numFmtId="1" fontId="34" fillId="18" borderId="12" xfId="63" applyNumberFormat="1" applyFont="1" applyFill="1" applyBorder="1" applyAlignment="1" applyProtection="1">
      <alignment horizontal="center" vertical="center"/>
      <protection locked="0"/>
    </xf>
    <xf numFmtId="1" fontId="34" fillId="18" borderId="62" xfId="63" applyNumberFormat="1" applyFont="1" applyFill="1" applyBorder="1" applyAlignment="1" applyProtection="1">
      <alignment horizontal="center" vertical="center"/>
      <protection locked="0"/>
    </xf>
    <xf numFmtId="1" fontId="34" fillId="18"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Border="1" applyAlignment="1" applyProtection="1">
      <alignment horizontal="center" vertical="center"/>
    </xf>
    <xf numFmtId="1" fontId="2" fillId="0" borderId="28" xfId="63" applyNumberFormat="1" applyBorder="1" applyAlignment="1" applyProtection="1">
      <alignment horizontal="center" vertical="center"/>
    </xf>
    <xf numFmtId="1" fontId="34" fillId="18" borderId="69" xfId="63" applyNumberFormat="1" applyFont="1" applyFill="1" applyBorder="1" applyAlignment="1" applyProtection="1">
      <alignment horizontal="center" vertical="center"/>
      <protection locked="0"/>
    </xf>
    <xf numFmtId="1" fontId="34" fillId="18" borderId="15" xfId="63" applyNumberFormat="1" applyFont="1" applyFill="1" applyBorder="1" applyAlignment="1" applyProtection="1">
      <alignment horizontal="center" vertical="center"/>
      <protection locked="0"/>
    </xf>
    <xf numFmtId="1" fontId="34" fillId="18" borderId="70" xfId="63" applyNumberFormat="1" applyFont="1" applyFill="1" applyBorder="1" applyAlignment="1" applyProtection="1">
      <alignment horizontal="center" vertical="center"/>
      <protection locked="0"/>
    </xf>
    <xf numFmtId="1" fontId="34" fillId="18" borderId="71" xfId="63" applyNumberFormat="1" applyFont="1" applyFill="1" applyBorder="1" applyAlignment="1" applyProtection="1">
      <alignment horizontal="center" vertical="center"/>
      <protection locked="0"/>
    </xf>
    <xf numFmtId="1" fontId="28" fillId="17" borderId="46" xfId="63" applyNumberFormat="1" applyFont="1" applyFill="1" applyBorder="1" applyAlignment="1" applyProtection="1">
      <alignment horizontal="center" vertical="center"/>
    </xf>
    <xf numFmtId="1" fontId="28" fillId="17" borderId="47" xfId="63" applyNumberFormat="1" applyFont="1" applyFill="1" applyBorder="1" applyAlignment="1" applyProtection="1">
      <alignment horizontal="center" vertical="center"/>
    </xf>
    <xf numFmtId="1" fontId="28" fillId="17" borderId="62" xfId="63" applyNumberFormat="1" applyFont="1" applyFill="1" applyBorder="1" applyAlignment="1" applyProtection="1">
      <alignment horizontal="center" vertical="center"/>
    </xf>
    <xf numFmtId="1" fontId="28" fillId="17"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7" borderId="36" xfId="63" applyNumberFormat="1" applyFont="1" applyFill="1" applyBorder="1" applyAlignment="1" applyProtection="1">
      <alignment horizontal="center" vertical="center"/>
    </xf>
    <xf numFmtId="1" fontId="28" fillId="17" borderId="35" xfId="63" applyNumberFormat="1" applyFont="1" applyFill="1" applyBorder="1" applyAlignment="1" applyProtection="1">
      <alignment horizontal="center" vertical="center"/>
    </xf>
    <xf numFmtId="1" fontId="28" fillId="17" borderId="39" xfId="63" applyNumberFormat="1" applyFont="1" applyFill="1" applyBorder="1" applyAlignment="1" applyProtection="1">
      <alignment horizontal="center" vertical="center"/>
    </xf>
    <xf numFmtId="1" fontId="28" fillId="17"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58"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2"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7"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5"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6"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7" borderId="12" xfId="63" applyNumberForma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2" xfId="63" applyBorder="1" applyAlignment="1" applyProtection="1">
      <alignment horizontal="center" vertical="center"/>
    </xf>
    <xf numFmtId="0" fontId="2" fillId="0" borderId="11" xfId="63" applyBorder="1" applyAlignment="1" applyProtection="1">
      <alignment horizontal="center" vertical="center"/>
    </xf>
    <xf numFmtId="0" fontId="2" fillId="0" borderId="40" xfId="63" applyBorder="1" applyAlignment="1" applyProtection="1">
      <alignment horizontal="center" vertical="center"/>
    </xf>
    <xf numFmtId="0" fontId="2" fillId="0" borderId="72" xfId="63" applyFill="1" applyBorder="1" applyAlignment="1" applyProtection="1">
      <alignment horizontal="center" vertical="center"/>
    </xf>
    <xf numFmtId="170" fontId="34" fillId="19" borderId="46" xfId="63" applyNumberFormat="1" applyFont="1" applyFill="1" applyBorder="1" applyAlignment="1" applyProtection="1">
      <alignment horizontal="center" vertical="center"/>
    </xf>
    <xf numFmtId="170" fontId="34" fillId="19" borderId="12" xfId="63" applyNumberFormat="1" applyFont="1" applyFill="1" applyBorder="1" applyAlignment="1" applyProtection="1">
      <alignment horizontal="center" vertical="center"/>
    </xf>
    <xf numFmtId="0" fontId="35" fillId="0" borderId="0" xfId="0" applyFont="1" applyProtection="1"/>
    <xf numFmtId="164" fontId="28" fillId="17" borderId="62" xfId="1" applyNumberFormat="1" applyFont="1" applyFill="1" applyBorder="1" applyAlignment="1" applyProtection="1">
      <alignment horizontal="center" vertical="center"/>
    </xf>
    <xf numFmtId="170" fontId="34" fillId="19" borderId="36"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xf>
    <xf numFmtId="170" fontId="34" fillId="18" borderId="34" xfId="63" applyNumberFormat="1" applyFont="1" applyFill="1" applyBorder="1" applyAlignment="1" applyProtection="1">
      <alignment horizontal="center" vertical="center"/>
      <protection locked="0"/>
    </xf>
    <xf numFmtId="170" fontId="34" fillId="18" borderId="39" xfId="63" applyNumberFormat="1" applyFont="1" applyFill="1" applyBorder="1" applyAlignment="1" applyProtection="1">
      <alignment horizontal="center" vertical="center"/>
      <protection locked="0"/>
    </xf>
    <xf numFmtId="170" fontId="34" fillId="18"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2" fillId="0" borderId="65" xfId="63" applyBorder="1" applyAlignment="1" applyProtection="1">
      <alignment horizontal="center" vertical="center"/>
    </xf>
    <xf numFmtId="0" fontId="2" fillId="0" borderId="19" xfId="63" applyBorder="1" applyAlignment="1" applyProtection="1">
      <alignment horizontal="center" vertical="center"/>
    </xf>
    <xf numFmtId="0" fontId="2" fillId="0" borderId="66" xfId="63" applyBorder="1" applyAlignment="1" applyProtection="1">
      <alignment horizontal="center" vertical="center"/>
    </xf>
    <xf numFmtId="0" fontId="28" fillId="0" borderId="30" xfId="63" applyFont="1" applyBorder="1" applyAlignment="1" applyProtection="1">
      <alignment horizontal="left" vertical="center" indent="1"/>
    </xf>
    <xf numFmtId="164" fontId="28" fillId="17"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17" borderId="59" xfId="63" applyNumberFormat="1" applyFill="1" applyBorder="1" applyAlignment="1" applyProtection="1">
      <alignment horizontal="center" vertical="center"/>
    </xf>
    <xf numFmtId="170" fontId="2" fillId="17" borderId="61" xfId="63" applyNumberFormat="1" applyFill="1" applyBorder="1" applyAlignment="1" applyProtection="1">
      <alignment horizontal="center" vertical="center"/>
    </xf>
    <xf numFmtId="170" fontId="2" fillId="17" borderId="60" xfId="63" applyNumberFormat="1" applyFill="1" applyBorder="1" applyAlignment="1" applyProtection="1">
      <alignment horizontal="center" vertical="center"/>
    </xf>
    <xf numFmtId="164" fontId="2" fillId="17" borderId="60"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4"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36" fillId="20" borderId="0" xfId="0" applyFont="1" applyFill="1" applyBorder="1" applyAlignment="1" applyProtection="1"/>
    <xf numFmtId="0" fontId="2" fillId="20" borderId="0" xfId="63" applyFill="1" applyBorder="1" applyAlignment="1" applyProtection="1"/>
    <xf numFmtId="0" fontId="37" fillId="20" borderId="0" xfId="0" applyFont="1" applyFill="1" applyBorder="1" applyAlignment="1" applyProtection="1"/>
    <xf numFmtId="0" fontId="30" fillId="20" borderId="0" xfId="63" applyFont="1" applyFill="1" applyBorder="1" applyAlignment="1" applyProtection="1"/>
    <xf numFmtId="0" fontId="38" fillId="20" borderId="0" xfId="63" applyFont="1" applyFill="1" applyBorder="1" applyAlignment="1" applyProtection="1"/>
    <xf numFmtId="0" fontId="39" fillId="20" borderId="0" xfId="63" applyFont="1" applyFill="1" applyBorder="1" applyAlignment="1" applyProtection="1">
      <alignment horizontal="left"/>
    </xf>
    <xf numFmtId="0" fontId="40" fillId="20" borderId="0" xfId="63" applyFont="1" applyFill="1" applyBorder="1" applyAlignment="1" applyProtection="1">
      <alignment horizontal="left"/>
    </xf>
    <xf numFmtId="0" fontId="39" fillId="20" borderId="31" xfId="63" applyFont="1" applyFill="1" applyBorder="1" applyAlignment="1" applyProtection="1"/>
    <xf numFmtId="0" fontId="2" fillId="20" borderId="31" xfId="63" applyFill="1" applyBorder="1" applyAlignment="1" applyProtection="1"/>
    <xf numFmtId="0" fontId="40" fillId="20"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2"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9" xfId="63" applyFont="1" applyFill="1" applyBorder="1" applyAlignment="1" applyProtection="1">
      <alignment horizontal="center" vertical="center"/>
    </xf>
    <xf numFmtId="0" fontId="28" fillId="0" borderId="61"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0" fillId="0" borderId="0" xfId="0" applyNumberFormat="1" applyProtection="1"/>
    <xf numFmtId="164" fontId="2" fillId="0" borderId="0" xfId="1" applyNumberFormat="1" applyFont="1" applyFill="1" applyBorder="1" applyAlignment="1" applyProtection="1">
      <alignment horizontal="center" vertical="center"/>
    </xf>
    <xf numFmtId="170" fontId="35" fillId="0" borderId="0" xfId="0" applyNumberFormat="1" applyFont="1" applyProtection="1"/>
    <xf numFmtId="164" fontId="28" fillId="17" borderId="62"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Fill="1" applyBorder="1" applyAlignment="1" applyProtection="1">
      <alignment horizontal="center" vertical="center"/>
    </xf>
    <xf numFmtId="170" fontId="2" fillId="0" borderId="28"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2" xfId="63" applyFont="1" applyBorder="1" applyAlignment="1" applyProtection="1">
      <alignment horizontal="centerContinuous" vertical="center"/>
    </xf>
    <xf numFmtId="0" fontId="28" fillId="0" borderId="56" xfId="63" applyFont="1" applyBorder="1" applyAlignment="1" applyProtection="1">
      <alignment horizontal="centerContinuous" vertical="center" wrapText="1"/>
    </xf>
    <xf numFmtId="0" fontId="28" fillId="0" borderId="58" xfId="63" applyFont="1" applyBorder="1" applyAlignment="1" applyProtection="1">
      <alignment horizontal="centerContinuous" vertical="center" wrapText="1"/>
    </xf>
    <xf numFmtId="0" fontId="28" fillId="0" borderId="46" xfId="65" applyFont="1" applyFill="1" applyBorder="1" applyAlignment="1" applyProtection="1">
      <alignment horizontal="center"/>
    </xf>
    <xf numFmtId="0" fontId="28" fillId="0" borderId="47" xfId="66" applyFont="1" applyFill="1" applyBorder="1" applyAlignment="1" applyProtection="1">
      <alignment horizontal="center"/>
    </xf>
    <xf numFmtId="0" fontId="28" fillId="0" borderId="62" xfId="66" applyFont="1" applyBorder="1" applyAlignment="1" applyProtection="1">
      <alignment horizontal="center"/>
    </xf>
    <xf numFmtId="0" fontId="28" fillId="0" borderId="46" xfId="66" applyFont="1" applyBorder="1" applyAlignment="1" applyProtection="1">
      <alignment horizontal="center" vertical="center"/>
    </xf>
    <xf numFmtId="0" fontId="28" fillId="0" borderId="62" xfId="66" applyFont="1" applyBorder="1" applyAlignment="1" applyProtection="1">
      <alignment horizontal="center" vertical="center"/>
    </xf>
    <xf numFmtId="0" fontId="2" fillId="21" borderId="73" xfId="66" applyFont="1" applyFill="1" applyBorder="1" applyAlignment="1" applyProtection="1">
      <alignment horizontal="left" vertical="center"/>
    </xf>
    <xf numFmtId="170" fontId="34" fillId="18" borderId="46" xfId="66" applyNumberFormat="1" applyFont="1" applyFill="1" applyBorder="1" applyAlignment="1" applyProtection="1">
      <alignment horizontal="center" vertical="center"/>
      <protection locked="0"/>
    </xf>
    <xf numFmtId="170" fontId="34" fillId="18" borderId="47" xfId="66" applyNumberFormat="1" applyFont="1" applyFill="1" applyBorder="1" applyAlignment="1" applyProtection="1">
      <alignment horizontal="center" vertical="center"/>
      <protection locked="0"/>
    </xf>
    <xf numFmtId="170" fontId="34" fillId="18" borderId="62" xfId="66" applyNumberFormat="1" applyFont="1" applyFill="1" applyBorder="1" applyAlignment="1" applyProtection="1">
      <alignment horizontal="center" vertical="center"/>
      <protection locked="0"/>
    </xf>
    <xf numFmtId="170" fontId="2" fillId="17" borderId="46" xfId="66" applyNumberFormat="1" applyFont="1" applyFill="1" applyBorder="1" applyAlignment="1" applyProtection="1">
      <alignment horizontal="center" vertical="center"/>
    </xf>
    <xf numFmtId="170" fontId="2" fillId="17" borderId="62" xfId="66" applyNumberFormat="1" applyFont="1" applyFill="1" applyBorder="1" applyAlignment="1" applyProtection="1">
      <alignment horizontal="center" vertical="center"/>
    </xf>
    <xf numFmtId="0" fontId="2" fillId="0" borderId="38" xfId="66" applyFont="1" applyFill="1" applyBorder="1" applyAlignment="1" applyProtection="1">
      <alignment horizontal="left" vertical="center"/>
    </xf>
    <xf numFmtId="0" fontId="2" fillId="0" borderId="74" xfId="66" applyFont="1" applyFill="1" applyBorder="1" applyAlignment="1" applyProtection="1">
      <alignment horizontal="left" vertical="center"/>
    </xf>
    <xf numFmtId="10" fontId="2" fillId="0" borderId="36" xfId="66" applyNumberFormat="1" applyFont="1" applyFill="1" applyBorder="1" applyAlignment="1" applyProtection="1">
      <alignment horizontal="center" vertical="center"/>
    </xf>
    <xf numFmtId="10" fontId="2" fillId="0" borderId="35" xfId="66" applyNumberFormat="1" applyFont="1" applyFill="1" applyBorder="1" applyAlignment="1" applyProtection="1">
      <alignment horizontal="center" vertical="center"/>
    </xf>
    <xf numFmtId="10" fontId="2" fillId="0" borderId="39" xfId="66" applyNumberFormat="1" applyFont="1" applyFill="1" applyBorder="1" applyAlignment="1" applyProtection="1">
      <alignment horizontal="center" vertical="center"/>
    </xf>
    <xf numFmtId="1" fontId="2" fillId="17" borderId="36" xfId="66" applyNumberFormat="1" applyFont="1" applyFill="1" applyBorder="1" applyAlignment="1" applyProtection="1">
      <alignment horizontal="center" vertical="center"/>
    </xf>
    <xf numFmtId="1" fontId="2" fillId="17" borderId="39" xfId="66" applyNumberFormat="1" applyFont="1" applyFill="1" applyBorder="1" applyAlignment="1" applyProtection="1">
      <alignment horizontal="center" vertical="center"/>
    </xf>
    <xf numFmtId="0" fontId="2" fillId="0" borderId="0" xfId="66" applyFont="1" applyFill="1" applyBorder="1" applyAlignment="1" applyProtection="1">
      <alignment horizontal="left" vertical="center"/>
    </xf>
    <xf numFmtId="0" fontId="2" fillId="0" borderId="0" xfId="67" applyFont="1" applyProtection="1"/>
    <xf numFmtId="0" fontId="2" fillId="0" borderId="38" xfId="66" applyFont="1" applyFill="1" applyBorder="1" applyAlignment="1" applyProtection="1">
      <alignment horizontal="left" vertical="center" wrapText="1"/>
    </xf>
    <xf numFmtId="164" fontId="2" fillId="0" borderId="46" xfId="68" applyNumberFormat="1" applyFont="1" applyFill="1" applyBorder="1" applyAlignment="1" applyProtection="1">
      <alignment horizontal="center" vertical="center"/>
    </xf>
    <xf numFmtId="164" fontId="2" fillId="0" borderId="47" xfId="68" applyNumberFormat="1" applyFont="1" applyFill="1" applyBorder="1" applyAlignment="1" applyProtection="1">
      <alignment horizontal="center" vertical="center"/>
    </xf>
    <xf numFmtId="164" fontId="2" fillId="0" borderId="62" xfId="68" applyNumberFormat="1" applyFont="1" applyFill="1" applyBorder="1" applyAlignment="1" applyProtection="1">
      <alignment horizontal="center" vertical="center"/>
    </xf>
    <xf numFmtId="9" fontId="2" fillId="17" borderId="46" xfId="1" applyFont="1" applyFill="1" applyBorder="1" applyAlignment="1" applyProtection="1">
      <alignment horizontal="center" vertical="center"/>
    </xf>
    <xf numFmtId="9" fontId="2" fillId="17" borderId="62" xfId="1" applyFont="1" applyFill="1" applyBorder="1" applyAlignment="1" applyProtection="1">
      <alignment horizontal="center" vertical="center"/>
    </xf>
    <xf numFmtId="0" fontId="2" fillId="0" borderId="74" xfId="66" applyFont="1" applyBorder="1" applyAlignment="1" applyProtection="1">
      <alignment horizontal="left" vertical="center" wrapText="1"/>
    </xf>
    <xf numFmtId="170" fontId="34" fillId="18" borderId="36" xfId="66" applyNumberFormat="1" applyFont="1" applyFill="1" applyBorder="1" applyAlignment="1" applyProtection="1">
      <alignment horizontal="center" vertical="center"/>
      <protection locked="0"/>
    </xf>
    <xf numFmtId="170" fontId="34" fillId="18" borderId="35" xfId="66" applyNumberFormat="1" applyFont="1" applyFill="1" applyBorder="1" applyAlignment="1" applyProtection="1">
      <alignment horizontal="center" vertical="center"/>
      <protection locked="0"/>
    </xf>
    <xf numFmtId="170" fontId="42" fillId="18" borderId="39" xfId="66" applyNumberFormat="1" applyFont="1" applyFill="1" applyBorder="1" applyAlignment="1" applyProtection="1">
      <alignment horizontal="center" vertical="center"/>
      <protection locked="0"/>
    </xf>
    <xf numFmtId="170" fontId="2" fillId="17" borderId="36" xfId="66" applyNumberFormat="1" applyFont="1" applyFill="1" applyBorder="1" applyAlignment="1" applyProtection="1">
      <alignment horizontal="center" vertical="center"/>
    </xf>
    <xf numFmtId="170" fontId="2" fillId="17" borderId="39" xfId="66" applyNumberFormat="1" applyFont="1" applyFill="1" applyBorder="1" applyAlignment="1" applyProtection="1">
      <alignment horizontal="center" vertical="center"/>
    </xf>
    <xf numFmtId="0" fontId="2" fillId="0" borderId="21" xfId="63" applyBorder="1" applyProtection="1"/>
    <xf numFmtId="0" fontId="28" fillId="0" borderId="75" xfId="63" applyFont="1" applyBorder="1" applyAlignment="1" applyProtection="1">
      <alignment horizontal="center" vertical="center" wrapText="1"/>
    </xf>
    <xf numFmtId="0" fontId="2" fillId="0" borderId="27" xfId="63" applyBorder="1" applyProtection="1"/>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58" xfId="63" applyFont="1" applyBorder="1" applyAlignment="1" applyProtection="1">
      <alignment horizontal="center" vertical="center" wrapText="1"/>
    </xf>
    <xf numFmtId="0" fontId="28" fillId="0" borderId="73" xfId="63" applyFont="1" applyFill="1" applyBorder="1" applyAlignment="1" applyProtection="1">
      <alignment horizontal="center" vertical="center" wrapText="1"/>
    </xf>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9" xfId="63" applyFont="1" applyFill="1" applyBorder="1" applyAlignment="1" applyProtection="1">
      <alignment horizontal="center" vertical="center" wrapText="1"/>
    </xf>
    <xf numFmtId="0" fontId="28" fillId="0" borderId="71"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1" xfId="66"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7" xfId="63" applyBorder="1" applyProtection="1">
      <protection locked="0"/>
    </xf>
    <xf numFmtId="0" fontId="34" fillId="18" borderId="47" xfId="63" applyFont="1" applyFill="1" applyBorder="1" applyAlignment="1" applyProtection="1">
      <alignment horizontal="center" vertical="center"/>
      <protection locked="0"/>
    </xf>
    <xf numFmtId="0" fontId="34" fillId="18" borderId="10" xfId="63" applyFont="1" applyFill="1" applyBorder="1" applyAlignment="1" applyProtection="1">
      <alignment horizontal="center" vertical="center"/>
      <protection locked="0"/>
    </xf>
    <xf numFmtId="172" fontId="34" fillId="18" borderId="46" xfId="63" applyNumberFormat="1" applyFont="1" applyFill="1" applyBorder="1" applyAlignment="1" applyProtection="1">
      <alignment horizontal="center" vertical="center"/>
      <protection locked="0"/>
    </xf>
    <xf numFmtId="170" fontId="2" fillId="17" borderId="62" xfId="63" applyNumberFormat="1" applyFont="1" applyFill="1" applyBorder="1" applyAlignment="1" applyProtection="1">
      <alignment horizontal="center" vertical="center"/>
      <protection locked="0"/>
    </xf>
    <xf numFmtId="172" fontId="34" fillId="18" borderId="12" xfId="63" applyNumberFormat="1" applyFont="1" applyFill="1" applyBorder="1" applyAlignment="1" applyProtection="1">
      <alignment horizontal="center" vertical="center"/>
      <protection locked="0"/>
    </xf>
    <xf numFmtId="172" fontId="34" fillId="18" borderId="62" xfId="63" applyNumberFormat="1" applyFont="1" applyFill="1" applyBorder="1" applyAlignment="1" applyProtection="1">
      <alignment horizontal="center" vertical="center"/>
      <protection locked="0"/>
    </xf>
    <xf numFmtId="172" fontId="34" fillId="18" borderId="47" xfId="63" applyNumberFormat="1" applyFont="1" applyFill="1" applyBorder="1" applyAlignment="1" applyProtection="1">
      <alignment horizontal="center" vertical="center"/>
      <protection locked="0"/>
    </xf>
    <xf numFmtId="172" fontId="34" fillId="18" borderId="56" xfId="63" applyNumberFormat="1" applyFont="1" applyFill="1" applyBorder="1" applyAlignment="1" applyProtection="1">
      <alignment horizontal="center" vertical="center"/>
      <protection locked="0"/>
    </xf>
    <xf numFmtId="172" fontId="34" fillId="18" borderId="57" xfId="63" applyNumberFormat="1" applyFont="1" applyFill="1" applyBorder="1" applyAlignment="1" applyProtection="1">
      <alignment horizontal="center" vertical="center"/>
      <protection locked="0"/>
    </xf>
    <xf numFmtId="172" fontId="34" fillId="18" borderId="58" xfId="63" applyNumberFormat="1" applyFont="1" applyFill="1" applyBorder="1" applyAlignment="1" applyProtection="1">
      <alignment horizontal="center" vertical="center"/>
      <protection locked="0"/>
    </xf>
    <xf numFmtId="172" fontId="34" fillId="18" borderId="11" xfId="63" applyNumberFormat="1" applyFont="1" applyFill="1" applyBorder="1" applyAlignment="1" applyProtection="1">
      <alignment horizontal="center" vertical="center"/>
      <protection locked="0"/>
    </xf>
    <xf numFmtId="172" fontId="34" fillId="18" borderId="38" xfId="63" applyNumberFormat="1" applyFont="1" applyFill="1" applyBorder="1" applyAlignment="1" applyProtection="1">
      <alignment horizontal="center" vertical="center"/>
      <protection locked="0"/>
    </xf>
    <xf numFmtId="0" fontId="34" fillId="18" borderId="72" xfId="63" applyNumberFormat="1" applyFont="1" applyFill="1" applyBorder="1" applyAlignment="1" applyProtection="1">
      <alignment horizontal="left" vertical="center"/>
      <protection locked="0"/>
    </xf>
    <xf numFmtId="0" fontId="2" fillId="0" borderId="0" xfId="63" applyAlignment="1" applyProtection="1">
      <alignment horizontal="left"/>
      <protection locked="0"/>
    </xf>
    <xf numFmtId="0" fontId="2" fillId="0" borderId="27" xfId="63" applyBorder="1" applyProtection="1">
      <protection locked="0"/>
    </xf>
    <xf numFmtId="0" fontId="34" fillId="18" borderId="71" xfId="63" applyFont="1" applyFill="1" applyBorder="1" applyAlignment="1" applyProtection="1">
      <alignment horizontal="center" vertical="center"/>
      <protection locked="0"/>
    </xf>
    <xf numFmtId="170" fontId="2" fillId="17" borderId="70" xfId="63" applyNumberFormat="1" applyFont="1" applyFill="1" applyBorder="1" applyAlignment="1" applyProtection="1">
      <alignment horizontal="center" vertical="center"/>
      <protection locked="0"/>
    </xf>
    <xf numFmtId="0" fontId="34" fillId="18" borderId="67" xfId="63" applyNumberFormat="1" applyFont="1" applyFill="1" applyBorder="1" applyAlignment="1" applyProtection="1">
      <alignment horizontal="left" vertical="center"/>
      <protection locked="0"/>
    </xf>
    <xf numFmtId="0" fontId="34" fillId="18" borderId="13" xfId="63" applyFont="1" applyFill="1" applyBorder="1" applyAlignment="1" applyProtection="1">
      <alignment horizontal="center" vertical="center"/>
      <protection locked="0"/>
    </xf>
    <xf numFmtId="172" fontId="34" fillId="18" borderId="69" xfId="63" applyNumberFormat="1" applyFont="1" applyFill="1" applyBorder="1" applyAlignment="1" applyProtection="1">
      <alignment horizontal="center" vertical="center"/>
      <protection locked="0"/>
    </xf>
    <xf numFmtId="172" fontId="34" fillId="18" borderId="15" xfId="63" applyNumberFormat="1" applyFont="1" applyFill="1" applyBorder="1" applyAlignment="1" applyProtection="1">
      <alignment horizontal="center" vertical="center"/>
      <protection locked="0"/>
    </xf>
    <xf numFmtId="172" fontId="34" fillId="18" borderId="70" xfId="63" applyNumberFormat="1" applyFont="1" applyFill="1" applyBorder="1" applyAlignment="1" applyProtection="1">
      <alignment horizontal="center" vertical="center"/>
      <protection locked="0"/>
    </xf>
    <xf numFmtId="172" fontId="34" fillId="18" borderId="71" xfId="63" applyNumberFormat="1" applyFont="1" applyFill="1" applyBorder="1" applyAlignment="1" applyProtection="1">
      <alignment horizontal="center" vertical="center"/>
      <protection locked="0"/>
    </xf>
    <xf numFmtId="0" fontId="34" fillId="18" borderId="67" xfId="63" applyNumberFormat="1" applyFont="1" applyFill="1" applyBorder="1" applyAlignment="1" applyProtection="1">
      <alignment horizontal="center" vertical="center"/>
      <protection locked="0"/>
    </xf>
    <xf numFmtId="172" fontId="34" fillId="18" borderId="36" xfId="63" applyNumberFormat="1" applyFont="1" applyFill="1" applyBorder="1" applyAlignment="1" applyProtection="1">
      <alignment horizontal="center" vertical="center"/>
      <protection locked="0"/>
    </xf>
    <xf numFmtId="172" fontId="34" fillId="18" borderId="35" xfId="63" applyNumberFormat="1" applyFont="1" applyFill="1" applyBorder="1" applyAlignment="1" applyProtection="1">
      <alignment horizontal="center" vertical="center"/>
      <protection locked="0"/>
    </xf>
    <xf numFmtId="172" fontId="34" fillId="18" borderId="39" xfId="63" applyNumberFormat="1" applyFont="1" applyFill="1" applyBorder="1" applyAlignment="1" applyProtection="1">
      <alignment horizontal="center" vertical="center"/>
      <protection locked="0"/>
    </xf>
    <xf numFmtId="0" fontId="2" fillId="17" borderId="76" xfId="63" applyFill="1" applyBorder="1" applyProtection="1">
      <protection locked="0"/>
    </xf>
    <xf numFmtId="0" fontId="2" fillId="17" borderId="76" xfId="63" applyFill="1" applyBorder="1" applyAlignment="1" applyProtection="1">
      <alignment horizontal="center" vertical="center"/>
      <protection locked="0"/>
    </xf>
    <xf numFmtId="0" fontId="2" fillId="19" borderId="35" xfId="63" applyFill="1" applyBorder="1" applyAlignment="1" applyProtection="1">
      <alignment horizontal="center" vertical="center"/>
      <protection locked="0"/>
    </xf>
    <xf numFmtId="1" fontId="2" fillId="17" borderId="35" xfId="63" applyNumberFormat="1" applyFill="1" applyBorder="1" applyAlignment="1" applyProtection="1">
      <alignment horizontal="center" vertical="center"/>
      <protection locked="0"/>
    </xf>
    <xf numFmtId="170" fontId="2" fillId="17" borderId="35" xfId="63" applyNumberFormat="1" applyFill="1" applyBorder="1" applyAlignment="1" applyProtection="1">
      <alignment horizontal="center" vertical="center"/>
      <protection locked="0"/>
    </xf>
    <xf numFmtId="170" fontId="2" fillId="17" borderId="39" xfId="63" applyNumberFormat="1" applyFill="1" applyBorder="1" applyAlignment="1" applyProtection="1">
      <alignment horizontal="center" vertical="center"/>
      <protection locked="0"/>
    </xf>
    <xf numFmtId="2" fontId="2" fillId="17" borderId="34" xfId="63" applyNumberFormat="1" applyFill="1" applyBorder="1" applyAlignment="1" applyProtection="1">
      <alignment horizontal="center" vertical="center"/>
      <protection locked="0"/>
    </xf>
    <xf numFmtId="2" fontId="2" fillId="17" borderId="35" xfId="63" applyNumberFormat="1" applyFill="1" applyBorder="1" applyAlignment="1" applyProtection="1">
      <alignment horizontal="center" vertical="center"/>
      <protection locked="0"/>
    </xf>
    <xf numFmtId="2" fontId="2" fillId="17" borderId="77" xfId="63" applyNumberFormat="1" applyFill="1" applyBorder="1" applyAlignment="1" applyProtection="1">
      <alignment horizontal="center" vertical="center"/>
      <protection locked="0"/>
    </xf>
    <xf numFmtId="2" fontId="2" fillId="17" borderId="76" xfId="63" applyNumberFormat="1" applyFill="1" applyBorder="1" applyAlignment="1" applyProtection="1">
      <alignment horizontal="center" vertical="center"/>
      <protection locked="0"/>
    </xf>
    <xf numFmtId="2" fontId="0" fillId="17" borderId="35" xfId="0" applyNumberFormat="1" applyFill="1" applyBorder="1" applyAlignment="1" applyProtection="1">
      <alignment horizontal="center" vertical="center"/>
      <protection locked="0"/>
    </xf>
    <xf numFmtId="2" fontId="2" fillId="17" borderId="32" xfId="63" applyNumberFormat="1" applyFill="1" applyBorder="1" applyAlignment="1" applyProtection="1">
      <alignment horizontal="center" vertical="center"/>
      <protection locked="0"/>
    </xf>
    <xf numFmtId="2" fontId="2" fillId="19" borderId="78" xfId="63" applyNumberFormat="1" applyFill="1" applyBorder="1" applyAlignment="1" applyProtection="1">
      <alignment horizontal="center" vertical="center"/>
      <protection locked="0"/>
    </xf>
    <xf numFmtId="2" fontId="2" fillId="19" borderId="74" xfId="63" applyNumberFormat="1" applyFill="1" applyBorder="1" applyAlignment="1" applyProtection="1">
      <alignment horizontal="center" vertical="center"/>
      <protection locked="0"/>
    </xf>
    <xf numFmtId="0" fontId="2" fillId="19" borderId="74" xfId="63" applyFill="1" applyBorder="1" applyAlignment="1" applyProtection="1">
      <alignment horizontal="center" vertical="center"/>
      <protection locked="0"/>
    </xf>
    <xf numFmtId="0" fontId="2" fillId="0" borderId="79" xfId="67" applyFont="1" applyBorder="1" applyAlignment="1" applyProtection="1">
      <alignment horizontal="centerContinuous" vertical="center"/>
    </xf>
    <xf numFmtId="0" fontId="2" fillId="0" borderId="57" xfId="67" applyFont="1" applyBorder="1" applyAlignment="1" applyProtection="1">
      <alignment horizontal="centerContinuous" vertical="center"/>
    </xf>
    <xf numFmtId="0" fontId="2" fillId="0" borderId="58" xfId="67" applyFont="1" applyBorder="1" applyAlignment="1" applyProtection="1">
      <alignment horizontal="centerContinuous" vertical="center"/>
    </xf>
    <xf numFmtId="0" fontId="2" fillId="0" borderId="56" xfId="67" applyFont="1" applyBorder="1" applyAlignment="1" applyProtection="1">
      <alignment horizontal="centerContinuous" vertical="center"/>
    </xf>
    <xf numFmtId="0" fontId="2" fillId="0" borderId="12" xfId="67" applyFont="1" applyBorder="1" applyAlignment="1" applyProtection="1">
      <alignment horizontal="center"/>
    </xf>
    <xf numFmtId="0" fontId="2" fillId="0" borderId="47" xfId="67" applyFont="1" applyBorder="1" applyAlignment="1" applyProtection="1">
      <alignment horizontal="center"/>
    </xf>
    <xf numFmtId="0" fontId="2" fillId="0" borderId="62" xfId="67" applyFont="1" applyBorder="1" applyAlignment="1" applyProtection="1">
      <alignment horizontal="center"/>
    </xf>
    <xf numFmtId="0" fontId="2" fillId="0" borderId="46" xfId="67" applyFont="1" applyBorder="1" applyAlignment="1" applyProtection="1">
      <alignment horizontal="center"/>
    </xf>
    <xf numFmtId="1" fontId="34" fillId="18" borderId="59" xfId="67" applyNumberFormat="1" applyFont="1" applyFill="1" applyBorder="1" applyAlignment="1" applyProtection="1">
      <alignment horizontal="center"/>
      <protection locked="0"/>
    </xf>
    <xf numFmtId="1" fontId="34" fillId="18" borderId="20" xfId="67" applyNumberFormat="1" applyFont="1" applyFill="1" applyBorder="1" applyAlignment="1" applyProtection="1">
      <alignment horizontal="center"/>
      <protection locked="0"/>
    </xf>
    <xf numFmtId="1" fontId="34" fillId="18" borderId="60" xfId="67" applyNumberFormat="1" applyFont="1" applyFill="1" applyBorder="1" applyAlignment="1" applyProtection="1">
      <alignment horizontal="center"/>
      <protection locked="0"/>
    </xf>
    <xf numFmtId="1" fontId="34" fillId="18" borderId="46" xfId="67" applyNumberFormat="1" applyFont="1" applyFill="1" applyBorder="1" applyAlignment="1" applyProtection="1">
      <alignment horizontal="center"/>
      <protection locked="0"/>
    </xf>
    <xf numFmtId="1" fontId="34" fillId="18" borderId="12" xfId="67" applyNumberFormat="1" applyFont="1" applyFill="1" applyBorder="1" applyAlignment="1" applyProtection="1">
      <alignment horizontal="center"/>
      <protection locked="0"/>
    </xf>
    <xf numFmtId="1" fontId="34" fillId="18" borderId="40" xfId="67" applyNumberFormat="1" applyFont="1" applyFill="1" applyBorder="1" applyAlignment="1" applyProtection="1">
      <alignment horizontal="center"/>
      <protection locked="0"/>
    </xf>
    <xf numFmtId="1" fontId="34" fillId="18" borderId="36" xfId="67" applyNumberFormat="1" applyFont="1" applyFill="1" applyBorder="1" applyAlignment="1" applyProtection="1">
      <alignment horizontal="center"/>
      <protection locked="0"/>
    </xf>
    <xf numFmtId="1" fontId="34" fillId="18" borderId="35" xfId="67" applyNumberFormat="1" applyFont="1" applyFill="1" applyBorder="1" applyAlignment="1" applyProtection="1">
      <alignment horizontal="center"/>
      <protection locked="0"/>
    </xf>
    <xf numFmtId="1" fontId="34" fillId="18" borderId="39" xfId="67" applyNumberFormat="1" applyFont="1" applyFill="1" applyBorder="1" applyAlignment="1" applyProtection="1">
      <alignment horizontal="center"/>
      <protection locked="0"/>
    </xf>
    <xf numFmtId="1" fontId="34" fillId="18" borderId="62" xfId="67" applyNumberFormat="1" applyFont="1" applyFill="1" applyBorder="1" applyAlignment="1" applyProtection="1">
      <alignment horizontal="center"/>
      <protection locked="0"/>
    </xf>
    <xf numFmtId="1" fontId="34" fillId="18" borderId="34" xfId="67" applyNumberFormat="1" applyFont="1" applyFill="1" applyBorder="1" applyAlignment="1" applyProtection="1">
      <alignment horizontal="center"/>
      <protection locked="0"/>
    </xf>
    <xf numFmtId="0" fontId="2" fillId="0" borderId="52" xfId="63" applyFont="1" applyBorder="1" applyAlignment="1" applyProtection="1">
      <alignment horizontal="centerContinuous" vertical="center"/>
    </xf>
    <xf numFmtId="0" fontId="2" fillId="0" borderId="55" xfId="63" applyFont="1" applyBorder="1" applyAlignment="1" applyProtection="1">
      <alignment horizontal="centerContinuous" vertical="center"/>
    </xf>
    <xf numFmtId="0" fontId="43" fillId="0" borderId="0" xfId="0" applyFont="1" applyProtection="1"/>
    <xf numFmtId="0" fontId="43"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47" xfId="63" applyFont="1" applyBorder="1" applyAlignment="1" applyProtection="1">
      <alignment horizontal="left" wrapText="1" indent="1"/>
    </xf>
    <xf numFmtId="170" fontId="2" fillId="17" borderId="46" xfId="63" applyNumberFormat="1" applyFont="1" applyFill="1" applyBorder="1" applyAlignment="1" applyProtection="1">
      <alignment horizontal="center" vertical="center"/>
    </xf>
    <xf numFmtId="170" fontId="2" fillId="17" borderId="47" xfId="63" applyNumberFormat="1" applyFont="1" applyFill="1" applyBorder="1" applyAlignment="1" applyProtection="1">
      <alignment horizontal="center" vertical="center"/>
    </xf>
    <xf numFmtId="170" fontId="2" fillId="17" borderId="62" xfId="63" applyNumberFormat="1" applyFont="1" applyFill="1" applyBorder="1" applyAlignment="1" applyProtection="1">
      <alignment horizontal="center" vertical="center"/>
    </xf>
    <xf numFmtId="0" fontId="28" fillId="0" borderId="47" xfId="63" applyFont="1" applyBorder="1" applyAlignment="1" applyProtection="1">
      <alignment horizontal="left" indent="1"/>
    </xf>
    <xf numFmtId="0" fontId="44" fillId="0" borderId="0" xfId="0" applyFont="1" applyProtection="1"/>
    <xf numFmtId="0" fontId="45" fillId="20" borderId="0" xfId="0" applyFont="1" applyFill="1" applyBorder="1" applyAlignment="1" applyProtection="1"/>
    <xf numFmtId="0" fontId="39" fillId="20" borderId="0" xfId="0" applyFont="1" applyFill="1" applyBorder="1" applyAlignment="1" applyProtection="1"/>
    <xf numFmtId="0" fontId="39" fillId="20" borderId="31" xfId="0" applyFont="1" applyFill="1" applyBorder="1" applyAlignment="1" applyProtection="1">
      <alignment horizontal="left"/>
    </xf>
    <xf numFmtId="0" fontId="45" fillId="20" borderId="31" xfId="0" applyFont="1" applyFill="1" applyBorder="1" applyAlignment="1" applyProtection="1"/>
    <xf numFmtId="0" fontId="28" fillId="0" borderId="0" xfId="0" applyFont="1" applyFill="1" applyBorder="1" applyAlignment="1" applyProtection="1">
      <alignment horizontal="left"/>
    </xf>
    <xf numFmtId="0" fontId="43"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6" applyFont="1" applyFill="1" applyBorder="1" applyAlignment="1" applyProtection="1">
      <alignment horizontal="left" vertical="center"/>
    </xf>
    <xf numFmtId="0" fontId="43" fillId="0" borderId="0" xfId="0" applyFont="1" applyFill="1" applyBorder="1" applyAlignment="1" applyProtection="1">
      <alignment vertical="center"/>
    </xf>
    <xf numFmtId="0" fontId="43" fillId="0" borderId="0" xfId="0" applyFont="1" applyAlignment="1" applyProtection="1">
      <alignment vertical="center"/>
    </xf>
    <xf numFmtId="0" fontId="2" fillId="0" borderId="0" xfId="69" applyFont="1" applyAlignment="1" applyProtection="1">
      <alignment vertical="center"/>
    </xf>
    <xf numFmtId="0" fontId="2" fillId="0" borderId="0" xfId="67" applyFont="1" applyAlignment="1" applyProtection="1">
      <alignment vertical="center"/>
    </xf>
    <xf numFmtId="1" fontId="2" fillId="0" borderId="0" xfId="67" applyNumberFormat="1" applyFont="1" applyAlignment="1" applyProtection="1">
      <alignment vertical="center"/>
    </xf>
    <xf numFmtId="1" fontId="28" fillId="0" borderId="51" xfId="67" applyNumberFormat="1" applyFont="1" applyBorder="1" applyAlignment="1" applyProtection="1">
      <alignment horizontal="centerContinuous" vertical="center"/>
    </xf>
    <xf numFmtId="1" fontId="28" fillId="0" borderId="55" xfId="67" applyNumberFormat="1" applyFont="1" applyBorder="1" applyAlignment="1" applyProtection="1">
      <alignment horizontal="centerContinuous" vertical="center"/>
    </xf>
    <xf numFmtId="1" fontId="28" fillId="0" borderId="52" xfId="67" applyNumberFormat="1" applyFont="1" applyBorder="1" applyAlignment="1" applyProtection="1">
      <alignment horizontal="centerContinuous" vertical="center"/>
    </xf>
    <xf numFmtId="0" fontId="28" fillId="0" borderId="46" xfId="66" applyFont="1" applyFill="1" applyBorder="1" applyAlignment="1" applyProtection="1">
      <alignment horizontal="center" vertical="center"/>
    </xf>
    <xf numFmtId="0" fontId="28" fillId="0" borderId="47" xfId="66" applyFont="1" applyFill="1" applyBorder="1" applyAlignment="1" applyProtection="1">
      <alignment horizontal="center" vertical="center"/>
    </xf>
    <xf numFmtId="0" fontId="28" fillId="0" borderId="62" xfId="66" applyFont="1" applyFill="1" applyBorder="1" applyAlignment="1" applyProtection="1">
      <alignment horizontal="center" vertical="center"/>
    </xf>
    <xf numFmtId="0" fontId="28" fillId="0" borderId="12" xfId="66" applyFont="1" applyFill="1" applyBorder="1" applyAlignment="1" applyProtection="1">
      <alignment horizontal="center" vertical="center"/>
    </xf>
    <xf numFmtId="0" fontId="2" fillId="0" borderId="65"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6" xfId="63" applyFont="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66" xfId="63" applyFont="1" applyFill="1" applyBorder="1" applyAlignment="1" applyProtection="1">
      <alignment horizontal="center" vertical="center"/>
    </xf>
    <xf numFmtId="0" fontId="2" fillId="0" borderId="60" xfId="70" applyFont="1" applyFill="1" applyBorder="1" applyAlignment="1" applyProtection="1">
      <alignment vertical="center"/>
    </xf>
    <xf numFmtId="170" fontId="46" fillId="0" borderId="59" xfId="66" applyNumberFormat="1" applyFont="1" applyFill="1" applyBorder="1" applyAlignment="1" applyProtection="1">
      <alignment horizontal="center" vertical="center"/>
    </xf>
    <xf numFmtId="170" fontId="46" fillId="0" borderId="61" xfId="66" applyNumberFormat="1" applyFont="1" applyFill="1" applyBorder="1" applyAlignment="1" applyProtection="1">
      <alignment horizontal="center" vertical="center"/>
    </xf>
    <xf numFmtId="170" fontId="46" fillId="0" borderId="60" xfId="66" applyNumberFormat="1" applyFont="1" applyFill="1" applyBorder="1" applyAlignment="1" applyProtection="1">
      <alignment horizontal="center" vertical="center"/>
    </xf>
    <xf numFmtId="0" fontId="2" fillId="0" borderId="62" xfId="70" applyFont="1" applyFill="1" applyBorder="1" applyAlignment="1" applyProtection="1">
      <alignment vertical="center"/>
    </xf>
    <xf numFmtId="170" fontId="46" fillId="0" borderId="46" xfId="66" applyNumberFormat="1" applyFont="1" applyFill="1" applyBorder="1" applyAlignment="1" applyProtection="1">
      <alignment horizontal="center" vertical="center"/>
    </xf>
    <xf numFmtId="170" fontId="46" fillId="0" borderId="47" xfId="66" applyNumberFormat="1" applyFont="1" applyFill="1" applyBorder="1" applyAlignment="1" applyProtection="1">
      <alignment horizontal="center" vertical="center"/>
    </xf>
    <xf numFmtId="170" fontId="46" fillId="0" borderId="62" xfId="66" applyNumberFormat="1" applyFont="1" applyFill="1" applyBorder="1" applyAlignment="1" applyProtection="1">
      <alignment horizontal="center" vertical="center"/>
    </xf>
    <xf numFmtId="0" fontId="2" fillId="0" borderId="62" xfId="70" applyFont="1" applyBorder="1" applyAlignment="1" applyProtection="1">
      <alignment vertical="center"/>
    </xf>
    <xf numFmtId="0" fontId="28" fillId="0" borderId="76" xfId="70" applyFont="1" applyBorder="1" applyAlignment="1" applyProtection="1">
      <alignment vertical="center"/>
    </xf>
    <xf numFmtId="0" fontId="28" fillId="0" borderId="77" xfId="70" applyFont="1" applyBorder="1" applyAlignment="1" applyProtection="1">
      <alignment vertical="center"/>
    </xf>
    <xf numFmtId="170" fontId="47" fillId="17" borderId="36" xfId="66" applyNumberFormat="1" applyFont="1" applyFill="1" applyBorder="1" applyAlignment="1" applyProtection="1">
      <alignment horizontal="center" vertical="center"/>
    </xf>
    <xf numFmtId="170" fontId="47" fillId="17" borderId="35" xfId="66" applyNumberFormat="1" applyFont="1" applyFill="1" applyBorder="1" applyAlignment="1" applyProtection="1">
      <alignment horizontal="center" vertical="center"/>
    </xf>
    <xf numFmtId="170" fontId="47" fillId="17" borderId="39" xfId="66" applyNumberFormat="1" applyFont="1" applyFill="1" applyBorder="1" applyAlignment="1" applyProtection="1">
      <alignment horizontal="center" vertical="center"/>
    </xf>
    <xf numFmtId="170" fontId="2" fillId="17" borderId="36" xfId="63" applyNumberFormat="1" applyFont="1" applyFill="1" applyBorder="1" applyAlignment="1" applyProtection="1">
      <alignment horizontal="center" vertical="center"/>
    </xf>
    <xf numFmtId="170" fontId="2" fillId="17" borderId="35" xfId="63" applyNumberFormat="1" applyFont="1" applyFill="1" applyBorder="1" applyAlignment="1" applyProtection="1">
      <alignment horizontal="center" vertical="center"/>
    </xf>
    <xf numFmtId="170" fontId="2" fillId="17" borderId="39" xfId="63" applyNumberFormat="1" applyFont="1" applyFill="1" applyBorder="1" applyAlignment="1" applyProtection="1">
      <alignment horizontal="center" vertical="center"/>
    </xf>
    <xf numFmtId="0" fontId="28" fillId="0" borderId="0" xfId="70" applyFont="1" applyBorder="1" applyAlignment="1" applyProtection="1">
      <alignment vertical="center"/>
    </xf>
    <xf numFmtId="0" fontId="46" fillId="0" borderId="0" xfId="66" applyFont="1" applyFill="1" applyBorder="1" applyAlignment="1" applyProtection="1">
      <alignment horizontal="center" vertical="center"/>
    </xf>
    <xf numFmtId="0" fontId="30" fillId="0" borderId="0" xfId="66" applyFont="1" applyFill="1" applyBorder="1" applyAlignment="1" applyProtection="1">
      <alignment horizontal="left" vertical="center"/>
    </xf>
    <xf numFmtId="1" fontId="48" fillId="0" borderId="55" xfId="67" applyNumberFormat="1" applyFont="1" applyBorder="1" applyAlignment="1" applyProtection="1">
      <alignment horizontal="centerContinuous"/>
    </xf>
    <xf numFmtId="1" fontId="48" fillId="0" borderId="52" xfId="67" applyNumberFormat="1" applyFont="1" applyBorder="1" applyAlignment="1" applyProtection="1">
      <alignment horizontal="centerContinuous"/>
    </xf>
    <xf numFmtId="1" fontId="48" fillId="0" borderId="51" xfId="67" applyNumberFormat="1" applyFont="1" applyBorder="1" applyAlignment="1" applyProtection="1">
      <alignment horizontal="centerContinuous"/>
    </xf>
    <xf numFmtId="0" fontId="48" fillId="0" borderId="12" xfId="66" applyFont="1" applyFill="1" applyBorder="1" applyAlignment="1" applyProtection="1">
      <alignment horizontal="center" vertical="center"/>
    </xf>
    <xf numFmtId="0" fontId="48" fillId="0" borderId="47" xfId="66" applyFont="1" applyFill="1" applyBorder="1" applyAlignment="1" applyProtection="1">
      <alignment horizontal="center" vertical="center"/>
    </xf>
    <xf numFmtId="0" fontId="48" fillId="0" borderId="62" xfId="66" applyFont="1" applyFill="1" applyBorder="1" applyAlignment="1" applyProtection="1">
      <alignment horizontal="center" vertical="center"/>
    </xf>
    <xf numFmtId="0" fontId="48" fillId="0" borderId="46" xfId="66" applyFont="1" applyFill="1" applyBorder="1" applyAlignment="1" applyProtection="1">
      <alignment horizontal="center" vertical="center"/>
    </xf>
    <xf numFmtId="170" fontId="49" fillId="18" borderId="20" xfId="66" applyNumberFormat="1" applyFont="1" applyFill="1" applyBorder="1" applyAlignment="1" applyProtection="1">
      <alignment horizontal="center" vertical="center"/>
      <protection locked="0"/>
    </xf>
    <xf numFmtId="170" fontId="49" fillId="18" borderId="66" xfId="66" applyNumberFormat="1" applyFont="1" applyFill="1" applyBorder="1" applyAlignment="1" applyProtection="1">
      <alignment horizontal="center" vertical="center"/>
      <protection locked="0"/>
    </xf>
    <xf numFmtId="170" fontId="49" fillId="18" borderId="59" xfId="66" applyNumberFormat="1" applyFont="1" applyFill="1" applyBorder="1" applyAlignment="1" applyProtection="1">
      <alignment horizontal="center" vertical="center"/>
      <protection locked="0"/>
    </xf>
    <xf numFmtId="170" fontId="49" fillId="18" borderId="61" xfId="66" applyNumberFormat="1" applyFont="1" applyFill="1" applyBorder="1" applyAlignment="1" applyProtection="1">
      <alignment horizontal="center" vertical="center"/>
      <protection locked="0"/>
    </xf>
    <xf numFmtId="170" fontId="49" fillId="18" borderId="60" xfId="66" applyNumberFormat="1" applyFont="1" applyFill="1" applyBorder="1" applyAlignment="1" applyProtection="1">
      <alignment horizontal="center" vertical="center"/>
      <protection locked="0"/>
    </xf>
    <xf numFmtId="170" fontId="49" fillId="18" borderId="12" xfId="66" applyNumberFormat="1" applyFont="1" applyFill="1" applyBorder="1" applyAlignment="1" applyProtection="1">
      <alignment horizontal="center" vertical="center"/>
      <protection locked="0"/>
    </xf>
    <xf numFmtId="170" fontId="49" fillId="18" borderId="40" xfId="66" applyNumberFormat="1" applyFont="1" applyFill="1" applyBorder="1" applyAlignment="1" applyProtection="1">
      <alignment horizontal="center" vertical="center"/>
      <protection locked="0"/>
    </xf>
    <xf numFmtId="170" fontId="49" fillId="18" borderId="46" xfId="66" applyNumberFormat="1" applyFont="1" applyFill="1" applyBorder="1" applyAlignment="1" applyProtection="1">
      <alignment horizontal="center" vertical="center"/>
      <protection locked="0"/>
    </xf>
    <xf numFmtId="170" fontId="49" fillId="18" borderId="47" xfId="66" applyNumberFormat="1" applyFont="1" applyFill="1" applyBorder="1" applyAlignment="1" applyProtection="1">
      <alignment horizontal="center" vertical="center"/>
      <protection locked="0"/>
    </xf>
    <xf numFmtId="170" fontId="49" fillId="18" borderId="62" xfId="66" applyNumberFormat="1" applyFont="1" applyFill="1" applyBorder="1" applyAlignment="1" applyProtection="1">
      <alignment horizontal="center" vertical="center"/>
      <protection locked="0"/>
    </xf>
    <xf numFmtId="170" fontId="30" fillId="0" borderId="12" xfId="66" applyNumberFormat="1" applyFont="1" applyFill="1" applyBorder="1" applyAlignment="1" applyProtection="1">
      <alignment horizontal="center" vertical="center"/>
    </xf>
    <xf numFmtId="170" fontId="30" fillId="0" borderId="47" xfId="66" applyNumberFormat="1" applyFont="1" applyFill="1" applyBorder="1" applyAlignment="1" applyProtection="1">
      <alignment horizontal="center" vertical="center"/>
    </xf>
    <xf numFmtId="170" fontId="30" fillId="0" borderId="62" xfId="66" applyNumberFormat="1" applyFont="1" applyFill="1" applyBorder="1" applyAlignment="1" applyProtection="1">
      <alignment horizontal="center" vertical="center"/>
    </xf>
    <xf numFmtId="170" fontId="30" fillId="0" borderId="46" xfId="66" applyNumberFormat="1" applyFont="1" applyFill="1" applyBorder="1" applyAlignment="1" applyProtection="1">
      <alignment horizontal="center" vertical="center"/>
    </xf>
    <xf numFmtId="0" fontId="2" fillId="0" borderId="0" xfId="66" applyFont="1" applyFill="1" applyBorder="1" applyAlignment="1" applyProtection="1">
      <alignment horizontal="left" vertical="center"/>
      <protection locked="0"/>
    </xf>
    <xf numFmtId="0" fontId="2" fillId="0" borderId="70" xfId="70" applyFont="1" applyBorder="1" applyAlignment="1" applyProtection="1">
      <alignment vertical="center"/>
    </xf>
    <xf numFmtId="170" fontId="49" fillId="18" borderId="15" xfId="66" applyNumberFormat="1" applyFont="1" applyFill="1" applyBorder="1" applyAlignment="1" applyProtection="1">
      <alignment horizontal="center" vertical="center"/>
      <protection locked="0"/>
    </xf>
    <xf numFmtId="170" fontId="49" fillId="18" borderId="71" xfId="66" applyNumberFormat="1" applyFont="1" applyFill="1" applyBorder="1" applyAlignment="1" applyProtection="1">
      <alignment horizontal="center" vertical="center"/>
      <protection locked="0"/>
    </xf>
    <xf numFmtId="170" fontId="49" fillId="18" borderId="70" xfId="66" applyNumberFormat="1" applyFont="1" applyFill="1" applyBorder="1" applyAlignment="1" applyProtection="1">
      <alignment horizontal="center" vertical="center"/>
      <protection locked="0"/>
    </xf>
    <xf numFmtId="170" fontId="49" fillId="18" borderId="69" xfId="66" applyNumberFormat="1" applyFont="1" applyFill="1" applyBorder="1" applyAlignment="1" applyProtection="1">
      <alignment horizontal="center" vertical="center"/>
      <protection locked="0"/>
    </xf>
    <xf numFmtId="0" fontId="28" fillId="0" borderId="53" xfId="70" applyFont="1" applyBorder="1" applyAlignment="1" applyProtection="1">
      <alignment vertical="center"/>
    </xf>
    <xf numFmtId="0" fontId="28" fillId="0" borderId="26" xfId="70" applyFont="1" applyBorder="1" applyAlignment="1" applyProtection="1">
      <alignment vertical="center"/>
    </xf>
    <xf numFmtId="170" fontId="48" fillId="17" borderId="80" xfId="66" applyNumberFormat="1" applyFont="1" applyFill="1" applyBorder="1" applyAlignment="1" applyProtection="1">
      <alignment horizontal="center" vertical="center"/>
    </xf>
    <xf numFmtId="170" fontId="48" fillId="17" borderId="81" xfId="66" applyNumberFormat="1" applyFont="1" applyFill="1" applyBorder="1" applyAlignment="1" applyProtection="1">
      <alignment horizontal="center" vertical="center"/>
    </xf>
    <xf numFmtId="170" fontId="48" fillId="17" borderId="82" xfId="66" applyNumberFormat="1" applyFont="1" applyFill="1" applyBorder="1" applyAlignment="1" applyProtection="1">
      <alignment horizontal="center" vertical="center"/>
    </xf>
    <xf numFmtId="170" fontId="48" fillId="17" borderId="83" xfId="66" applyNumberFormat="1" applyFont="1" applyFill="1" applyBorder="1" applyAlignment="1" applyProtection="1">
      <alignment horizontal="center" vertical="center"/>
    </xf>
    <xf numFmtId="170" fontId="48" fillId="17" borderId="34" xfId="66" applyNumberFormat="1" applyFont="1" applyFill="1" applyBorder="1" applyAlignment="1" applyProtection="1">
      <alignment horizontal="center" vertical="center"/>
    </xf>
    <xf numFmtId="170" fontId="48" fillId="17" borderId="35" xfId="66" applyNumberFormat="1" applyFont="1" applyFill="1" applyBorder="1" applyAlignment="1" applyProtection="1">
      <alignment horizontal="center" vertical="center"/>
    </xf>
    <xf numFmtId="170" fontId="48" fillId="17" borderId="39" xfId="66" applyNumberFormat="1" applyFont="1" applyFill="1" applyBorder="1" applyAlignment="1" applyProtection="1">
      <alignment horizontal="center" vertical="center"/>
    </xf>
    <xf numFmtId="170" fontId="48" fillId="17" borderId="36" xfId="66" applyNumberFormat="1" applyFont="1" applyFill="1" applyBorder="1" applyAlignment="1" applyProtection="1">
      <alignment horizontal="center" vertical="center"/>
    </xf>
    <xf numFmtId="0" fontId="2" fillId="0" borderId="62" xfId="66" applyFont="1" applyFill="1" applyBorder="1" applyAlignment="1" applyProtection="1">
      <alignment horizontal="left" vertical="center"/>
    </xf>
    <xf numFmtId="164" fontId="2" fillId="17" borderId="62" xfId="71" applyNumberFormat="1" applyFont="1" applyFill="1" applyBorder="1" applyAlignment="1" applyProtection="1">
      <alignment horizontal="center" vertical="center"/>
    </xf>
    <xf numFmtId="1" fontId="2" fillId="0" borderId="62" xfId="67" applyNumberFormat="1" applyFont="1" applyBorder="1" applyAlignment="1" applyProtection="1">
      <alignment vertical="center"/>
    </xf>
    <xf numFmtId="170" fontId="30" fillId="17" borderId="12" xfId="66" applyNumberFormat="1" applyFont="1" applyFill="1" applyBorder="1" applyAlignment="1" applyProtection="1">
      <alignment horizontal="center" vertical="center"/>
    </xf>
    <xf numFmtId="170" fontId="30" fillId="17" borderId="40" xfId="66" applyNumberFormat="1" applyFont="1" applyFill="1" applyBorder="1" applyAlignment="1" applyProtection="1">
      <alignment horizontal="center" vertical="center"/>
    </xf>
    <xf numFmtId="170" fontId="30" fillId="17" borderId="46" xfId="66" applyNumberFormat="1" applyFont="1" applyFill="1" applyBorder="1" applyAlignment="1" applyProtection="1">
      <alignment horizontal="center" vertical="center"/>
    </xf>
    <xf numFmtId="0" fontId="28" fillId="0" borderId="46" xfId="66" applyFont="1" applyFill="1" applyBorder="1" applyAlignment="1" applyProtection="1">
      <alignment vertical="center"/>
    </xf>
    <xf numFmtId="0" fontId="44" fillId="0" borderId="36" xfId="0" applyFont="1" applyBorder="1" applyAlignment="1" applyProtection="1">
      <alignment vertical="center"/>
    </xf>
    <xf numFmtId="1" fontId="2" fillId="0" borderId="39" xfId="67" applyNumberFormat="1" applyFont="1" applyBorder="1" applyAlignment="1" applyProtection="1">
      <alignment vertical="center"/>
    </xf>
    <xf numFmtId="170" fontId="30" fillId="17" borderId="34" xfId="66" applyNumberFormat="1" applyFont="1" applyFill="1" applyBorder="1" applyAlignment="1" applyProtection="1">
      <alignment horizontal="center" vertical="center"/>
    </xf>
    <xf numFmtId="170" fontId="30" fillId="17" borderId="77" xfId="66" applyNumberFormat="1" applyFont="1" applyFill="1" applyBorder="1" applyAlignment="1" applyProtection="1">
      <alignment horizontal="center" vertical="center"/>
    </xf>
    <xf numFmtId="170" fontId="30" fillId="17" borderId="36" xfId="66" applyNumberFormat="1" applyFont="1" applyFill="1" applyBorder="1" applyAlignment="1" applyProtection="1">
      <alignment horizontal="center" vertical="center"/>
    </xf>
    <xf numFmtId="164" fontId="2" fillId="17" borderId="39" xfId="71"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67" applyNumberFormat="1" applyFont="1" applyBorder="1" applyAlignment="1" applyProtection="1">
      <alignment vertical="center"/>
    </xf>
    <xf numFmtId="0" fontId="2" fillId="0" borderId="28" xfId="66" applyFont="1" applyFill="1" applyBorder="1" applyAlignment="1" applyProtection="1">
      <alignment horizontal="left" vertical="center"/>
    </xf>
    <xf numFmtId="0" fontId="2" fillId="0" borderId="27" xfId="66" applyFont="1" applyFill="1" applyBorder="1" applyAlignment="1" applyProtection="1">
      <alignment horizontal="left" vertical="center"/>
    </xf>
    <xf numFmtId="1" fontId="2" fillId="0" borderId="28" xfId="67"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6" applyNumberFormat="1" applyFont="1" applyFill="1" applyBorder="1" applyAlignment="1" applyProtection="1">
      <alignment horizontal="center" vertical="center"/>
      <protection locked="0"/>
    </xf>
    <xf numFmtId="170" fontId="2" fillId="0" borderId="47" xfId="66" applyNumberFormat="1" applyFont="1" applyFill="1" applyBorder="1" applyAlignment="1" applyProtection="1">
      <alignment horizontal="center" vertical="center"/>
      <protection locked="0"/>
    </xf>
    <xf numFmtId="170" fontId="2" fillId="0" borderId="62" xfId="66" applyNumberFormat="1" applyFont="1" applyFill="1" applyBorder="1" applyAlignment="1" applyProtection="1">
      <alignment horizontal="center" vertical="center"/>
      <protection locked="0"/>
    </xf>
    <xf numFmtId="0" fontId="51" fillId="18" borderId="28" xfId="62" applyFont="1" applyFill="1" applyBorder="1" applyAlignment="1" applyProtection="1">
      <alignment horizontal="left" vertical="center"/>
    </xf>
    <xf numFmtId="0" fontId="43" fillId="0" borderId="0" xfId="0" applyFont="1" applyFill="1" applyAlignment="1" applyProtection="1">
      <alignment vertical="center"/>
    </xf>
    <xf numFmtId="164" fontId="2" fillId="0" borderId="62" xfId="71" applyNumberFormat="1" applyFont="1" applyFill="1" applyBorder="1" applyAlignment="1" applyProtection="1">
      <alignment horizontal="center" vertical="center"/>
    </xf>
    <xf numFmtId="0" fontId="2" fillId="0" borderId="30" xfId="66" applyFont="1" applyFill="1" applyBorder="1" applyAlignment="1" applyProtection="1">
      <alignment horizontal="left" vertical="center"/>
    </xf>
    <xf numFmtId="0" fontId="51" fillId="18" borderId="32" xfId="62" applyFont="1" applyFill="1" applyBorder="1" applyAlignment="1" applyProtection="1">
      <alignment horizontal="left" vertical="center"/>
    </xf>
    <xf numFmtId="170" fontId="34" fillId="18" borderId="39" xfId="66" applyNumberFormat="1" applyFont="1" applyFill="1" applyBorder="1" applyAlignment="1" applyProtection="1">
      <alignment horizontal="center" vertical="center"/>
      <protection locked="0"/>
    </xf>
    <xf numFmtId="0" fontId="2" fillId="0" borderId="0" xfId="69" applyFont="1" applyProtection="1"/>
    <xf numFmtId="1" fontId="2" fillId="0" borderId="0" xfId="67" applyNumberFormat="1" applyFont="1" applyProtection="1"/>
    <xf numFmtId="0" fontId="26" fillId="0" borderId="0" xfId="69" applyFont="1" applyProtection="1"/>
    <xf numFmtId="0" fontId="26" fillId="0" borderId="0" xfId="66" applyFont="1" applyFill="1" applyBorder="1" applyAlignment="1" applyProtection="1">
      <alignment horizontal="left" vertical="center"/>
    </xf>
    <xf numFmtId="1" fontId="26" fillId="0" borderId="0" xfId="67" applyNumberFormat="1" applyFont="1" applyProtection="1"/>
    <xf numFmtId="0" fontId="26" fillId="0" borderId="0" xfId="67" applyFont="1" applyProtection="1"/>
    <xf numFmtId="0" fontId="36" fillId="20" borderId="0" xfId="72" applyFont="1" applyFill="1" applyBorder="1" applyAlignment="1" applyProtection="1"/>
    <xf numFmtId="0" fontId="39" fillId="20" borderId="0" xfId="73" applyFont="1" applyFill="1" applyBorder="1" applyAlignment="1" applyProtection="1"/>
    <xf numFmtId="0" fontId="26" fillId="20" borderId="0" xfId="73" applyFont="1" applyFill="1" applyBorder="1" applyAlignment="1" applyProtection="1"/>
    <xf numFmtId="0" fontId="52" fillId="20" borderId="0" xfId="73" applyFont="1" applyFill="1" applyBorder="1" applyAlignment="1" applyProtection="1"/>
    <xf numFmtId="0" fontId="2" fillId="20" borderId="0" xfId="73" applyFont="1" applyFill="1" applyBorder="1" applyAlignment="1" applyProtection="1"/>
    <xf numFmtId="0" fontId="39" fillId="20" borderId="0" xfId="73" applyFont="1" applyFill="1" applyBorder="1" applyAlignment="1" applyProtection="1">
      <alignment horizontal="left"/>
    </xf>
    <xf numFmtId="0" fontId="39" fillId="20" borderId="31" xfId="73" applyFont="1" applyFill="1" applyBorder="1" applyAlignment="1" applyProtection="1"/>
    <xf numFmtId="0" fontId="52" fillId="20" borderId="31" xfId="73" applyFont="1" applyFill="1" applyBorder="1" applyAlignment="1" applyProtection="1">
      <alignment horizontal="left"/>
    </xf>
    <xf numFmtId="0" fontId="2" fillId="20" borderId="31" xfId="73" applyFont="1" applyFill="1" applyBorder="1" applyAlignment="1" applyProtection="1"/>
    <xf numFmtId="0" fontId="2" fillId="20" borderId="31" xfId="73" applyFont="1" applyFill="1" applyBorder="1" applyProtection="1"/>
    <xf numFmtId="0" fontId="2" fillId="0" borderId="0" xfId="73" applyFont="1" applyAlignment="1" applyProtection="1">
      <alignment vertical="center"/>
    </xf>
    <xf numFmtId="0" fontId="28" fillId="0" borderId="0" xfId="73" applyFont="1" applyAlignment="1" applyProtection="1">
      <alignment vertical="center"/>
    </xf>
    <xf numFmtId="0" fontId="28" fillId="0" borderId="51" xfId="74" applyFont="1" applyBorder="1" applyAlignment="1" applyProtection="1">
      <alignment horizontal="centerContinuous" vertical="center"/>
    </xf>
    <xf numFmtId="0" fontId="28" fillId="0" borderId="55" xfId="74" applyFont="1" applyBorder="1" applyAlignment="1" applyProtection="1">
      <alignment horizontal="centerContinuous" vertical="center"/>
    </xf>
    <xf numFmtId="0" fontId="2" fillId="0" borderId="52" xfId="74" applyFont="1" applyBorder="1" applyAlignment="1" applyProtection="1">
      <alignment horizontal="centerContinuous" vertical="center"/>
    </xf>
    <xf numFmtId="0" fontId="2" fillId="0" borderId="55" xfId="74" applyFont="1" applyBorder="1" applyAlignment="1" applyProtection="1">
      <alignment horizontal="centerContinuous" vertical="center"/>
    </xf>
    <xf numFmtId="0" fontId="28" fillId="0" borderId="46" xfId="74" applyFont="1" applyBorder="1" applyAlignment="1" applyProtection="1">
      <alignment horizontal="center" vertical="center" wrapText="1"/>
    </xf>
    <xf numFmtId="0" fontId="28" fillId="0" borderId="47" xfId="74" applyFont="1" applyBorder="1" applyAlignment="1" applyProtection="1">
      <alignment horizontal="center" vertical="center" wrapText="1"/>
    </xf>
    <xf numFmtId="0" fontId="28" fillId="0" borderId="62" xfId="74" applyFont="1" applyBorder="1" applyAlignment="1" applyProtection="1">
      <alignment horizontal="center" vertical="center" wrapText="1"/>
    </xf>
    <xf numFmtId="0" fontId="28" fillId="0" borderId="46" xfId="73" applyFont="1" applyBorder="1" applyAlignment="1" applyProtection="1">
      <alignment horizontal="left" vertical="center" wrapText="1"/>
    </xf>
    <xf numFmtId="0" fontId="2" fillId="0" borderId="62" xfId="73" applyNumberFormat="1" applyFont="1" applyBorder="1" applyAlignment="1" applyProtection="1">
      <alignment vertical="center" wrapText="1"/>
    </xf>
    <xf numFmtId="170" fontId="43" fillId="0" borderId="72" xfId="75" applyNumberFormat="1" applyFont="1" applyFill="1" applyBorder="1" applyAlignment="1" applyProtection="1">
      <alignment horizontal="center" vertical="center"/>
    </xf>
    <xf numFmtId="170" fontId="43" fillId="0" borderId="11" xfId="75" applyNumberFormat="1" applyFont="1" applyFill="1" applyBorder="1" applyAlignment="1" applyProtection="1">
      <alignment horizontal="center" vertical="center"/>
    </xf>
    <xf numFmtId="170" fontId="43" fillId="0" borderId="40" xfId="75" applyNumberFormat="1" applyFont="1" applyFill="1" applyBorder="1" applyAlignment="1" applyProtection="1">
      <alignment horizontal="center" vertical="center"/>
    </xf>
    <xf numFmtId="0" fontId="2" fillId="0" borderId="46" xfId="73" applyFont="1" applyBorder="1" applyAlignment="1" applyProtection="1">
      <alignment horizontal="left" vertical="center" wrapText="1"/>
    </xf>
    <xf numFmtId="170" fontId="43" fillId="0" borderId="46" xfId="75" applyNumberFormat="1" applyFont="1" applyFill="1" applyBorder="1" applyAlignment="1" applyProtection="1">
      <alignment horizontal="center" vertical="center"/>
    </xf>
    <xf numFmtId="170" fontId="43" fillId="0" borderId="12" xfId="75" applyNumberFormat="1" applyFont="1" applyFill="1" applyBorder="1" applyAlignment="1" applyProtection="1">
      <alignment horizontal="center" vertical="center"/>
    </xf>
    <xf numFmtId="170" fontId="43" fillId="0" borderId="47" xfId="75" applyNumberFormat="1" applyFont="1" applyFill="1" applyBorder="1" applyAlignment="1" applyProtection="1">
      <alignment horizontal="center" vertical="center"/>
    </xf>
    <xf numFmtId="170" fontId="43" fillId="0" borderId="62" xfId="75" applyNumberFormat="1" applyFont="1" applyFill="1" applyBorder="1" applyAlignment="1" applyProtection="1">
      <alignment horizontal="center" vertical="center"/>
    </xf>
    <xf numFmtId="170" fontId="34" fillId="18" borderId="12" xfId="75" applyNumberFormat="1" applyFont="1" applyFill="1" applyBorder="1" applyAlignment="1" applyProtection="1">
      <alignment horizontal="center" vertical="center"/>
      <protection locked="0"/>
    </xf>
    <xf numFmtId="170" fontId="34" fillId="18" borderId="40" xfId="75" applyNumberFormat="1" applyFont="1" applyFill="1" applyBorder="1" applyAlignment="1" applyProtection="1">
      <alignment horizontal="center" vertical="center"/>
      <protection locked="0"/>
    </xf>
    <xf numFmtId="170" fontId="34" fillId="18" borderId="46" xfId="75" applyNumberFormat="1" applyFont="1" applyFill="1" applyBorder="1" applyAlignment="1" applyProtection="1">
      <alignment horizontal="center" vertical="center"/>
      <protection locked="0"/>
    </xf>
    <xf numFmtId="170" fontId="34" fillId="18" borderId="47" xfId="75" applyNumberFormat="1" applyFont="1" applyFill="1" applyBorder="1" applyAlignment="1" applyProtection="1">
      <alignment horizontal="center" vertical="center"/>
      <protection locked="0"/>
    </xf>
    <xf numFmtId="170" fontId="34" fillId="18" borderId="62" xfId="75" applyNumberFormat="1" applyFont="1" applyFill="1" applyBorder="1" applyAlignment="1" applyProtection="1">
      <alignment horizontal="center" vertical="center"/>
      <protection locked="0"/>
    </xf>
    <xf numFmtId="0" fontId="34" fillId="18" borderId="46" xfId="73" applyFont="1" applyFill="1" applyBorder="1" applyAlignment="1" applyProtection="1">
      <alignment horizontal="left" vertical="center" wrapText="1"/>
      <protection locked="0"/>
    </xf>
    <xf numFmtId="0" fontId="2" fillId="0" borderId="62" xfId="73" applyNumberFormat="1" applyFont="1" applyBorder="1" applyAlignment="1" applyProtection="1">
      <alignment vertical="center" wrapText="1"/>
      <protection locked="0"/>
    </xf>
    <xf numFmtId="0" fontId="2" fillId="0" borderId="0" xfId="73" applyFont="1" applyAlignment="1" applyProtection="1">
      <alignment vertical="center"/>
      <protection locked="0"/>
    </xf>
    <xf numFmtId="170" fontId="34" fillId="18" borderId="15" xfId="75" applyNumberFormat="1" applyFont="1" applyFill="1" applyBorder="1" applyAlignment="1" applyProtection="1">
      <alignment horizontal="center" vertical="center"/>
      <protection locked="0"/>
    </xf>
    <xf numFmtId="170" fontId="34" fillId="18" borderId="14" xfId="75" applyNumberFormat="1" applyFont="1" applyFill="1" applyBorder="1" applyAlignment="1" applyProtection="1">
      <alignment horizontal="center" vertical="center"/>
      <protection locked="0"/>
    </xf>
    <xf numFmtId="170" fontId="34" fillId="18" borderId="69" xfId="75" applyNumberFormat="1" applyFont="1" applyFill="1" applyBorder="1" applyAlignment="1" applyProtection="1">
      <alignment horizontal="center" vertical="center"/>
      <protection locked="0"/>
    </xf>
    <xf numFmtId="170" fontId="34" fillId="18" borderId="71" xfId="75" applyNumberFormat="1" applyFont="1" applyFill="1" applyBorder="1" applyAlignment="1" applyProtection="1">
      <alignment horizontal="center" vertical="center"/>
      <protection locked="0"/>
    </xf>
    <xf numFmtId="170" fontId="34" fillId="18" borderId="70" xfId="75" applyNumberFormat="1" applyFont="1" applyFill="1" applyBorder="1" applyAlignment="1" applyProtection="1">
      <alignment horizontal="center" vertical="center"/>
      <protection locked="0"/>
    </xf>
    <xf numFmtId="0" fontId="28" fillId="0" borderId="76" xfId="73" applyFont="1" applyBorder="1" applyAlignment="1" applyProtection="1">
      <alignment horizontal="left" vertical="center"/>
      <protection locked="0"/>
    </xf>
    <xf numFmtId="0" fontId="2" fillId="0" borderId="39" xfId="73" applyNumberFormat="1" applyFont="1" applyBorder="1" applyAlignment="1" applyProtection="1">
      <alignment vertical="center" wrapText="1"/>
      <protection locked="0"/>
    </xf>
    <xf numFmtId="170" fontId="28" fillId="17" borderId="36" xfId="73" applyNumberFormat="1" applyFont="1" applyFill="1" applyBorder="1" applyAlignment="1" applyProtection="1">
      <alignment horizontal="center" vertical="center"/>
      <protection locked="0"/>
    </xf>
    <xf numFmtId="170" fontId="28" fillId="17" borderId="35" xfId="73" applyNumberFormat="1" applyFont="1" applyFill="1" applyBorder="1" applyAlignment="1" applyProtection="1">
      <alignment horizontal="center" vertical="center"/>
      <protection locked="0"/>
    </xf>
    <xf numFmtId="170" fontId="28" fillId="17" borderId="39" xfId="73" applyNumberFormat="1" applyFont="1" applyFill="1" applyBorder="1" applyAlignment="1" applyProtection="1">
      <alignment horizontal="center" vertical="center"/>
      <protection locked="0"/>
    </xf>
    <xf numFmtId="0" fontId="28" fillId="0" borderId="0" xfId="73" applyFont="1" applyAlignment="1" applyProtection="1">
      <alignment horizontal="left" vertical="center"/>
    </xf>
    <xf numFmtId="0" fontId="2" fillId="0" borderId="0" xfId="73" applyNumberFormat="1" applyFont="1" applyAlignment="1" applyProtection="1">
      <alignment vertical="center" wrapText="1"/>
    </xf>
    <xf numFmtId="0" fontId="2" fillId="0" borderId="0" xfId="73" applyFont="1" applyFill="1" applyAlignment="1" applyProtection="1">
      <alignment vertical="center"/>
    </xf>
    <xf numFmtId="0" fontId="44" fillId="0" borderId="0" xfId="72" applyFont="1" applyAlignment="1" applyProtection="1">
      <alignment vertical="center"/>
    </xf>
    <xf numFmtId="0" fontId="28" fillId="0" borderId="12" xfId="74" applyFont="1" applyBorder="1" applyAlignment="1" applyProtection="1">
      <alignment horizontal="center" vertical="center" wrapText="1"/>
    </xf>
    <xf numFmtId="0" fontId="2" fillId="0" borderId="70" xfId="73" applyNumberFormat="1" applyFont="1" applyBorder="1" applyAlignment="1" applyProtection="1">
      <alignment vertical="center" wrapText="1"/>
    </xf>
    <xf numFmtId="0" fontId="28" fillId="0" borderId="30" xfId="73" applyFont="1" applyBorder="1" applyAlignment="1" applyProtection="1">
      <alignment horizontal="left" vertical="center"/>
    </xf>
    <xf numFmtId="0" fontId="2" fillId="0" borderId="39" xfId="73" applyNumberFormat="1" applyFont="1" applyBorder="1" applyAlignment="1" applyProtection="1">
      <alignment vertical="center" wrapText="1"/>
    </xf>
    <xf numFmtId="170" fontId="28" fillId="17" borderId="34" xfId="73" applyNumberFormat="1" applyFont="1" applyFill="1" applyBorder="1" applyAlignment="1" applyProtection="1">
      <alignment horizontal="center" vertical="center"/>
    </xf>
    <xf numFmtId="170" fontId="28" fillId="17" borderId="35" xfId="73" applyNumberFormat="1" applyFont="1" applyFill="1" applyBorder="1" applyAlignment="1" applyProtection="1">
      <alignment horizontal="center" vertical="center"/>
    </xf>
    <xf numFmtId="170" fontId="28" fillId="17" borderId="39" xfId="73" applyNumberFormat="1" applyFont="1" applyFill="1" applyBorder="1" applyAlignment="1" applyProtection="1">
      <alignment horizontal="center" vertical="center"/>
    </xf>
    <xf numFmtId="170" fontId="28" fillId="17" borderId="36" xfId="73" applyNumberFormat="1" applyFont="1" applyFill="1" applyBorder="1" applyAlignment="1" applyProtection="1">
      <alignment horizontal="center" vertical="center"/>
    </xf>
    <xf numFmtId="170" fontId="34" fillId="18" borderId="12" xfId="75" applyNumberFormat="1" applyFont="1" applyFill="1" applyBorder="1" applyAlignment="1" applyProtection="1">
      <alignment vertical="center"/>
      <protection locked="0"/>
    </xf>
    <xf numFmtId="170" fontId="34" fillId="18" borderId="47" xfId="75" applyNumberFormat="1" applyFont="1" applyFill="1" applyBorder="1" applyAlignment="1" applyProtection="1">
      <alignment vertical="center"/>
      <protection locked="0"/>
    </xf>
    <xf numFmtId="0" fontId="2" fillId="0" borderId="51" xfId="73" applyFont="1" applyBorder="1" applyAlignment="1" applyProtection="1">
      <alignment vertical="center"/>
    </xf>
    <xf numFmtId="0" fontId="28" fillId="0" borderId="56" xfId="73" applyFont="1" applyBorder="1" applyAlignment="1" applyProtection="1">
      <alignment horizontal="center" vertical="center" wrapText="1"/>
    </xf>
    <xf numFmtId="0" fontId="28" fillId="0" borderId="57" xfId="73" applyFont="1" applyBorder="1" applyAlignment="1" applyProtection="1">
      <alignment horizontal="center" vertical="center" wrapText="1"/>
    </xf>
    <xf numFmtId="0" fontId="28" fillId="0" borderId="58" xfId="73" applyFont="1" applyBorder="1" applyAlignment="1" applyProtection="1">
      <alignment horizontal="center" vertical="center" wrapText="1"/>
    </xf>
    <xf numFmtId="0" fontId="2" fillId="0" borderId="72" xfId="73" applyFont="1" applyBorder="1" applyAlignment="1" applyProtection="1">
      <alignment horizontal="left" vertical="center" wrapText="1"/>
    </xf>
    <xf numFmtId="1" fontId="2" fillId="0" borderId="46" xfId="75" applyNumberFormat="1" applyFont="1" applyFill="1" applyBorder="1" applyAlignment="1" applyProtection="1">
      <alignment horizontal="center" vertical="center"/>
    </xf>
    <xf numFmtId="1" fontId="2" fillId="0" borderId="47" xfId="75" applyNumberFormat="1" applyFont="1" applyFill="1" applyBorder="1" applyAlignment="1" applyProtection="1">
      <alignment horizontal="center" vertical="center"/>
    </xf>
    <xf numFmtId="1" fontId="34" fillId="18" borderId="47" xfId="75" applyNumberFormat="1" applyFont="1" applyFill="1" applyBorder="1" applyAlignment="1" applyProtection="1">
      <alignment horizontal="center" vertical="center"/>
      <protection locked="0"/>
    </xf>
    <xf numFmtId="1" fontId="2" fillId="0" borderId="62" xfId="75" applyNumberFormat="1" applyFont="1" applyFill="1" applyBorder="1" applyAlignment="1" applyProtection="1">
      <alignment horizontal="center" vertical="center"/>
    </xf>
    <xf numFmtId="0" fontId="28" fillId="0" borderId="76" xfId="73" applyFont="1" applyBorder="1" applyAlignment="1" applyProtection="1">
      <alignment horizontal="left" vertical="center"/>
    </xf>
    <xf numFmtId="1" fontId="28" fillId="17" borderId="36" xfId="73" applyNumberFormat="1" applyFont="1" applyFill="1" applyBorder="1" applyAlignment="1" applyProtection="1">
      <alignment horizontal="center" vertical="center" wrapText="1"/>
    </xf>
    <xf numFmtId="1" fontId="28" fillId="17" borderId="35" xfId="73" applyNumberFormat="1" applyFont="1" applyFill="1" applyBorder="1" applyAlignment="1" applyProtection="1">
      <alignment horizontal="center" vertical="center" wrapText="1"/>
    </xf>
    <xf numFmtId="1" fontId="28" fillId="17" borderId="39" xfId="73" applyNumberFormat="1" applyFont="1" applyFill="1" applyBorder="1" applyAlignment="1" applyProtection="1">
      <alignment horizontal="center" vertical="center" wrapText="1"/>
    </xf>
    <xf numFmtId="0" fontId="28" fillId="0" borderId="0" xfId="73" applyFont="1" applyBorder="1" applyAlignment="1" applyProtection="1">
      <alignment vertical="center"/>
    </xf>
    <xf numFmtId="0" fontId="28" fillId="0" borderId="69" xfId="73" applyFont="1" applyBorder="1" applyAlignment="1" applyProtection="1">
      <alignment horizontal="center" vertical="center" wrapText="1"/>
    </xf>
    <xf numFmtId="0" fontId="2" fillId="0" borderId="84" xfId="73" applyFont="1" applyBorder="1" applyAlignment="1" applyProtection="1">
      <alignment horizontal="center" vertical="center" wrapText="1"/>
    </xf>
    <xf numFmtId="0" fontId="28" fillId="0" borderId="44" xfId="73" applyFont="1" applyBorder="1" applyAlignment="1" applyProtection="1">
      <alignment horizontal="center" vertical="center" wrapText="1"/>
    </xf>
    <xf numFmtId="0" fontId="28" fillId="0" borderId="71" xfId="73" applyFont="1" applyFill="1" applyBorder="1" applyAlignment="1" applyProtection="1">
      <alignment horizontal="center" vertical="center" wrapText="1"/>
    </xf>
    <xf numFmtId="0" fontId="28" fillId="0" borderId="47" xfId="73" applyFont="1" applyFill="1" applyBorder="1" applyAlignment="1" applyProtection="1">
      <alignment horizontal="center" vertical="center" wrapText="1"/>
    </xf>
    <xf numFmtId="0" fontId="28" fillId="0" borderId="62" xfId="73" applyFont="1" applyFill="1" applyBorder="1" applyAlignment="1" applyProtection="1">
      <alignment horizontal="center" vertical="center" wrapText="1"/>
    </xf>
    <xf numFmtId="0" fontId="2" fillId="0" borderId="0" xfId="73" applyFont="1" applyFill="1" applyBorder="1" applyAlignment="1" applyProtection="1">
      <alignment vertical="center"/>
    </xf>
    <xf numFmtId="0" fontId="2" fillId="0" borderId="73" xfId="73" applyFont="1" applyBorder="1" applyAlignment="1" applyProtection="1">
      <alignment horizontal="center" vertical="center" wrapText="1"/>
    </xf>
    <xf numFmtId="0" fontId="28" fillId="0" borderId="59" xfId="73" applyFont="1" applyBorder="1" applyAlignment="1" applyProtection="1">
      <alignment horizontal="center" vertical="center" wrapText="1"/>
    </xf>
    <xf numFmtId="1" fontId="34" fillId="18" borderId="12" xfId="75" applyNumberFormat="1" applyFont="1" applyFill="1" applyBorder="1" applyAlignment="1" applyProtection="1">
      <alignment horizontal="center" vertical="center"/>
      <protection locked="0"/>
    </xf>
    <xf numFmtId="1" fontId="34" fillId="18" borderId="62" xfId="75" applyNumberFormat="1" applyFont="1" applyFill="1" applyBorder="1" applyAlignment="1" applyProtection="1">
      <alignment horizontal="center" vertical="center"/>
      <protection locked="0"/>
    </xf>
    <xf numFmtId="0" fontId="2" fillId="0" borderId="65" xfId="73" applyFont="1" applyBorder="1" applyAlignment="1" applyProtection="1">
      <alignment horizontal="left" vertical="center" wrapText="1"/>
    </xf>
    <xf numFmtId="1" fontId="2" fillId="0" borderId="59" xfId="75" applyNumberFormat="1" applyFont="1" applyFill="1" applyBorder="1" applyAlignment="1" applyProtection="1">
      <alignment horizontal="center" vertical="center"/>
    </xf>
    <xf numFmtId="1" fontId="34" fillId="18" borderId="20" xfId="75" applyNumberFormat="1" applyFont="1" applyFill="1" applyBorder="1" applyAlignment="1" applyProtection="1">
      <alignment horizontal="center" vertical="center"/>
      <protection locked="0"/>
    </xf>
    <xf numFmtId="1" fontId="34" fillId="18" borderId="61" xfId="75" applyNumberFormat="1" applyFont="1" applyFill="1" applyBorder="1" applyAlignment="1" applyProtection="1">
      <alignment horizontal="center" vertical="center"/>
      <protection locked="0"/>
    </xf>
    <xf numFmtId="1" fontId="34" fillId="18" borderId="60" xfId="75" applyNumberFormat="1" applyFont="1" applyFill="1" applyBorder="1" applyAlignment="1" applyProtection="1">
      <alignment horizontal="center" vertical="center"/>
      <protection locked="0"/>
    </xf>
    <xf numFmtId="0" fontId="28" fillId="0" borderId="0" xfId="73" applyFont="1" applyBorder="1" applyAlignment="1" applyProtection="1">
      <alignment horizontal="left" vertical="center"/>
    </xf>
    <xf numFmtId="0" fontId="2" fillId="0" borderId="0" xfId="73" applyNumberFormat="1" applyFont="1" applyFill="1" applyBorder="1" applyAlignment="1" applyProtection="1">
      <alignment vertical="center" wrapText="1"/>
    </xf>
    <xf numFmtId="0" fontId="28" fillId="0" borderId="18" xfId="73" applyFont="1" applyBorder="1" applyAlignment="1" applyProtection="1">
      <alignment horizontal="centerContinuous" vertical="center"/>
    </xf>
    <xf numFmtId="0" fontId="28" fillId="0" borderId="19" xfId="73" applyFont="1" applyBorder="1" applyAlignment="1" applyProtection="1">
      <alignment horizontal="centerContinuous" vertical="center"/>
    </xf>
    <xf numFmtId="0" fontId="28" fillId="0" borderId="66" xfId="73" applyFont="1" applyBorder="1" applyAlignment="1" applyProtection="1">
      <alignment horizontal="centerContinuous" vertical="center"/>
    </xf>
    <xf numFmtId="0" fontId="28" fillId="19" borderId="62" xfId="73" applyFont="1" applyFill="1" applyBorder="1" applyAlignment="1" applyProtection="1">
      <alignment horizontal="center" vertical="center" wrapText="1"/>
    </xf>
    <xf numFmtId="0" fontId="28" fillId="0" borderId="47" xfId="73" applyFont="1" applyFill="1" applyBorder="1" applyAlignment="1" applyProtection="1">
      <alignment horizontal="left" vertical="center" wrapText="1"/>
    </xf>
    <xf numFmtId="0" fontId="2" fillId="0" borderId="73" xfId="73" applyFont="1" applyBorder="1" applyAlignment="1" applyProtection="1">
      <alignment horizontal="left" vertical="center" wrapText="1"/>
    </xf>
    <xf numFmtId="0" fontId="2" fillId="19" borderId="61" xfId="75" applyFont="1" applyFill="1" applyBorder="1" applyAlignment="1" applyProtection="1">
      <alignment horizontal="center" vertical="center"/>
    </xf>
    <xf numFmtId="1" fontId="34" fillId="18" borderId="59" xfId="75" applyNumberFormat="1" applyFont="1" applyFill="1" applyBorder="1" applyAlignment="1" applyProtection="1">
      <alignment horizontal="center" vertical="center"/>
      <protection locked="0"/>
    </xf>
    <xf numFmtId="0" fontId="34" fillId="19" borderId="61" xfId="75" applyFont="1" applyFill="1" applyBorder="1" applyAlignment="1" applyProtection="1">
      <alignment horizontal="center" vertical="center"/>
    </xf>
    <xf numFmtId="0" fontId="2" fillId="0" borderId="38" xfId="73" applyFont="1" applyBorder="1" applyAlignment="1" applyProtection="1">
      <alignment horizontal="left" vertical="center" wrapText="1"/>
    </xf>
    <xf numFmtId="0" fontId="2" fillId="19" borderId="47" xfId="75" applyFont="1" applyFill="1" applyBorder="1" applyAlignment="1" applyProtection="1">
      <alignment horizontal="center" vertical="center"/>
    </xf>
    <xf numFmtId="1" fontId="34" fillId="18" borderId="46" xfId="75" applyNumberFormat="1" applyFont="1" applyFill="1" applyBorder="1" applyAlignment="1" applyProtection="1">
      <alignment horizontal="center" vertical="center"/>
      <protection locked="0"/>
    </xf>
    <xf numFmtId="0" fontId="34" fillId="19" borderId="47" xfId="75" applyFont="1" applyFill="1" applyBorder="1" applyAlignment="1" applyProtection="1">
      <alignment horizontal="center" vertical="center"/>
    </xf>
    <xf numFmtId="0" fontId="28" fillId="0" borderId="74" xfId="73" applyFont="1" applyBorder="1" applyAlignment="1" applyProtection="1">
      <alignment horizontal="left" vertical="center"/>
    </xf>
    <xf numFmtId="1" fontId="28" fillId="17" borderId="34" xfId="73" applyNumberFormat="1" applyFont="1" applyFill="1" applyBorder="1" applyAlignment="1" applyProtection="1">
      <alignment horizontal="center" vertical="center" wrapText="1"/>
    </xf>
    <xf numFmtId="0" fontId="28" fillId="19" borderId="39" xfId="73" applyNumberFormat="1" applyFont="1" applyFill="1" applyBorder="1" applyAlignment="1" applyProtection="1">
      <alignment horizontal="center" vertical="center" wrapText="1"/>
    </xf>
    <xf numFmtId="0" fontId="28" fillId="0" borderId="22" xfId="73" applyFont="1" applyBorder="1" applyAlignment="1" applyProtection="1">
      <alignment horizontal="left" vertical="center"/>
    </xf>
    <xf numFmtId="0" fontId="2" fillId="0" borderId="22" xfId="73" applyNumberFormat="1" applyFont="1" applyFill="1" applyBorder="1" applyAlignment="1" applyProtection="1">
      <alignment vertical="center" wrapText="1"/>
    </xf>
    <xf numFmtId="170" fontId="2" fillId="0" borderId="59" xfId="75" applyNumberFormat="1" applyFont="1" applyFill="1" applyBorder="1" applyAlignment="1" applyProtection="1">
      <alignment horizontal="center" vertical="center"/>
    </xf>
    <xf numFmtId="170" fontId="34" fillId="18" borderId="20" xfId="75" applyNumberFormat="1" applyFont="1" applyFill="1" applyBorder="1" applyAlignment="1" applyProtection="1">
      <alignment horizontal="center" vertical="center"/>
      <protection locked="0"/>
    </xf>
    <xf numFmtId="0" fontId="34" fillId="19" borderId="62" xfId="75" applyFont="1" applyFill="1" applyBorder="1" applyAlignment="1" applyProtection="1">
      <alignment horizontal="center" vertical="center"/>
    </xf>
    <xf numFmtId="170" fontId="34" fillId="18" borderId="61" xfId="75" applyNumberFormat="1" applyFont="1" applyFill="1" applyBorder="1" applyAlignment="1" applyProtection="1">
      <alignment horizontal="center" vertical="center"/>
      <protection locked="0"/>
    </xf>
    <xf numFmtId="0" fontId="34" fillId="19" borderId="60" xfId="75" applyFont="1" applyFill="1" applyBorder="1" applyAlignment="1" applyProtection="1">
      <alignment horizontal="center" vertical="center"/>
    </xf>
    <xf numFmtId="170" fontId="28" fillId="17" borderId="36" xfId="73" applyNumberFormat="1" applyFont="1" applyFill="1" applyBorder="1" applyAlignment="1" applyProtection="1">
      <alignment horizontal="center" vertical="center" wrapText="1"/>
    </xf>
    <xf numFmtId="170" fontId="28" fillId="17" borderId="35" xfId="73" applyNumberFormat="1" applyFont="1" applyFill="1" applyBorder="1" applyAlignment="1" applyProtection="1">
      <alignment horizontal="center" vertical="center" wrapText="1"/>
    </xf>
    <xf numFmtId="0" fontId="2" fillId="0" borderId="22" xfId="73" applyFont="1" applyBorder="1" applyAlignment="1" applyProtection="1">
      <alignment vertical="center"/>
    </xf>
    <xf numFmtId="0" fontId="28" fillId="19" borderId="70" xfId="73" applyFont="1" applyFill="1" applyBorder="1" applyAlignment="1" applyProtection="1">
      <alignment horizontal="center" vertical="center" wrapText="1"/>
    </xf>
    <xf numFmtId="170" fontId="2" fillId="0" borderId="61" xfId="75" applyNumberFormat="1" applyFont="1" applyFill="1" applyBorder="1" applyAlignment="1" applyProtection="1">
      <alignment horizontal="center" vertical="center"/>
    </xf>
    <xf numFmtId="0" fontId="34" fillId="19" borderId="58" xfId="75" applyFont="1" applyFill="1" applyBorder="1" applyAlignment="1" applyProtection="1">
      <alignment horizontal="center" vertical="center"/>
    </xf>
    <xf numFmtId="170" fontId="2" fillId="0" borderId="46" xfId="75" applyNumberFormat="1" applyFont="1" applyFill="1" applyBorder="1" applyAlignment="1" applyProtection="1">
      <alignment horizontal="center" vertical="center"/>
    </xf>
    <xf numFmtId="170" fontId="2" fillId="0" borderId="47" xfId="75" applyNumberFormat="1" applyFont="1" applyFill="1" applyBorder="1" applyAlignment="1" applyProtection="1">
      <alignment horizontal="center" vertical="center"/>
    </xf>
    <xf numFmtId="0" fontId="2" fillId="0" borderId="76" xfId="73" applyFont="1" applyBorder="1" applyAlignment="1" applyProtection="1">
      <alignment horizontal="left" vertical="center" wrapText="1"/>
    </xf>
    <xf numFmtId="170" fontId="2" fillId="0" borderId="36" xfId="75" applyNumberFormat="1" applyFont="1" applyFill="1" applyBorder="1" applyAlignment="1" applyProtection="1">
      <alignment horizontal="center" vertical="center"/>
    </xf>
    <xf numFmtId="170" fontId="2" fillId="0" borderId="35" xfId="75" applyNumberFormat="1" applyFont="1" applyFill="1" applyBorder="1" applyAlignment="1" applyProtection="1">
      <alignment horizontal="center" vertical="center"/>
    </xf>
    <xf numFmtId="0" fontId="34" fillId="19" borderId="39" xfId="75" applyFont="1" applyFill="1" applyBorder="1" applyAlignment="1" applyProtection="1">
      <alignment horizontal="center" vertical="center"/>
    </xf>
    <xf numFmtId="0" fontId="2" fillId="0" borderId="85" xfId="73" applyFont="1" applyBorder="1" applyAlignment="1" applyProtection="1">
      <alignment vertical="center"/>
    </xf>
    <xf numFmtId="1" fontId="2" fillId="0" borderId="61" xfId="75" applyNumberFormat="1" applyFont="1" applyFill="1" applyBorder="1" applyAlignment="1" applyProtection="1">
      <alignment horizontal="center" vertical="center"/>
    </xf>
    <xf numFmtId="1" fontId="2" fillId="0" borderId="60" xfId="75" applyNumberFormat="1" applyFont="1" applyFill="1" applyBorder="1" applyAlignment="1" applyProtection="1">
      <alignment horizontal="center" vertical="center"/>
    </xf>
    <xf numFmtId="0" fontId="28" fillId="0" borderId="10" xfId="73" applyFont="1" applyBorder="1" applyAlignment="1" applyProtection="1">
      <alignment horizontal="centerContinuous" vertical="center"/>
    </xf>
    <xf numFmtId="0" fontId="28" fillId="0" borderId="11" xfId="73" applyFont="1" applyBorder="1" applyAlignment="1" applyProtection="1">
      <alignment horizontal="centerContinuous" vertical="center"/>
    </xf>
    <xf numFmtId="0" fontId="28" fillId="0" borderId="40" xfId="73" applyFont="1" applyBorder="1" applyAlignment="1" applyProtection="1">
      <alignment horizontal="centerContinuous" vertical="center"/>
    </xf>
    <xf numFmtId="0" fontId="28" fillId="19" borderId="37" xfId="73" applyNumberFormat="1" applyFont="1" applyFill="1" applyBorder="1" applyAlignment="1" applyProtection="1">
      <alignment horizontal="center" vertical="center" wrapText="1"/>
    </xf>
    <xf numFmtId="0" fontId="2" fillId="19" borderId="35" xfId="75" applyFont="1" applyFill="1" applyBorder="1" applyAlignment="1" applyProtection="1">
      <alignment horizontal="center" vertical="center"/>
    </xf>
    <xf numFmtId="0" fontId="2" fillId="0" borderId="0" xfId="73" applyFont="1" applyProtection="1"/>
    <xf numFmtId="1" fontId="28" fillId="0" borderId="51" xfId="62" applyNumberFormat="1" applyFont="1" applyBorder="1" applyAlignment="1" applyProtection="1">
      <alignment horizontal="centerContinuous" wrapText="1"/>
    </xf>
    <xf numFmtId="0" fontId="43" fillId="0" borderId="52" xfId="0" applyFont="1" applyBorder="1" applyAlignment="1" applyProtection="1">
      <alignment horizontal="centerContinuous"/>
    </xf>
    <xf numFmtId="1" fontId="28" fillId="0" borderId="69" xfId="62" applyNumberFormat="1" applyFont="1" applyBorder="1" applyAlignment="1" applyProtection="1">
      <alignment horizontal="center" vertical="center" wrapText="1"/>
    </xf>
    <xf numFmtId="1" fontId="28" fillId="0" borderId="70"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4"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4" xfId="69" applyNumberFormat="1" applyFont="1" applyFill="1" applyBorder="1" applyAlignment="1" applyProtection="1">
      <alignment horizontal="center"/>
    </xf>
    <xf numFmtId="0" fontId="2" fillId="0" borderId="41" xfId="0" applyFont="1" applyBorder="1" applyAlignment="1" applyProtection="1"/>
    <xf numFmtId="0" fontId="2" fillId="0" borderId="54" xfId="0" applyFont="1" applyBorder="1" applyAlignment="1" applyProtection="1"/>
    <xf numFmtId="0" fontId="28" fillId="0" borderId="0" xfId="62" applyFont="1" applyBorder="1" applyProtection="1"/>
    <xf numFmtId="1" fontId="2" fillId="0" borderId="63" xfId="69" applyNumberFormat="1" applyFont="1" applyBorder="1" applyProtection="1"/>
    <xf numFmtId="0" fontId="2" fillId="0" borderId="44" xfId="0" applyFont="1" applyBorder="1" applyAlignment="1" applyProtection="1"/>
    <xf numFmtId="0" fontId="2" fillId="0" borderId="63" xfId="0" applyFont="1" applyBorder="1" applyAlignment="1" applyProtection="1"/>
    <xf numFmtId="0" fontId="2" fillId="0" borderId="27" xfId="62" applyFont="1" applyBorder="1" applyProtection="1"/>
    <xf numFmtId="0" fontId="2" fillId="0" borderId="63" xfId="69" applyFont="1" applyBorder="1" applyAlignment="1" applyProtection="1">
      <alignment horizontal="center"/>
    </xf>
    <xf numFmtId="2" fontId="34" fillId="18" borderId="44" xfId="0" applyNumberFormat="1" applyFont="1" applyFill="1" applyBorder="1" applyAlignment="1" applyProtection="1">
      <alignment horizontal="center" vertical="center"/>
      <protection locked="0"/>
    </xf>
    <xf numFmtId="2" fontId="34" fillId="18" borderId="63"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2" fontId="2" fillId="19" borderId="46" xfId="76" applyNumberFormat="1" applyFont="1" applyFill="1" applyBorder="1" applyAlignment="1" applyProtection="1">
      <alignment horizontal="center" vertical="center"/>
    </xf>
    <xf numFmtId="2" fontId="2" fillId="19" borderId="62" xfId="76"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1" fontId="34" fillId="0" borderId="64" xfId="69" applyNumberFormat="1" applyFont="1" applyFill="1" applyBorder="1" applyProtection="1"/>
    <xf numFmtId="2" fontId="2" fillId="0" borderId="48" xfId="0" applyNumberFormat="1" applyFont="1" applyBorder="1" applyAlignment="1" applyProtection="1">
      <alignment horizontal="center" vertical="center"/>
    </xf>
    <xf numFmtId="2" fontId="2" fillId="0" borderId="64"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3" xfId="69"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4" xfId="69"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4"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3"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4" xfId="69" applyFont="1" applyBorder="1" applyAlignment="1" applyProtection="1">
      <alignment horizontal="center"/>
    </xf>
    <xf numFmtId="2" fontId="34" fillId="18" borderId="48" xfId="0" applyNumberFormat="1" applyFont="1" applyFill="1" applyBorder="1" applyAlignment="1" applyProtection="1">
      <alignment horizontal="center" vertical="center"/>
      <protection locked="0"/>
    </xf>
    <xf numFmtId="2" fontId="34" fillId="18" borderId="64" xfId="0" applyNumberFormat="1" applyFont="1" applyFill="1" applyBorder="1" applyAlignment="1" applyProtection="1">
      <alignment horizontal="center" vertical="center"/>
      <protection locked="0"/>
    </xf>
    <xf numFmtId="0" fontId="31" fillId="0" borderId="14" xfId="77" applyFont="1" applyBorder="1"/>
    <xf numFmtId="0" fontId="32" fillId="0" borderId="14" xfId="77" applyFont="1" applyBorder="1"/>
    <xf numFmtId="0" fontId="32" fillId="0" borderId="15" xfId="77" applyFont="1" applyBorder="1"/>
    <xf numFmtId="0" fontId="31" fillId="0" borderId="0" xfId="77" applyFont="1" applyBorder="1"/>
    <xf numFmtId="0" fontId="32" fillId="0" borderId="0" xfId="77" applyFont="1" applyBorder="1"/>
    <xf numFmtId="0" fontId="32" fillId="0" borderId="17" xfId="77" applyFont="1" applyBorder="1"/>
    <xf numFmtId="0" fontId="31" fillId="0" borderId="17" xfId="77" applyFont="1" applyBorder="1" applyAlignment="1">
      <alignment horizontal="center" textRotation="90" wrapText="1"/>
    </xf>
    <xf numFmtId="0" fontId="53" fillId="0" borderId="0" xfId="0" applyFont="1"/>
    <xf numFmtId="0" fontId="54" fillId="0" borderId="47" xfId="77" applyFont="1" applyBorder="1" applyAlignment="1">
      <alignment wrapText="1"/>
    </xf>
    <xf numFmtId="170" fontId="54" fillId="0" borderId="47" xfId="77" applyNumberFormat="1" applyFont="1" applyBorder="1" applyAlignment="1" applyProtection="1">
      <alignment horizontal="center" textRotation="90" wrapText="1"/>
    </xf>
    <xf numFmtId="170" fontId="54" fillId="0" borderId="61" xfId="77" applyNumberFormat="1" applyFont="1" applyBorder="1" applyAlignment="1" applyProtection="1">
      <alignment horizontal="center" textRotation="90" wrapText="1"/>
    </xf>
    <xf numFmtId="0" fontId="55" fillId="0" borderId="17" xfId="77" applyFont="1" applyBorder="1" applyAlignment="1">
      <alignment horizontal="center" textRotation="90" wrapText="1"/>
    </xf>
    <xf numFmtId="0" fontId="32" fillId="0" borderId="47" xfId="77" applyFont="1" applyBorder="1"/>
    <xf numFmtId="0" fontId="32" fillId="0" borderId="47" xfId="77" applyFont="1" applyBorder="1" applyAlignment="1">
      <alignment horizontal="center"/>
    </xf>
    <xf numFmtId="0" fontId="32" fillId="0" borderId="71" xfId="77" applyFont="1" applyBorder="1"/>
    <xf numFmtId="0" fontId="32" fillId="0" borderId="71" xfId="77" applyFont="1" applyBorder="1" applyAlignment="1">
      <alignment horizontal="center"/>
    </xf>
    <xf numFmtId="0" fontId="32" fillId="0" borderId="45" xfId="77" applyFont="1" applyBorder="1"/>
    <xf numFmtId="173" fontId="32" fillId="0" borderId="45" xfId="77" applyNumberFormat="1" applyFont="1" applyBorder="1"/>
    <xf numFmtId="37" fontId="32" fillId="0" borderId="17" xfId="77" applyNumberFormat="1" applyFont="1" applyBorder="1"/>
    <xf numFmtId="174" fontId="32" fillId="20" borderId="61" xfId="77" applyNumberFormat="1" applyFont="1" applyFill="1" applyBorder="1"/>
    <xf numFmtId="174" fontId="32" fillId="0" borderId="61" xfId="77" applyNumberFormat="1" applyFont="1" applyBorder="1"/>
    <xf numFmtId="173" fontId="32" fillId="0" borderId="17" xfId="77" applyNumberFormat="1" applyFont="1" applyBorder="1"/>
    <xf numFmtId="0" fontId="32" fillId="0" borderId="61" xfId="77" applyFont="1" applyBorder="1"/>
    <xf numFmtId="173" fontId="32" fillId="0" borderId="61" xfId="77" applyNumberFormat="1" applyFont="1" applyBorder="1"/>
    <xf numFmtId="173" fontId="32" fillId="0" borderId="0" xfId="77"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77" applyFont="1" applyBorder="1"/>
    <xf numFmtId="173" fontId="32" fillId="0" borderId="19" xfId="77" applyNumberFormat="1" applyFont="1" applyBorder="1"/>
    <xf numFmtId="37" fontId="32" fillId="0" borderId="20" xfId="77"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5"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5"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3"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2" xfId="0" applyFont="1" applyBorder="1" applyAlignment="1" applyProtection="1">
      <alignment horizontal="center" vertical="center"/>
    </xf>
    <xf numFmtId="0" fontId="31" fillId="0" borderId="0" xfId="0" applyFont="1" applyAlignment="1">
      <alignment horizontal="center" vertical="center"/>
    </xf>
    <xf numFmtId="0" fontId="31" fillId="0" borderId="75"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6" xfId="0" applyFont="1" applyBorder="1" applyAlignment="1" applyProtection="1">
      <alignment horizontal="center" vertical="center"/>
    </xf>
    <xf numFmtId="0" fontId="31" fillId="0" borderId="89" xfId="0" applyFont="1" applyBorder="1" applyAlignment="1" applyProtection="1">
      <alignment horizontal="center" vertical="center"/>
    </xf>
    <xf numFmtId="0" fontId="31" fillId="0" borderId="85"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5" xfId="0" applyFont="1" applyBorder="1" applyAlignment="1">
      <alignment horizontal="center" vertical="center"/>
    </xf>
    <xf numFmtId="0" fontId="31" fillId="0" borderId="83" xfId="0" applyFont="1" applyBorder="1" applyAlignment="1">
      <alignment horizontal="center" vertical="center"/>
    </xf>
    <xf numFmtId="0" fontId="31" fillId="0" borderId="88"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xf>
    <xf numFmtId="175" fontId="49" fillId="18" borderId="85" xfId="0" applyNumberFormat="1" applyFont="1" applyFill="1" applyBorder="1" applyAlignment="1" applyProtection="1">
      <alignment horizontal="right"/>
      <protection locked="0"/>
    </xf>
    <xf numFmtId="175" fontId="49" fillId="18" borderId="85" xfId="0" applyNumberFormat="1" applyFont="1" applyFill="1" applyBorder="1" applyAlignment="1" applyProtection="1">
      <alignment horizontal="right" vertical="center"/>
      <protection locked="0"/>
    </xf>
    <xf numFmtId="175" fontId="49" fillId="18" borderId="38" xfId="0" applyNumberFormat="1" applyFont="1" applyFill="1" applyBorder="1" applyAlignment="1" applyProtection="1">
      <alignment horizontal="right"/>
      <protection locked="0"/>
    </xf>
    <xf numFmtId="175" fontId="49" fillId="18" borderId="38" xfId="0" applyNumberFormat="1" applyFont="1" applyFill="1" applyBorder="1" applyAlignment="1" applyProtection="1">
      <alignment horizontal="right" vertical="center"/>
      <protection locked="0"/>
    </xf>
    <xf numFmtId="175" fontId="49" fillId="18" borderId="59" xfId="0" applyNumberFormat="1" applyFont="1" applyFill="1" applyBorder="1" applyAlignment="1" applyProtection="1">
      <alignment horizontal="right"/>
      <protection locked="0"/>
    </xf>
    <xf numFmtId="175" fontId="30" fillId="24" borderId="73" xfId="0" applyNumberFormat="1" applyFont="1" applyFill="1" applyBorder="1" applyAlignment="1">
      <alignment horizontal="right"/>
    </xf>
    <xf numFmtId="175" fontId="49" fillId="18" borderId="74" xfId="0" applyNumberFormat="1" applyFont="1" applyFill="1" applyBorder="1" applyAlignment="1" applyProtection="1">
      <alignment horizontal="right"/>
      <protection locked="0"/>
    </xf>
    <xf numFmtId="175" fontId="49" fillId="18" borderId="74" xfId="0" applyNumberFormat="1" applyFont="1" applyFill="1" applyBorder="1" applyAlignment="1" applyProtection="1">
      <alignment horizontal="right" vertical="center"/>
      <protection locked="0"/>
    </xf>
    <xf numFmtId="0" fontId="30" fillId="0" borderId="0" xfId="0" applyFont="1" applyFill="1" applyBorder="1" applyAlignment="1" applyProtection="1">
      <alignment horizontal="left" vertical="center"/>
    </xf>
    <xf numFmtId="175" fontId="49" fillId="18" borderId="73" xfId="0" applyNumberFormat="1" applyFont="1" applyFill="1" applyBorder="1" applyAlignment="1" applyProtection="1">
      <alignment horizontal="right"/>
      <protection locked="0"/>
    </xf>
    <xf numFmtId="175" fontId="49" fillId="18" borderId="73" xfId="0" applyNumberFormat="1" applyFont="1" applyFill="1" applyBorder="1" applyAlignment="1" applyProtection="1">
      <alignment horizontal="right" vertical="center"/>
      <protection locked="0"/>
    </xf>
    <xf numFmtId="0" fontId="30" fillId="0" borderId="0" xfId="0" applyFont="1" applyFill="1" applyBorder="1" applyAlignment="1" applyProtection="1">
      <alignment horizontal="left" vertical="center" wrapText="1"/>
    </xf>
    <xf numFmtId="175" fontId="30" fillId="24" borderId="38" xfId="0" applyNumberFormat="1" applyFont="1" applyFill="1" applyBorder="1" applyAlignment="1">
      <alignment horizontal="right"/>
    </xf>
    <xf numFmtId="175" fontId="49" fillId="18" borderId="36" xfId="0" applyNumberFormat="1" applyFont="1" applyFill="1" applyBorder="1" applyAlignment="1" applyProtection="1">
      <alignment horizontal="right"/>
      <protection locked="0"/>
    </xf>
    <xf numFmtId="175" fontId="49" fillId="18" borderId="37" xfId="0" applyNumberFormat="1" applyFont="1" applyFill="1" applyBorder="1" applyAlignment="1" applyProtection="1">
      <alignment horizontal="right"/>
      <protection locked="0"/>
    </xf>
    <xf numFmtId="175" fontId="30" fillId="24" borderId="84" xfId="0" applyNumberFormat="1" applyFont="1" applyFill="1" applyBorder="1" applyAlignment="1">
      <alignment horizontal="right"/>
    </xf>
    <xf numFmtId="175" fontId="49" fillId="18" borderId="84" xfId="0" applyNumberFormat="1" applyFont="1" applyFill="1" applyBorder="1" applyAlignment="1" applyProtection="1">
      <alignment horizontal="right"/>
      <protection locked="0"/>
    </xf>
    <xf numFmtId="175" fontId="49" fillId="18" borderId="84" xfId="0" applyNumberFormat="1" applyFont="1" applyFill="1" applyBorder="1" applyAlignment="1" applyProtection="1">
      <alignment horizontal="right" vertical="center"/>
      <protection locked="0"/>
    </xf>
    <xf numFmtId="175" fontId="30" fillId="24" borderId="85"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2" xfId="0" applyFont="1" applyBorder="1" applyAlignment="1" applyProtection="1">
      <alignment horizontal="left" vertical="center" wrapText="1"/>
    </xf>
    <xf numFmtId="175" fontId="30" fillId="24" borderId="74" xfId="0" applyNumberFormat="1" applyFont="1" applyFill="1" applyBorder="1" applyAlignment="1">
      <alignment horizontal="right"/>
    </xf>
    <xf numFmtId="175" fontId="49" fillId="18" borderId="56" xfId="0" applyNumberFormat="1" applyFont="1" applyFill="1" applyBorder="1" applyAlignment="1" applyProtection="1">
      <alignment horizontal="right" vertical="center"/>
      <protection locked="0"/>
    </xf>
    <xf numFmtId="175" fontId="30" fillId="24" borderId="85" xfId="0" applyNumberFormat="1" applyFont="1" applyFill="1" applyBorder="1" applyAlignment="1">
      <alignment horizontal="right" vertical="center"/>
    </xf>
    <xf numFmtId="0" fontId="30" fillId="0" borderId="62" xfId="0" applyFont="1" applyFill="1" applyBorder="1" applyAlignment="1" applyProtection="1">
      <alignment horizontal="left" vertical="center"/>
    </xf>
    <xf numFmtId="175" fontId="49" fillId="18" borderId="46" xfId="0" applyNumberFormat="1" applyFont="1" applyFill="1" applyBorder="1" applyAlignment="1" applyProtection="1">
      <alignment horizontal="right" vertical="center"/>
      <protection locked="0"/>
    </xf>
    <xf numFmtId="175" fontId="30" fillId="24" borderId="38" xfId="0" applyNumberFormat="1" applyFont="1" applyFill="1" applyBorder="1" applyAlignment="1">
      <alignment horizontal="right" vertical="center"/>
    </xf>
    <xf numFmtId="175" fontId="49" fillId="18" borderId="36" xfId="0" applyNumberFormat="1" applyFont="1" applyFill="1" applyBorder="1" applyAlignment="1" applyProtection="1">
      <alignment horizontal="right" vertical="center"/>
      <protection locked="0"/>
    </xf>
    <xf numFmtId="175" fontId="30" fillId="24" borderId="74" xfId="0" applyNumberFormat="1" applyFont="1" applyFill="1" applyBorder="1" applyAlignment="1">
      <alignment horizontal="right" vertical="center"/>
    </xf>
    <xf numFmtId="175" fontId="30" fillId="24" borderId="75" xfId="0" applyNumberFormat="1" applyFont="1" applyFill="1" applyBorder="1" applyAlignment="1">
      <alignment horizontal="right"/>
    </xf>
    <xf numFmtId="175" fontId="49" fillId="18" borderId="75" xfId="0" applyNumberFormat="1" applyFont="1" applyFill="1" applyBorder="1" applyAlignment="1" applyProtection="1">
      <alignment horizontal="right"/>
      <protection locked="0"/>
    </xf>
    <xf numFmtId="175" fontId="49" fillId="18" borderId="75" xfId="0" applyNumberFormat="1" applyFont="1" applyFill="1" applyBorder="1" applyAlignment="1" applyProtection="1">
      <alignment horizontal="right" vertical="center"/>
      <protection locked="0"/>
    </xf>
    <xf numFmtId="175" fontId="49" fillId="18" borderId="83" xfId="0" applyNumberFormat="1" applyFont="1" applyFill="1" applyBorder="1" applyAlignment="1" applyProtection="1">
      <alignment horizontal="right" vertical="center"/>
      <protection locked="0"/>
    </xf>
    <xf numFmtId="175" fontId="30" fillId="24" borderId="75" xfId="0" applyNumberFormat="1" applyFont="1" applyFill="1" applyBorder="1" applyAlignment="1">
      <alignment horizontal="right" vertical="center"/>
    </xf>
    <xf numFmtId="0" fontId="48" fillId="0" borderId="0" xfId="0" applyFont="1" applyBorder="1" applyAlignment="1" applyProtection="1">
      <alignment horizontal="left" vertical="center" wrapText="1"/>
    </xf>
    <xf numFmtId="175" fontId="49" fillId="19" borderId="30" xfId="0" applyNumberFormat="1" applyFont="1" applyFill="1" applyBorder="1" applyAlignment="1">
      <alignment horizontal="right"/>
    </xf>
    <xf numFmtId="175" fontId="49" fillId="19" borderId="31" xfId="0" applyNumberFormat="1" applyFont="1" applyFill="1" applyBorder="1" applyAlignment="1">
      <alignment horizontal="right"/>
    </xf>
    <xf numFmtId="175" fontId="30" fillId="19" borderId="33" xfId="0" applyNumberFormat="1" applyFont="1" applyFill="1" applyBorder="1" applyAlignment="1">
      <alignment horizontal="right"/>
    </xf>
    <xf numFmtId="175" fontId="30" fillId="0" borderId="0" xfId="0" applyNumberFormat="1" applyFont="1" applyFill="1" applyAlignment="1">
      <alignment horizontal="right"/>
    </xf>
    <xf numFmtId="175" fontId="49" fillId="18" borderId="33" xfId="0" applyNumberFormat="1" applyFont="1" applyFill="1" applyBorder="1" applyAlignment="1" applyProtection="1">
      <alignment horizontal="right"/>
      <protection locked="0"/>
    </xf>
    <xf numFmtId="175" fontId="49" fillId="18" borderId="33" xfId="0" applyNumberFormat="1" applyFont="1" applyFill="1" applyBorder="1" applyAlignment="1" applyProtection="1">
      <alignment horizontal="right" vertical="center"/>
      <protection locked="0"/>
    </xf>
    <xf numFmtId="0" fontId="30" fillId="0" borderId="0" xfId="0" applyFont="1" applyFill="1" applyAlignment="1" applyProtection="1">
      <alignment vertical="center"/>
    </xf>
    <xf numFmtId="175" fontId="49" fillId="19" borderId="53" xfId="0" applyNumberFormat="1" applyFont="1" applyFill="1" applyBorder="1" applyAlignment="1">
      <alignment horizontal="right" vertical="center"/>
    </xf>
    <xf numFmtId="175" fontId="49" fillId="19" borderId="25" xfId="0" applyNumberFormat="1" applyFont="1" applyFill="1" applyBorder="1" applyAlignment="1">
      <alignment horizontal="right" vertical="center"/>
    </xf>
    <xf numFmtId="175" fontId="30" fillId="19" borderId="33" xfId="0" applyNumberFormat="1" applyFont="1" applyFill="1" applyBorder="1" applyAlignment="1">
      <alignment horizontal="right" vertical="center"/>
    </xf>
    <xf numFmtId="175" fontId="49" fillId="19"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xf>
    <xf numFmtId="175" fontId="30" fillId="19" borderId="75" xfId="0" applyNumberFormat="1" applyFont="1" applyFill="1" applyBorder="1" applyAlignment="1" applyProtection="1">
      <alignment horizontal="right" vertical="center"/>
    </xf>
    <xf numFmtId="175" fontId="49" fillId="19" borderId="30" xfId="0" applyNumberFormat="1" applyFont="1" applyFill="1" applyBorder="1" applyAlignment="1">
      <alignment horizontal="right" vertical="center"/>
    </xf>
    <xf numFmtId="175" fontId="49" fillId="19" borderId="31" xfId="0" applyNumberFormat="1" applyFont="1" applyFill="1" applyBorder="1" applyAlignment="1">
      <alignment horizontal="right" vertical="center"/>
    </xf>
    <xf numFmtId="175" fontId="49" fillId="19" borderId="33" xfId="0" applyNumberFormat="1" applyFont="1" applyFill="1" applyBorder="1" applyAlignment="1">
      <alignment horizontal="right" vertical="center"/>
    </xf>
    <xf numFmtId="175" fontId="30" fillId="19" borderId="75" xfId="0" applyNumberFormat="1" applyFont="1" applyFill="1" applyBorder="1" applyAlignment="1" applyProtection="1">
      <alignment horizontal="right"/>
    </xf>
    <xf numFmtId="0" fontId="48" fillId="0" borderId="0" xfId="0" applyFont="1" applyBorder="1" applyAlignment="1">
      <alignment vertical="center"/>
    </xf>
    <xf numFmtId="175" fontId="48" fillId="24" borderId="33" xfId="0" applyNumberFormat="1" applyFont="1" applyFill="1" applyBorder="1" applyAlignment="1">
      <alignment horizontal="right"/>
    </xf>
    <xf numFmtId="175" fontId="48" fillId="0" borderId="0" xfId="0" applyNumberFormat="1" applyFont="1" applyAlignment="1">
      <alignment horizontal="right"/>
    </xf>
    <xf numFmtId="175" fontId="48" fillId="24" borderId="33" xfId="0" applyNumberFormat="1" applyFont="1" applyFill="1" applyBorder="1" applyAlignment="1">
      <alignment horizontal="right" vertical="center"/>
    </xf>
    <xf numFmtId="0" fontId="48" fillId="0" borderId="0" xfId="0" applyFont="1" applyAlignment="1" applyProtection="1">
      <alignmen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48" fillId="0" borderId="0" xfId="0" applyFont="1" applyAlignment="1">
      <alignment vertical="center"/>
    </xf>
    <xf numFmtId="0" fontId="48" fillId="0" borderId="0" xfId="0" applyFont="1" applyFill="1" applyAlignment="1">
      <alignment vertical="center"/>
    </xf>
    <xf numFmtId="0" fontId="48" fillId="0" borderId="0" xfId="0" applyFont="1" applyFill="1" applyBorder="1" applyAlignment="1">
      <alignment vertical="center"/>
    </xf>
    <xf numFmtId="0" fontId="57" fillId="0" borderId="53" xfId="0" applyFont="1" applyFill="1" applyBorder="1" applyAlignment="1" applyProtection="1">
      <alignment vertical="center"/>
    </xf>
    <xf numFmtId="0" fontId="48" fillId="0" borderId="25" xfId="0" applyFont="1" applyBorder="1" applyAlignment="1" applyProtection="1">
      <alignment vertical="center"/>
    </xf>
    <xf numFmtId="0" fontId="48" fillId="0" borderId="75" xfId="0" applyFont="1" applyBorder="1" applyAlignment="1">
      <alignment horizontal="center" vertical="center" wrapText="1"/>
    </xf>
    <xf numFmtId="0" fontId="48" fillId="0" borderId="75" xfId="0" applyFont="1" applyFill="1" applyBorder="1" applyAlignment="1" applyProtection="1">
      <alignment horizontal="center" vertical="center" wrapText="1"/>
    </xf>
    <xf numFmtId="0" fontId="48" fillId="0" borderId="0" xfId="0" applyFont="1" applyFill="1" applyBorder="1" applyAlignment="1" applyProtection="1">
      <alignment vertical="center"/>
    </xf>
    <xf numFmtId="0" fontId="48" fillId="0" borderId="33" xfId="0" applyFont="1" applyBorder="1" applyAlignment="1">
      <alignment horizontal="center" vertical="center"/>
    </xf>
    <xf numFmtId="0" fontId="48" fillId="0" borderId="75" xfId="0" applyFont="1" applyBorder="1" applyAlignment="1">
      <alignment horizontal="center" vertical="center"/>
    </xf>
    <xf numFmtId="175" fontId="49" fillId="18" borderId="66" xfId="0" applyNumberFormat="1" applyFont="1" applyFill="1" applyBorder="1" applyAlignment="1" applyProtection="1">
      <alignment horizontal="right"/>
      <protection locked="0"/>
    </xf>
    <xf numFmtId="175" fontId="49" fillId="18" borderId="68"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37" fillId="0" borderId="0" xfId="0" applyFont="1" applyBorder="1" applyAlignment="1" applyProtection="1">
      <alignment vertical="center"/>
    </xf>
    <xf numFmtId="0" fontId="30" fillId="0" borderId="0" xfId="0" applyFont="1" applyBorder="1" applyAlignment="1" applyProtection="1">
      <alignment vertical="center" wrapText="1"/>
    </xf>
    <xf numFmtId="175" fontId="49" fillId="18" borderId="83" xfId="0" applyNumberFormat="1" applyFont="1" applyFill="1" applyBorder="1" applyAlignment="1" applyProtection="1">
      <alignment horizontal="right"/>
      <protection locked="0"/>
    </xf>
    <xf numFmtId="0" fontId="48" fillId="0" borderId="0" xfId="0" applyFont="1" applyBorder="1" applyAlignment="1" applyProtection="1">
      <alignment vertical="center" wrapText="1"/>
    </xf>
    <xf numFmtId="175" fontId="48" fillId="24" borderId="26" xfId="0" applyNumberFormat="1" applyFont="1" applyFill="1" applyBorder="1" applyAlignment="1">
      <alignment horizontal="right"/>
    </xf>
    <xf numFmtId="0" fontId="48"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6"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1"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48" fillId="11" borderId="75" xfId="0" applyFont="1" applyFill="1" applyBorder="1" applyAlignment="1" applyProtection="1">
      <alignment horizontal="center" textRotation="90"/>
    </xf>
    <xf numFmtId="0" fontId="48" fillId="0" borderId="86" xfId="0" applyFont="1" applyBorder="1" applyAlignment="1">
      <alignment horizontal="center"/>
    </xf>
    <xf numFmtId="0" fontId="48" fillId="0" borderId="42" xfId="0" applyFont="1" applyBorder="1" applyAlignment="1">
      <alignment horizontal="center"/>
    </xf>
    <xf numFmtId="0" fontId="48" fillId="0" borderId="22" xfId="0" applyFont="1" applyBorder="1" applyAlignment="1">
      <alignment horizontal="center"/>
    </xf>
    <xf numFmtId="0" fontId="48" fillId="0" borderId="24" xfId="0" applyFont="1" applyBorder="1" applyAlignment="1">
      <alignment horizontal="center"/>
    </xf>
    <xf numFmtId="0" fontId="48" fillId="19" borderId="17" xfId="0" applyFont="1" applyFill="1" applyBorder="1" applyAlignment="1">
      <alignment horizontal="center"/>
    </xf>
    <xf numFmtId="0" fontId="48" fillId="19" borderId="45" xfId="0" applyFont="1" applyFill="1" applyBorder="1" applyAlignment="1">
      <alignment horizontal="center"/>
    </xf>
    <xf numFmtId="0" fontId="48" fillId="19" borderId="0" xfId="0" applyFont="1" applyFill="1" applyBorder="1" applyAlignment="1">
      <alignment horizontal="center"/>
    </xf>
    <xf numFmtId="0" fontId="30" fillId="19" borderId="38" xfId="0" applyFont="1" applyFill="1" applyBorder="1" applyAlignment="1"/>
    <xf numFmtId="175" fontId="49" fillId="18" borderId="12" xfId="0" applyNumberFormat="1" applyFont="1" applyFill="1" applyBorder="1" applyAlignment="1" applyProtection="1">
      <protection locked="0"/>
    </xf>
    <xf numFmtId="175" fontId="49" fillId="19" borderId="47" xfId="0" applyNumberFormat="1" applyFont="1" applyFill="1" applyBorder="1" applyAlignment="1" applyProtection="1"/>
    <xf numFmtId="175" fontId="49" fillId="19" borderId="10" xfId="0" applyNumberFormat="1" applyFont="1" applyFill="1" applyBorder="1" applyAlignment="1" applyProtection="1"/>
    <xf numFmtId="175" fontId="49" fillId="19" borderId="10" xfId="0" applyNumberFormat="1" applyFont="1" applyFill="1" applyBorder="1" applyAlignment="1"/>
    <xf numFmtId="175" fontId="30" fillId="24" borderId="38" xfId="0" applyNumberFormat="1" applyFont="1" applyFill="1" applyBorder="1" applyAlignment="1"/>
    <xf numFmtId="175" fontId="48" fillId="19" borderId="17" xfId="0" applyNumberFormat="1" applyFont="1" applyFill="1" applyBorder="1" applyAlignment="1">
      <alignment horizontal="center"/>
    </xf>
    <xf numFmtId="175" fontId="48" fillId="19" borderId="45" xfId="0" applyNumberFormat="1" applyFont="1" applyFill="1" applyBorder="1" applyAlignment="1">
      <alignment horizontal="center"/>
    </xf>
    <xf numFmtId="175" fontId="30" fillId="19" borderId="38" xfId="0" applyNumberFormat="1" applyFont="1" applyFill="1" applyBorder="1" applyAlignment="1"/>
    <xf numFmtId="175" fontId="49" fillId="19" borderId="12" xfId="0" applyNumberFormat="1" applyFont="1" applyFill="1" applyBorder="1" applyAlignment="1" applyProtection="1"/>
    <xf numFmtId="175" fontId="49" fillId="19" borderId="12" xfId="0" applyNumberFormat="1" applyFont="1" applyFill="1" applyBorder="1" applyAlignment="1"/>
    <xf numFmtId="175" fontId="49" fillId="19" borderId="47" xfId="0" applyNumberFormat="1" applyFont="1" applyFill="1" applyBorder="1" applyAlignment="1"/>
    <xf numFmtId="175" fontId="48" fillId="24" borderId="12" xfId="0" applyNumberFormat="1" applyFont="1" applyFill="1" applyBorder="1" applyAlignment="1"/>
    <xf numFmtId="175" fontId="48" fillId="24" borderId="11" xfId="0" applyNumberFormat="1" applyFont="1" applyFill="1" applyBorder="1" applyAlignment="1"/>
    <xf numFmtId="175" fontId="48" fillId="24" borderId="38" xfId="0" applyNumberFormat="1" applyFont="1" applyFill="1" applyBorder="1" applyAlignment="1"/>
    <xf numFmtId="0" fontId="58" fillId="0" borderId="0" xfId="0" quotePrefix="1" applyFont="1" applyAlignment="1" applyProtection="1"/>
    <xf numFmtId="175" fontId="48" fillId="24" borderId="47" xfId="0" applyNumberFormat="1" applyFont="1" applyFill="1" applyBorder="1" applyAlignment="1"/>
    <xf numFmtId="175" fontId="48" fillId="24" borderId="10" xfId="0" applyNumberFormat="1" applyFont="1" applyFill="1" applyBorder="1" applyAlignment="1"/>
    <xf numFmtId="0" fontId="30" fillId="0" borderId="0" xfId="0" quotePrefix="1" applyFont="1" applyAlignment="1" applyProtection="1"/>
    <xf numFmtId="175" fontId="49" fillId="19" borderId="71" xfId="0" applyNumberFormat="1" applyFont="1" applyFill="1" applyBorder="1" applyAlignment="1"/>
    <xf numFmtId="175" fontId="30" fillId="19" borderId="71" xfId="0" applyNumberFormat="1" applyFont="1" applyFill="1" applyBorder="1" applyAlignment="1"/>
    <xf numFmtId="175" fontId="48" fillId="24" borderId="84" xfId="0" applyNumberFormat="1" applyFont="1" applyFill="1" applyBorder="1" applyAlignment="1"/>
    <xf numFmtId="0" fontId="58" fillId="0" borderId="0" xfId="0" applyFont="1" applyAlignment="1" applyProtection="1"/>
    <xf numFmtId="175" fontId="48" fillId="24" borderId="80" xfId="0" applyNumberFormat="1" applyFont="1" applyFill="1" applyBorder="1" applyAlignment="1"/>
    <xf numFmtId="175" fontId="48" fillId="24" borderId="81" xfId="0" applyNumberFormat="1" applyFont="1" applyFill="1" applyBorder="1" applyAlignment="1"/>
    <xf numFmtId="175" fontId="48" fillId="24" borderId="88" xfId="0" applyNumberFormat="1" applyFont="1" applyFill="1" applyBorder="1" applyAlignment="1"/>
    <xf numFmtId="175" fontId="48" fillId="24" borderId="75"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48" fillId="22" borderId="25" xfId="0" applyFont="1" applyFill="1" applyBorder="1" applyAlignment="1" applyProtection="1">
      <alignment vertical="center" wrapText="1"/>
    </xf>
    <xf numFmtId="0" fontId="48" fillId="22" borderId="26" xfId="0" applyFont="1" applyFill="1" applyBorder="1" applyAlignment="1" applyProtection="1">
      <alignment horizontal="center" vertical="center" wrapText="1"/>
    </xf>
    <xf numFmtId="0" fontId="48" fillId="0" borderId="0" xfId="0" applyFont="1" applyAlignment="1" applyProtection="1"/>
    <xf numFmtId="0" fontId="48" fillId="22" borderId="29" xfId="0" applyFont="1" applyFill="1" applyBorder="1" applyAlignment="1" applyProtection="1">
      <alignment horizontal="center" vertical="center" wrapText="1"/>
    </xf>
    <xf numFmtId="0" fontId="48" fillId="22" borderId="24" xfId="0" applyFont="1" applyFill="1" applyBorder="1" applyAlignment="1" applyProtection="1">
      <alignment horizontal="center" vertical="top" wrapText="1"/>
    </xf>
    <xf numFmtId="0" fontId="48" fillId="0" borderId="75" xfId="0" applyFont="1" applyBorder="1" applyAlignment="1">
      <alignment horizontal="center"/>
    </xf>
    <xf numFmtId="0" fontId="30" fillId="0" borderId="89" xfId="0" applyFont="1" applyFill="1" applyBorder="1" applyAlignment="1" applyProtection="1">
      <alignment vertical="center"/>
    </xf>
    <xf numFmtId="175" fontId="49" fillId="18" borderId="38" xfId="0" applyNumberFormat="1" applyFont="1" applyFill="1" applyBorder="1" applyAlignment="1" applyProtection="1">
      <protection locked="0"/>
    </xf>
    <xf numFmtId="175" fontId="30" fillId="24" borderId="73" xfId="0" applyNumberFormat="1" applyFont="1" applyFill="1" applyBorder="1" applyAlignment="1"/>
    <xf numFmtId="0" fontId="30" fillId="0" borderId="37" xfId="0" applyFont="1" applyFill="1" applyBorder="1" applyAlignment="1" applyProtection="1">
      <alignment vertical="center"/>
    </xf>
    <xf numFmtId="175" fontId="49" fillId="18" borderId="74" xfId="0" applyNumberFormat="1" applyFont="1" applyFill="1" applyBorder="1" applyAlignment="1" applyProtection="1">
      <protection locked="0"/>
    </xf>
    <xf numFmtId="175" fontId="30" fillId="24" borderId="74" xfId="0" applyNumberFormat="1" applyFont="1" applyFill="1" applyBorder="1" applyAlignment="1"/>
    <xf numFmtId="0" fontId="30" fillId="0" borderId="10" xfId="0" applyFont="1" applyFill="1" applyBorder="1" applyAlignment="1" applyProtection="1">
      <alignment vertical="center"/>
    </xf>
    <xf numFmtId="0" fontId="30" fillId="0" borderId="37" xfId="0" applyFont="1" applyBorder="1" applyAlignment="1" applyProtection="1">
      <alignment vertical="center"/>
    </xf>
    <xf numFmtId="0" fontId="30" fillId="0" borderId="10" xfId="0" applyFont="1" applyBorder="1" applyAlignment="1" applyProtection="1">
      <alignment vertical="center"/>
    </xf>
    <xf numFmtId="175" fontId="30" fillId="24" borderId="75" xfId="0" applyNumberFormat="1" applyFont="1" applyFill="1" applyBorder="1" applyAlignment="1"/>
    <xf numFmtId="0" fontId="58" fillId="0" borderId="0" xfId="0" applyFont="1" applyAlignment="1" applyProtection="1">
      <alignment vertical="center"/>
    </xf>
    <xf numFmtId="0" fontId="31" fillId="22" borderId="75" xfId="0" applyFont="1" applyFill="1" applyBorder="1" applyAlignment="1" applyProtection="1">
      <alignment horizontal="center" vertical="center" wrapText="1"/>
    </xf>
    <xf numFmtId="175" fontId="48" fillId="24" borderId="85" xfId="0" applyNumberFormat="1" applyFont="1" applyFill="1" applyBorder="1" applyAlignment="1"/>
    <xf numFmtId="175" fontId="48" fillId="24" borderId="74" xfId="0" applyNumberFormat="1" applyFont="1" applyFill="1" applyBorder="1" applyAlignment="1"/>
    <xf numFmtId="175" fontId="0" fillId="24" borderId="75"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48" fillId="0" borderId="75" xfId="0" applyNumberFormat="1" applyFont="1" applyFill="1" applyBorder="1" applyAlignment="1">
      <alignment vertical="center"/>
    </xf>
    <xf numFmtId="175" fontId="30" fillId="0" borderId="38" xfId="0" applyNumberFormat="1" applyFont="1" applyFill="1" applyBorder="1" applyAlignment="1" applyProtection="1">
      <protection locked="0"/>
    </xf>
    <xf numFmtId="0" fontId="40" fillId="25" borderId="21" xfId="0" applyFont="1" applyFill="1" applyBorder="1" applyAlignment="1">
      <alignment vertical="center"/>
    </xf>
    <xf numFmtId="0" fontId="48" fillId="25" borderId="22" xfId="0" applyFont="1" applyFill="1" applyBorder="1" applyAlignment="1">
      <alignment vertical="center"/>
    </xf>
    <xf numFmtId="0" fontId="48" fillId="25" borderId="25"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wrapText="1"/>
    </xf>
    <xf numFmtId="0" fontId="48" fillId="25" borderId="32" xfId="0" applyFont="1" applyFill="1" applyBorder="1" applyAlignment="1" applyProtection="1">
      <alignment horizontal="center" vertical="center" wrapText="1"/>
    </xf>
    <xf numFmtId="0" fontId="48" fillId="25" borderId="33" xfId="0" applyFont="1" applyFill="1" applyBorder="1" applyAlignment="1" applyProtection="1">
      <alignment horizontal="center" vertical="center" wrapText="1"/>
    </xf>
    <xf numFmtId="0" fontId="48"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5"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8" borderId="27" xfId="0" applyNumberFormat="1" applyFont="1" applyFill="1" applyBorder="1" applyAlignment="1" applyProtection="1">
      <protection locked="0"/>
    </xf>
    <xf numFmtId="175" fontId="32" fillId="0" borderId="28" xfId="0" applyNumberFormat="1" applyFont="1" applyFill="1" applyBorder="1" applyAlignment="1" applyProtection="1"/>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8" borderId="65" xfId="0" applyNumberFormat="1" applyFont="1" applyFill="1" applyBorder="1" applyAlignment="1" applyProtection="1">
      <protection locked="0"/>
    </xf>
    <xf numFmtId="175" fontId="32" fillId="0" borderId="27" xfId="0" applyNumberFormat="1" applyFont="1" applyFill="1" applyBorder="1" applyAlignment="1" applyProtection="1"/>
    <xf numFmtId="175" fontId="33"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30" xfId="0" applyNumberFormat="1" applyFont="1" applyFill="1" applyBorder="1" applyAlignment="1" applyProtection="1"/>
    <xf numFmtId="175" fontId="31" fillId="24"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5"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33" fillId="18"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31" fillId="24" borderId="91" xfId="0" applyNumberFormat="1" applyFont="1" applyFill="1" applyBorder="1" applyAlignment="1" applyProtection="1">
      <protection locked="0"/>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176" fontId="31" fillId="0" borderId="61" xfId="0" applyNumberFormat="1" applyFont="1" applyBorder="1" applyAlignment="1">
      <alignment horizontal="center" vertical="center"/>
    </xf>
    <xf numFmtId="176" fontId="31" fillId="0" borderId="60" xfId="0" applyNumberFormat="1" applyFont="1" applyBorder="1" applyAlignment="1">
      <alignment horizontal="center" vertical="center"/>
    </xf>
    <xf numFmtId="176" fontId="61" fillId="18" borderId="45" xfId="0" applyNumberFormat="1" applyFont="1" applyFill="1" applyBorder="1" applyAlignment="1" applyProtection="1">
      <alignment horizontal="left"/>
      <protection locked="0"/>
    </xf>
    <xf numFmtId="175" fontId="33" fillId="18" borderId="16" xfId="0" applyNumberFormat="1" applyFont="1" applyFill="1" applyBorder="1" applyAlignment="1" applyProtection="1">
      <alignment horizontal="right"/>
      <protection locked="0"/>
    </xf>
    <xf numFmtId="175" fontId="32" fillId="24" borderId="45" xfId="76" applyNumberFormat="1" applyFont="1" applyFill="1" applyBorder="1"/>
    <xf numFmtId="176" fontId="61" fillId="18" borderId="71" xfId="0" applyNumberFormat="1" applyFont="1" applyFill="1" applyBorder="1" applyAlignment="1" applyProtection="1">
      <alignment horizontal="left"/>
      <protection locked="0"/>
    </xf>
    <xf numFmtId="176" fontId="61" fillId="18" borderId="61" xfId="0" applyNumberFormat="1" applyFont="1" applyFill="1" applyBorder="1" applyAlignment="1" applyProtection="1">
      <alignment horizontal="left"/>
      <protection locked="0"/>
    </xf>
    <xf numFmtId="175" fontId="31" fillId="24" borderId="74" xfId="0" applyNumberFormat="1" applyFont="1" applyFill="1" applyBorder="1" applyAlignment="1" applyProtection="1">
      <alignment vertical="center"/>
    </xf>
    <xf numFmtId="175" fontId="31" fillId="24" borderId="38" xfId="0" applyNumberFormat="1" applyFont="1" applyFill="1" applyBorder="1" applyAlignment="1" applyProtection="1"/>
    <xf numFmtId="0" fontId="32" fillId="0" borderId="0" xfId="0" applyFont="1" applyFill="1" applyBorder="1" applyAlignment="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5" xfId="0" applyNumberFormat="1" applyFont="1" applyFill="1" applyBorder="1" applyAlignment="1">
      <alignment horizontal="center" vertical="center" wrapText="1"/>
    </xf>
    <xf numFmtId="175" fontId="33" fillId="19" borderId="24" xfId="0" applyNumberFormat="1" applyFont="1" applyFill="1" applyBorder="1" applyAlignment="1" applyProtection="1">
      <alignment vertical="center"/>
    </xf>
    <xf numFmtId="175" fontId="33" fillId="18" borderId="29" xfId="0" applyNumberFormat="1" applyFont="1" applyFill="1" applyBorder="1" applyAlignment="1" applyProtection="1">
      <alignment vertical="center"/>
      <protection locked="0"/>
    </xf>
    <xf numFmtId="175" fontId="33" fillId="18" borderId="33" xfId="0" applyNumberFormat="1" applyFont="1" applyFill="1" applyBorder="1" applyAlignment="1" applyProtection="1">
      <alignment vertical="center"/>
      <protection locked="0"/>
    </xf>
    <xf numFmtId="175" fontId="31" fillId="24" borderId="91" xfId="0" applyNumberFormat="1" applyFont="1" applyFill="1" applyBorder="1" applyAlignment="1" applyProtection="1">
      <alignment vertical="center"/>
    </xf>
    <xf numFmtId="175" fontId="63" fillId="0" borderId="75" xfId="0" applyNumberFormat="1" applyFont="1" applyFill="1" applyBorder="1" applyAlignment="1">
      <alignment horizontal="center" vertical="center"/>
    </xf>
    <xf numFmtId="175" fontId="63" fillId="0" borderId="75" xfId="0" applyNumberFormat="1" applyFont="1" applyFill="1" applyBorder="1" applyAlignment="1">
      <alignment horizontal="center" vertical="center" textRotation="90" wrapText="1"/>
    </xf>
    <xf numFmtId="175" fontId="32" fillId="24" borderId="24" xfId="0" applyNumberFormat="1" applyFont="1" applyFill="1" applyBorder="1" applyAlignment="1" applyProtection="1">
      <alignment vertical="center"/>
    </xf>
    <xf numFmtId="175" fontId="33" fillId="18" borderId="41" xfId="0" applyNumberFormat="1" applyFont="1" applyFill="1" applyBorder="1" applyAlignment="1" applyProtection="1">
      <alignment vertical="center"/>
      <protection locked="0"/>
    </xf>
    <xf numFmtId="175" fontId="33" fillId="18" borderId="86" xfId="0" applyNumberFormat="1" applyFont="1" applyFill="1" applyBorder="1" applyAlignment="1" applyProtection="1">
      <alignment vertical="center"/>
      <protection locked="0"/>
    </xf>
    <xf numFmtId="175" fontId="33" fillId="18" borderId="54" xfId="0" applyNumberFormat="1" applyFont="1" applyFill="1" applyBorder="1" applyAlignment="1" applyProtection="1">
      <alignment vertical="center"/>
      <protection locked="0"/>
    </xf>
    <xf numFmtId="175" fontId="32" fillId="24" borderId="33" xfId="0" applyNumberFormat="1" applyFont="1" applyFill="1" applyBorder="1" applyAlignment="1" applyProtection="1">
      <alignment vertical="center"/>
    </xf>
    <xf numFmtId="175" fontId="33" fillId="18" borderId="48" xfId="0" applyNumberFormat="1" applyFont="1" applyFill="1" applyBorder="1" applyAlignment="1" applyProtection="1">
      <alignment vertical="center"/>
      <protection locked="0"/>
    </xf>
    <xf numFmtId="175" fontId="33" fillId="18" borderId="87" xfId="0" applyNumberFormat="1" applyFont="1" applyFill="1" applyBorder="1" applyAlignment="1" applyProtection="1">
      <alignment vertical="center"/>
      <protection locked="0"/>
    </xf>
    <xf numFmtId="175" fontId="33" fillId="18" borderId="64"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0" fillId="24" borderId="29" xfId="0" applyNumberFormat="1" applyFont="1" applyFill="1" applyBorder="1" applyAlignment="1" applyProtection="1">
      <alignment vertical="center"/>
    </xf>
    <xf numFmtId="175" fontId="49" fillId="18" borderId="44" xfId="0" applyNumberFormat="1" applyFont="1" applyFill="1" applyBorder="1" applyAlignment="1" applyProtection="1">
      <alignment vertical="center"/>
      <protection locked="0"/>
    </xf>
    <xf numFmtId="175" fontId="49" fillId="18" borderId="17" xfId="0" applyNumberFormat="1" applyFont="1" applyFill="1" applyBorder="1" applyAlignment="1" applyProtection="1">
      <alignment vertical="center"/>
      <protection locked="0"/>
    </xf>
    <xf numFmtId="175" fontId="33" fillId="18" borderId="45" xfId="0" applyNumberFormat="1" applyFont="1" applyFill="1" applyBorder="1" applyAlignment="1" applyProtection="1">
      <alignment vertical="center"/>
      <protection locked="0"/>
    </xf>
    <xf numFmtId="175" fontId="33" fillId="18" borderId="28" xfId="0" applyNumberFormat="1" applyFont="1" applyFill="1" applyBorder="1" applyAlignment="1" applyProtection="1">
      <alignment vertical="center"/>
      <protection locked="0"/>
    </xf>
    <xf numFmtId="175" fontId="32" fillId="24" borderId="29" xfId="0" applyNumberFormat="1" applyFont="1" applyFill="1" applyBorder="1" applyAlignment="1" applyProtection="1">
      <alignment vertical="center"/>
    </xf>
    <xf numFmtId="175" fontId="33" fillId="18" borderId="44" xfId="0" applyNumberFormat="1" applyFont="1" applyFill="1" applyBorder="1" applyAlignment="1" applyProtection="1">
      <alignment vertical="center"/>
      <protection locked="0"/>
    </xf>
    <xf numFmtId="175" fontId="33" fillId="18" borderId="17" xfId="0" applyNumberFormat="1" applyFont="1" applyFill="1" applyBorder="1" applyAlignment="1" applyProtection="1">
      <alignment vertical="center"/>
      <protection locked="0"/>
    </xf>
    <xf numFmtId="175" fontId="33" fillId="18" borderId="59" xfId="0" applyNumberFormat="1" applyFont="1" applyFill="1" applyBorder="1" applyAlignment="1" applyProtection="1">
      <alignment vertical="center"/>
      <protection locked="0"/>
    </xf>
    <xf numFmtId="175" fontId="33" fillId="18" borderId="20" xfId="0" applyNumberFormat="1" applyFont="1" applyFill="1" applyBorder="1" applyAlignment="1" applyProtection="1">
      <alignment vertical="center"/>
      <protection locked="0"/>
    </xf>
    <xf numFmtId="175" fontId="33" fillId="18" borderId="61" xfId="0" applyNumberFormat="1" applyFont="1" applyFill="1" applyBorder="1" applyAlignment="1" applyProtection="1">
      <alignment vertical="center"/>
      <protection locked="0"/>
    </xf>
    <xf numFmtId="175" fontId="33" fillId="18" borderId="66" xfId="0" applyNumberFormat="1" applyFont="1" applyFill="1" applyBorder="1" applyAlignment="1" applyProtection="1">
      <alignment vertical="center"/>
      <protection locked="0"/>
    </xf>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6" borderId="29" xfId="0" applyNumberFormat="1" applyFont="1" applyFill="1" applyBorder="1" applyAlignment="1" applyProtection="1">
      <alignment vertical="center"/>
    </xf>
    <xf numFmtId="175" fontId="33" fillId="26" borderId="44" xfId="0" applyNumberFormat="1" applyFont="1" applyFill="1" applyBorder="1" applyAlignment="1" applyProtection="1">
      <alignment vertical="center"/>
    </xf>
    <xf numFmtId="175" fontId="33" fillId="26" borderId="17" xfId="0" applyNumberFormat="1" applyFont="1" applyFill="1" applyBorder="1" applyAlignment="1" applyProtection="1">
      <alignment vertical="center"/>
    </xf>
    <xf numFmtId="175" fontId="33" fillId="26" borderId="45" xfId="0" applyNumberFormat="1" applyFont="1" applyFill="1" applyBorder="1" applyAlignment="1" applyProtection="1">
      <alignment vertical="center"/>
    </xf>
    <xf numFmtId="175" fontId="33" fillId="26" borderId="28" xfId="0" applyNumberFormat="1" applyFont="1" applyFill="1" applyBorder="1" applyAlignment="1" applyProtection="1">
      <alignment vertical="center"/>
    </xf>
    <xf numFmtId="175" fontId="33" fillId="26" borderId="59" xfId="0" applyNumberFormat="1" applyFont="1" applyFill="1" applyBorder="1" applyAlignment="1" applyProtection="1">
      <alignment vertical="center"/>
    </xf>
    <xf numFmtId="175" fontId="33" fillId="26" borderId="20" xfId="0" applyNumberFormat="1" applyFont="1" applyFill="1" applyBorder="1" applyAlignment="1" applyProtection="1">
      <alignment vertical="center"/>
    </xf>
    <xf numFmtId="175" fontId="33" fillId="26" borderId="61" xfId="0" applyNumberFormat="1" applyFont="1" applyFill="1" applyBorder="1" applyAlignment="1" applyProtection="1">
      <alignment vertical="center"/>
    </xf>
    <xf numFmtId="175" fontId="33" fillId="26" borderId="66"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6" borderId="74"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4" borderId="75" xfId="0" applyNumberFormat="1" applyFont="1" applyFill="1" applyBorder="1" applyAlignment="1" applyProtection="1">
      <alignment vertical="center"/>
    </xf>
    <xf numFmtId="175" fontId="33" fillId="19" borderId="80" xfId="0" applyNumberFormat="1" applyFont="1" applyFill="1" applyBorder="1" applyAlignment="1" applyProtection="1">
      <alignment vertical="center"/>
    </xf>
    <xf numFmtId="175" fontId="33" fillId="18" borderId="80" xfId="0" applyNumberFormat="1" applyFont="1" applyFill="1" applyBorder="1" applyAlignment="1" applyProtection="1">
      <alignment vertical="center"/>
      <protection locked="0"/>
    </xf>
    <xf numFmtId="175" fontId="33" fillId="19" borderId="81" xfId="0" applyNumberFormat="1" applyFont="1" applyFill="1" applyBorder="1" applyAlignment="1" applyProtection="1">
      <alignment vertical="center"/>
    </xf>
    <xf numFmtId="175" fontId="33" fillId="19"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5" xfId="0" applyNumberFormat="1" applyFont="1" applyFill="1" applyBorder="1" applyAlignment="1" applyProtection="1">
      <alignment vertical="center"/>
      <protection locked="0"/>
    </xf>
    <xf numFmtId="175" fontId="33" fillId="18" borderId="75"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8" borderId="92" xfId="0" applyNumberFormat="1" applyFont="1" applyFill="1" applyBorder="1" applyAlignment="1" applyProtection="1">
      <alignment vertical="center"/>
      <protection locked="0"/>
    </xf>
    <xf numFmtId="0" fontId="33" fillId="18"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3" fillId="18" borderId="73" xfId="0" applyNumberFormat="1" applyFont="1" applyFill="1" applyBorder="1" applyAlignment="1" applyProtection="1">
      <alignment vertical="center"/>
      <protection locked="0"/>
    </xf>
    <xf numFmtId="175" fontId="32" fillId="19" borderId="65"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1"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1"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78" applyNumberFormat="1" applyFont="1" applyProtection="1"/>
    <xf numFmtId="1" fontId="30" fillId="0" borderId="0" xfId="78" applyNumberFormat="1" applyFont="1" applyAlignment="1" applyProtection="1">
      <alignment horizontal="center"/>
    </xf>
    <xf numFmtId="0" fontId="30" fillId="0" borderId="0" xfId="62" applyFont="1" applyProtection="1"/>
    <xf numFmtId="0" fontId="30" fillId="0" borderId="0" xfId="66" applyFont="1" applyFill="1" applyBorder="1" applyAlignment="1" applyProtection="1">
      <alignment horizontal="center" vertical="center"/>
    </xf>
    <xf numFmtId="0" fontId="30" fillId="0" borderId="21" xfId="66" applyFont="1" applyFill="1" applyBorder="1" applyAlignment="1" applyProtection="1">
      <alignment horizontal="left" vertical="center"/>
    </xf>
    <xf numFmtId="0" fontId="48" fillId="0" borderId="21" xfId="66" applyFont="1" applyFill="1" applyBorder="1" applyAlignment="1" applyProtection="1">
      <alignment horizontal="center" vertical="center"/>
    </xf>
    <xf numFmtId="0" fontId="48" fillId="0" borderId="24" xfId="66" applyFont="1" applyFill="1" applyBorder="1" applyAlignment="1" applyProtection="1">
      <alignment horizontal="center" vertical="center"/>
    </xf>
    <xf numFmtId="0" fontId="48" fillId="0" borderId="21" xfId="66"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6" applyFont="1" applyFill="1" applyBorder="1" applyAlignment="1" applyProtection="1">
      <alignment horizontal="left" vertical="center" indent="1"/>
    </xf>
    <xf numFmtId="0" fontId="0" fillId="0" borderId="29" xfId="0" applyBorder="1" applyAlignment="1">
      <alignment horizontal="center"/>
    </xf>
    <xf numFmtId="0" fontId="30" fillId="9" borderId="46" xfId="66" applyFont="1" applyFill="1" applyBorder="1" applyAlignment="1" applyProtection="1">
      <alignment horizontal="center" vertical="center"/>
    </xf>
    <xf numFmtId="0" fontId="30" fillId="9" borderId="47" xfId="66" applyFont="1" applyFill="1" applyBorder="1" applyAlignment="1" applyProtection="1">
      <alignment horizontal="center" vertical="center"/>
    </xf>
    <xf numFmtId="0" fontId="49" fillId="18" borderId="47" xfId="66" applyFont="1" applyFill="1" applyBorder="1" applyAlignment="1" applyProtection="1">
      <alignment horizontal="center" vertical="center"/>
      <protection locked="0"/>
    </xf>
    <xf numFmtId="0" fontId="49" fillId="18" borderId="62" xfId="66" applyFont="1" applyFill="1" applyBorder="1" applyAlignment="1" applyProtection="1">
      <alignment horizontal="center" vertical="center"/>
      <protection locked="0"/>
    </xf>
    <xf numFmtId="171" fontId="49" fillId="0" borderId="33" xfId="62" applyNumberFormat="1" applyFont="1" applyFill="1" applyBorder="1" applyProtection="1"/>
    <xf numFmtId="1" fontId="48" fillId="0" borderId="30" xfId="62" applyNumberFormat="1" applyFont="1" applyBorder="1" applyProtection="1"/>
    <xf numFmtId="1" fontId="48" fillId="0" borderId="31" xfId="62" applyNumberFormat="1" applyFont="1" applyBorder="1" applyProtection="1"/>
    <xf numFmtId="1" fontId="48" fillId="0" borderId="32" xfId="62" applyNumberFormat="1" applyFont="1" applyBorder="1" applyProtection="1"/>
    <xf numFmtId="0" fontId="48" fillId="0" borderId="24" xfId="66" applyFont="1" applyFill="1" applyBorder="1" applyAlignment="1" applyProtection="1">
      <alignment horizontal="left" vertical="center"/>
    </xf>
    <xf numFmtId="0" fontId="30" fillId="0" borderId="27" xfId="66"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6" applyFont="1" applyFill="1" applyBorder="1" applyAlignment="1" applyProtection="1">
      <alignment horizontal="center" vertical="center"/>
    </xf>
    <xf numFmtId="171" fontId="32" fillId="24" borderId="83" xfId="0" applyNumberFormat="1" applyFont="1" applyFill="1" applyBorder="1" applyAlignment="1" applyProtection="1">
      <alignment horizontal="right"/>
    </xf>
    <xf numFmtId="171" fontId="32" fillId="24" borderId="80" xfId="0" applyNumberFormat="1" applyFont="1" applyFill="1" applyBorder="1" applyAlignment="1" applyProtection="1">
      <alignment horizontal="right"/>
    </xf>
    <xf numFmtId="171" fontId="32" fillId="24"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6" applyNumberFormat="1" applyFont="1" applyFill="1" applyBorder="1" applyAlignment="1" applyProtection="1">
      <alignment horizontal="right" vertical="center"/>
    </xf>
    <xf numFmtId="164" fontId="30" fillId="0" borderId="62" xfId="66" applyNumberFormat="1" applyFont="1" applyFill="1" applyBorder="1" applyAlignment="1" applyProtection="1">
      <alignment horizontal="right" vertical="center"/>
    </xf>
    <xf numFmtId="0" fontId="0" fillId="0" borderId="47" xfId="0" applyBorder="1" applyAlignment="1"/>
    <xf numFmtId="0" fontId="0" fillId="0" borderId="62" xfId="0" applyBorder="1" applyAlignment="1"/>
    <xf numFmtId="0" fontId="0" fillId="0" borderId="46" xfId="0" applyBorder="1" applyAlignment="1"/>
    <xf numFmtId="172" fontId="26" fillId="27" borderId="0" xfId="2" applyNumberFormat="1" applyFont="1" applyFill="1"/>
    <xf numFmtId="172" fontId="26" fillId="0" borderId="19" xfId="2" applyNumberFormat="1" applyFont="1" applyBorder="1"/>
    <xf numFmtId="172" fontId="26" fillId="11" borderId="0" xfId="2" applyNumberFormat="1" applyFont="1" applyFill="1" applyBorder="1"/>
    <xf numFmtId="172" fontId="26" fillId="0" borderId="0" xfId="2" applyNumberFormat="1" applyFont="1"/>
    <xf numFmtId="172" fontId="26" fillId="11" borderId="11" xfId="2" applyNumberFormat="1" applyFont="1" applyFill="1" applyBorder="1"/>
    <xf numFmtId="172" fontId="26" fillId="0" borderId="0" xfId="0" applyNumberFormat="1" applyFont="1"/>
    <xf numFmtId="172" fontId="26" fillId="28" borderId="0" xfId="2" applyNumberFormat="1" applyFont="1" applyFill="1"/>
    <xf numFmtId="172" fontId="26" fillId="11" borderId="11" xfId="0" applyNumberFormat="1" applyFont="1" applyFill="1" applyBorder="1"/>
    <xf numFmtId="172" fontId="26" fillId="27"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29" borderId="0" xfId="0" applyFont="1" applyFill="1" applyAlignment="1">
      <alignment horizontal="right"/>
    </xf>
    <xf numFmtId="0" fontId="68" fillId="0" borderId="0" xfId="0" applyFont="1"/>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27" xfId="62" applyNumberFormat="1" applyFont="1" applyBorder="1" applyAlignment="1" applyProtection="1">
      <alignment horizontal="center" vertical="center" wrapText="1"/>
    </xf>
    <xf numFmtId="1" fontId="31" fillId="0" borderId="0"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1" fontId="31" fillId="0" borderId="53" xfId="62" applyNumberFormat="1" applyFont="1" applyBorder="1" applyAlignment="1" applyProtection="1">
      <alignment horizontal="center"/>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1" fontId="31" fillId="0" borderId="53" xfId="62" quotePrefix="1" applyNumberFormat="1" applyFont="1" applyBorder="1" applyAlignment="1" applyProtection="1">
      <alignment horizontal="center"/>
    </xf>
    <xf numFmtId="1" fontId="31" fillId="0" borderId="25" xfId="62" quotePrefix="1" applyNumberFormat="1" applyFont="1" applyBorder="1" applyAlignment="1" applyProtection="1">
      <alignment horizontal="center"/>
    </xf>
    <xf numFmtId="1" fontId="31" fillId="0" borderId="26" xfId="62" quotePrefix="1" applyNumberFormat="1" applyFont="1" applyBorder="1" applyAlignment="1" applyProtection="1">
      <alignment horizontal="center"/>
    </xf>
    <xf numFmtId="1" fontId="31" fillId="0" borderId="51" xfId="62" applyNumberFormat="1" applyFont="1" applyBorder="1" applyAlignment="1" applyProtection="1">
      <alignment horizontal="center" vertical="center" wrapText="1"/>
    </xf>
    <xf numFmtId="1" fontId="31" fillId="0" borderId="52" xfId="62" applyNumberFormat="1" applyFont="1" applyBorder="1" applyAlignment="1" applyProtection="1">
      <alignment horizontal="center" vertical="center" wrapText="1"/>
    </xf>
    <xf numFmtId="0" fontId="28" fillId="0" borderId="4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60" xfId="63" applyFont="1" applyBorder="1" applyAlignment="1" applyProtection="1">
      <alignment horizontal="center" vertical="center"/>
    </xf>
    <xf numFmtId="0" fontId="2" fillId="0" borderId="41" xfId="63" applyBorder="1" applyAlignment="1" applyProtection="1">
      <alignment horizontal="center"/>
    </xf>
    <xf numFmtId="0" fontId="2" fillId="0" borderId="59" xfId="63" applyBorder="1" applyAlignment="1" applyProtection="1">
      <alignment horizontal="center"/>
    </xf>
    <xf numFmtId="0" fontId="28" fillId="0" borderId="53"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3" xfId="63" applyFont="1" applyBorder="1" applyAlignment="1" applyProtection="1">
      <alignment horizontal="center" vertical="center" wrapText="1"/>
    </xf>
    <xf numFmtId="0" fontId="28" fillId="0" borderId="51" xfId="63" applyFont="1" applyBorder="1" applyAlignment="1" applyProtection="1">
      <alignment horizontal="center" vertical="center" wrapText="1"/>
    </xf>
    <xf numFmtId="0" fontId="28" fillId="0" borderId="55" xfId="63" applyFont="1" applyBorder="1" applyAlignment="1" applyProtection="1">
      <alignment horizontal="center" vertical="center" wrapText="1"/>
    </xf>
    <xf numFmtId="0" fontId="28" fillId="0" borderId="7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3" xfId="63" applyFont="1" applyBorder="1" applyAlignment="1" applyProtection="1">
      <alignment horizontal="center"/>
    </xf>
    <xf numFmtId="0" fontId="28" fillId="0" borderId="51" xfId="63" applyFont="1" applyBorder="1" applyAlignment="1" applyProtection="1">
      <alignment horizontal="center" vertical="center"/>
    </xf>
    <xf numFmtId="0" fontId="28" fillId="0" borderId="55" xfId="63" applyFont="1" applyBorder="1" applyAlignment="1" applyProtection="1">
      <alignment horizontal="center" vertical="center"/>
    </xf>
    <xf numFmtId="0" fontId="28" fillId="0" borderId="52" xfId="63" applyFont="1" applyBorder="1" applyAlignment="1" applyProtection="1">
      <alignment horizontal="center" vertical="center"/>
    </xf>
    <xf numFmtId="0" fontId="28" fillId="0" borderId="24" xfId="66" applyFont="1" applyFill="1" applyBorder="1" applyAlignment="1" applyProtection="1">
      <alignment horizontal="center" vertical="center" wrapText="1"/>
    </xf>
    <xf numFmtId="0" fontId="28" fillId="0" borderId="73" xfId="66" applyFont="1" applyFill="1" applyBorder="1" applyAlignment="1" applyProtection="1">
      <alignment horizontal="center" vertical="center" wrapText="1"/>
    </xf>
    <xf numFmtId="0" fontId="28" fillId="0" borderId="53" xfId="63" applyFont="1" applyBorder="1" applyAlignment="1" applyProtection="1">
      <alignment horizontal="center" vertical="center"/>
    </xf>
    <xf numFmtId="0" fontId="28" fillId="0" borderId="25" xfId="63" applyFont="1" applyBorder="1" applyAlignment="1" applyProtection="1">
      <alignment horizontal="center" vertical="center"/>
    </xf>
    <xf numFmtId="0" fontId="28" fillId="0" borderId="26" xfId="63" applyFont="1" applyBorder="1" applyAlignment="1" applyProtection="1">
      <alignment horizontal="center" vertical="center"/>
    </xf>
    <xf numFmtId="0" fontId="2" fillId="0" borderId="72" xfId="67" applyFont="1" applyBorder="1" applyAlignment="1" applyProtection="1">
      <alignment horizontal="left"/>
    </xf>
    <xf numFmtId="0" fontId="2" fillId="0" borderId="40" xfId="67" applyFont="1" applyBorder="1" applyAlignment="1" applyProtection="1">
      <alignment horizontal="left"/>
    </xf>
    <xf numFmtId="0" fontId="2" fillId="0" borderId="76" xfId="67" applyFont="1" applyBorder="1" applyAlignment="1" applyProtection="1">
      <alignment horizontal="left"/>
    </xf>
    <xf numFmtId="0" fontId="2" fillId="0" borderId="77" xfId="67" applyFont="1" applyBorder="1" applyAlignment="1" applyProtection="1">
      <alignment horizontal="left"/>
    </xf>
    <xf numFmtId="0" fontId="2" fillId="0" borderId="21" xfId="67" applyFont="1" applyBorder="1" applyAlignment="1" applyProtection="1">
      <alignment horizontal="center"/>
    </xf>
    <xf numFmtId="0" fontId="2" fillId="0" borderId="23" xfId="67" applyFont="1" applyBorder="1" applyAlignment="1" applyProtection="1">
      <alignment horizontal="center"/>
    </xf>
    <xf numFmtId="0" fontId="2" fillId="0" borderId="65" xfId="67" applyFont="1" applyBorder="1" applyAlignment="1" applyProtection="1">
      <alignment horizontal="center"/>
    </xf>
    <xf numFmtId="0" fontId="2" fillId="0" borderId="66" xfId="67" applyFont="1" applyBorder="1" applyAlignment="1" applyProtection="1">
      <alignment horizontal="center"/>
    </xf>
    <xf numFmtId="0" fontId="2" fillId="0" borderId="72" xfId="67" applyFont="1" applyBorder="1" applyAlignment="1" applyProtection="1">
      <alignment horizontal="left" vertical="center"/>
    </xf>
    <xf numFmtId="0" fontId="2" fillId="0" borderId="40" xfId="67" applyFont="1" applyBorder="1" applyAlignment="1" applyProtection="1">
      <alignment horizontal="left" vertical="center"/>
    </xf>
    <xf numFmtId="0" fontId="2" fillId="0" borderId="72" xfId="67" applyFont="1" applyBorder="1" applyAlignment="1" applyProtection="1">
      <alignment horizontal="left" vertical="center" wrapText="1"/>
    </xf>
    <xf numFmtId="0" fontId="2" fillId="0" borderId="40" xfId="67" applyFont="1" applyBorder="1" applyAlignment="1" applyProtection="1">
      <alignment horizontal="left" vertical="center" wrapText="1"/>
    </xf>
    <xf numFmtId="0" fontId="2" fillId="0" borderId="76" xfId="67" applyFont="1" applyBorder="1" applyAlignment="1" applyProtection="1">
      <alignment horizontal="left" vertical="center" wrapText="1"/>
    </xf>
    <xf numFmtId="0" fontId="2" fillId="0" borderId="77" xfId="67" applyFont="1" applyBorder="1" applyAlignment="1" applyProtection="1">
      <alignment horizontal="left" vertical="center" wrapText="1"/>
    </xf>
    <xf numFmtId="0" fontId="2" fillId="0" borderId="21" xfId="67" applyFont="1" applyBorder="1" applyAlignment="1" applyProtection="1">
      <alignment horizontal="left" vertical="center"/>
    </xf>
    <xf numFmtId="0" fontId="2" fillId="0" borderId="23" xfId="67" applyFont="1" applyBorder="1" applyAlignment="1" applyProtection="1">
      <alignment horizontal="left" vertical="center"/>
    </xf>
    <xf numFmtId="0" fontId="2" fillId="0" borderId="65" xfId="67" applyFont="1" applyBorder="1" applyAlignment="1" applyProtection="1">
      <alignment horizontal="left" vertical="center"/>
    </xf>
    <xf numFmtId="0" fontId="2" fillId="0" borderId="66" xfId="67" applyFont="1" applyBorder="1" applyAlignment="1" applyProtection="1">
      <alignment horizontal="left" vertical="center"/>
    </xf>
    <xf numFmtId="0" fontId="28" fillId="0" borderId="69" xfId="70" applyFont="1" applyBorder="1" applyAlignment="1" applyProtection="1">
      <alignment horizontal="left" vertical="center"/>
    </xf>
    <xf numFmtId="0" fontId="28" fillId="0" borderId="44" xfId="70" applyFont="1" applyBorder="1" applyAlignment="1" applyProtection="1">
      <alignment horizontal="left" vertical="center"/>
    </xf>
    <xf numFmtId="0" fontId="28" fillId="0" borderId="59" xfId="70" applyFont="1" applyBorder="1" applyAlignment="1" applyProtection="1">
      <alignment horizontal="left" vertical="center"/>
    </xf>
    <xf numFmtId="0" fontId="28" fillId="0" borderId="21" xfId="70" applyFont="1" applyFill="1" applyBorder="1" applyAlignment="1" applyProtection="1">
      <alignment horizontal="center" vertical="center"/>
    </xf>
    <xf numFmtId="0" fontId="28" fillId="0" borderId="23" xfId="70" applyFont="1" applyFill="1" applyBorder="1" applyAlignment="1" applyProtection="1">
      <alignment horizontal="center" vertical="center"/>
    </xf>
    <xf numFmtId="0" fontId="28" fillId="0" borderId="27" xfId="70" applyFont="1" applyFill="1" applyBorder="1" applyAlignment="1" applyProtection="1">
      <alignment horizontal="center" vertical="center"/>
    </xf>
    <xf numFmtId="0" fontId="28" fillId="0" borderId="28" xfId="70" applyFont="1" applyFill="1" applyBorder="1" applyAlignment="1" applyProtection="1">
      <alignment horizontal="center" vertical="center"/>
    </xf>
    <xf numFmtId="0" fontId="28" fillId="0" borderId="65" xfId="70" applyFont="1" applyFill="1" applyBorder="1" applyAlignment="1" applyProtection="1">
      <alignment horizontal="center" vertical="center"/>
    </xf>
    <xf numFmtId="0" fontId="28" fillId="0" borderId="66" xfId="70" applyFont="1" applyFill="1" applyBorder="1" applyAlignment="1" applyProtection="1">
      <alignment horizontal="center" vertical="center"/>
    </xf>
    <xf numFmtId="0" fontId="28" fillId="0" borderId="69" xfId="70" applyFont="1" applyBorder="1" applyAlignment="1" applyProtection="1">
      <alignment horizontal="left" vertical="center" wrapText="1"/>
    </xf>
    <xf numFmtId="0" fontId="28" fillId="0" borderId="59" xfId="70" applyFont="1" applyBorder="1" applyAlignment="1" applyProtection="1">
      <alignment horizontal="left" vertical="center" wrapText="1"/>
    </xf>
    <xf numFmtId="0" fontId="28" fillId="0" borderId="69" xfId="66" applyFont="1" applyFill="1" applyBorder="1" applyAlignment="1" applyProtection="1">
      <alignment horizontal="left" vertical="center"/>
    </xf>
    <xf numFmtId="0" fontId="28" fillId="0" borderId="44" xfId="66" applyFont="1" applyFill="1" applyBorder="1" applyAlignment="1" applyProtection="1">
      <alignment horizontal="left" vertical="center"/>
    </xf>
    <xf numFmtId="0" fontId="28" fillId="0" borderId="59" xfId="66" applyFont="1" applyFill="1" applyBorder="1" applyAlignment="1" applyProtection="1">
      <alignment horizontal="left" vertical="center"/>
    </xf>
    <xf numFmtId="0" fontId="28" fillId="0" borderId="48" xfId="70" applyFont="1" applyBorder="1" applyAlignment="1" applyProtection="1">
      <alignment horizontal="left" vertical="center"/>
    </xf>
    <xf numFmtId="0" fontId="28" fillId="0" borderId="10" xfId="73" applyFont="1" applyBorder="1" applyAlignment="1" applyProtection="1">
      <alignment horizontal="center" vertical="center"/>
    </xf>
    <xf numFmtId="0" fontId="28" fillId="0" borderId="11" xfId="73" applyFont="1" applyBorder="1" applyAlignment="1" applyProtection="1">
      <alignment horizontal="center" vertical="center"/>
    </xf>
    <xf numFmtId="0" fontId="28" fillId="0" borderId="40" xfId="73" applyFont="1" applyBorder="1" applyAlignment="1" applyProtection="1">
      <alignment horizontal="center" vertical="center"/>
    </xf>
    <xf numFmtId="0" fontId="2" fillId="0" borderId="21" xfId="73" applyFont="1" applyBorder="1" applyAlignment="1" applyProtection="1">
      <alignment horizontal="center" vertical="center"/>
    </xf>
    <xf numFmtId="0" fontId="2" fillId="0" borderId="23" xfId="73" applyFont="1" applyBorder="1" applyAlignment="1" applyProtection="1">
      <alignment horizontal="center" vertical="center"/>
    </xf>
    <xf numFmtId="0" fontId="2" fillId="0" borderId="65" xfId="73" applyFont="1" applyBorder="1" applyAlignment="1" applyProtection="1">
      <alignment horizontal="center" vertical="center"/>
    </xf>
    <xf numFmtId="0" fontId="2" fillId="0" borderId="66" xfId="73" applyFont="1" applyBorder="1" applyAlignment="1" applyProtection="1">
      <alignment horizontal="center" vertical="center"/>
    </xf>
    <xf numFmtId="0" fontId="28" fillId="0" borderId="51" xfId="73" applyFont="1" applyBorder="1" applyAlignment="1" applyProtection="1">
      <alignment horizontal="center" vertical="center"/>
    </xf>
    <xf numFmtId="0" fontId="28" fillId="0" borderId="55" xfId="73" applyFont="1" applyBorder="1" applyAlignment="1" applyProtection="1">
      <alignment horizontal="center" vertical="center"/>
    </xf>
    <xf numFmtId="0" fontId="28" fillId="0" borderId="52" xfId="73" applyFont="1" applyBorder="1" applyAlignment="1" applyProtection="1">
      <alignment horizontal="center" vertical="center"/>
    </xf>
    <xf numFmtId="0" fontId="28" fillId="0" borderId="51" xfId="73" applyFont="1" applyBorder="1" applyAlignment="1" applyProtection="1">
      <alignment horizontal="center" vertical="center" wrapText="1"/>
    </xf>
    <xf numFmtId="0" fontId="28" fillId="0" borderId="55" xfId="73" applyFont="1" applyBorder="1" applyAlignment="1" applyProtection="1">
      <alignment horizontal="center" vertical="center" wrapText="1"/>
    </xf>
    <xf numFmtId="0" fontId="28" fillId="0" borderId="52" xfId="73" applyFont="1" applyBorder="1" applyAlignment="1" applyProtection="1">
      <alignment horizontal="center" vertical="center" wrapText="1"/>
    </xf>
    <xf numFmtId="0" fontId="2" fillId="0" borderId="84" xfId="73" applyFont="1" applyBorder="1" applyAlignment="1" applyProtection="1">
      <alignment horizontal="center" vertical="center"/>
    </xf>
    <xf numFmtId="0" fontId="2" fillId="0" borderId="73" xfId="73" applyFont="1" applyBorder="1" applyAlignment="1" applyProtection="1">
      <alignment horizontal="center" vertical="center"/>
    </xf>
    <xf numFmtId="0" fontId="28" fillId="0" borderId="10" xfId="73" applyFont="1" applyBorder="1" applyAlignment="1" applyProtection="1">
      <alignment horizontal="center" vertical="center" wrapText="1"/>
    </xf>
    <xf numFmtId="0" fontId="28" fillId="0" borderId="11" xfId="73" applyFont="1" applyBorder="1" applyAlignment="1" applyProtection="1">
      <alignment horizontal="center" vertical="center" wrapText="1"/>
    </xf>
    <xf numFmtId="0" fontId="28" fillId="0" borderId="40" xfId="73" applyFont="1" applyBorder="1" applyAlignment="1" applyProtection="1">
      <alignment horizontal="center" vertical="center" wrapText="1"/>
    </xf>
    <xf numFmtId="0" fontId="28" fillId="0" borderId="69" xfId="73" applyFont="1" applyBorder="1" applyAlignment="1" applyProtection="1">
      <alignment horizontal="center" vertical="center" wrapText="1"/>
    </xf>
    <xf numFmtId="0" fontId="28" fillId="0" borderId="59" xfId="73" applyFont="1" applyBorder="1" applyAlignment="1" applyProtection="1">
      <alignment horizontal="center" vertical="center" wrapText="1"/>
    </xf>
    <xf numFmtId="0" fontId="28" fillId="0" borderId="69" xfId="73" applyFont="1" applyBorder="1" applyAlignment="1" applyProtection="1">
      <alignment vertical="center" wrapText="1"/>
    </xf>
    <xf numFmtId="0" fontId="28" fillId="0" borderId="59" xfId="73" applyFont="1" applyBorder="1" applyAlignment="1" applyProtection="1">
      <alignment vertical="center" wrapText="1"/>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7" xfId="62" applyNumberFormat="1" applyFont="1" applyBorder="1" applyAlignment="1" applyProtection="1">
      <alignment horizontal="center" vertical="center" wrapText="1"/>
    </xf>
    <xf numFmtId="1" fontId="28" fillId="0" borderId="54" xfId="62" applyNumberFormat="1" applyFont="1" applyBorder="1" applyAlignment="1" applyProtection="1">
      <alignment horizontal="center" vertical="center" wrapText="1"/>
    </xf>
    <xf numFmtId="1" fontId="28" fillId="0" borderId="63" xfId="62" applyNumberFormat="1" applyFont="1" applyBorder="1" applyAlignment="1" applyProtection="1">
      <alignment horizontal="center" vertical="center" wrapText="1"/>
    </xf>
    <xf numFmtId="1" fontId="28" fillId="0" borderId="64" xfId="62" applyNumberFormat="1" applyFont="1" applyBorder="1" applyAlignment="1" applyProtection="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71" xfId="77" applyFont="1" applyBorder="1" applyAlignment="1">
      <alignment horizontal="center" textRotation="90" wrapText="1"/>
    </xf>
    <xf numFmtId="0" fontId="32" fillId="0" borderId="45" xfId="77" applyFont="1" applyBorder="1" applyAlignment="1">
      <alignment horizontal="center" textRotation="90" wrapText="1"/>
    </xf>
    <xf numFmtId="0" fontId="32" fillId="0" borderId="61" xfId="77" applyFont="1" applyBorder="1" applyAlignment="1">
      <alignment horizontal="center" textRotation="90" wrapText="1"/>
    </xf>
    <xf numFmtId="0" fontId="32" fillId="0" borderId="0" xfId="0" applyFont="1" applyBorder="1" applyAlignment="1" applyProtection="1">
      <alignment horizontal="left" wrapText="1"/>
    </xf>
    <xf numFmtId="0" fontId="31" fillId="0" borderId="71" xfId="77" applyFont="1" applyBorder="1" applyAlignment="1">
      <alignment horizontal="center" textRotation="90" wrapText="1"/>
    </xf>
    <xf numFmtId="0" fontId="31" fillId="0" borderId="45" xfId="77" applyFont="1" applyBorder="1" applyAlignment="1">
      <alignment horizontal="center" textRotation="90" wrapText="1"/>
    </xf>
    <xf numFmtId="0" fontId="31" fillId="0" borderId="61" xfId="77" applyFont="1" applyBorder="1" applyAlignment="1">
      <alignment horizontal="center" textRotation="90" wrapText="1"/>
    </xf>
    <xf numFmtId="0" fontId="32" fillId="11" borderId="10" xfId="77" applyFont="1" applyFill="1" applyBorder="1" applyAlignment="1">
      <alignment horizontal="center"/>
    </xf>
    <xf numFmtId="0" fontId="32" fillId="11" borderId="11" xfId="77" applyFont="1" applyFill="1" applyBorder="1" applyAlignment="1">
      <alignment horizontal="center"/>
    </xf>
    <xf numFmtId="0" fontId="32" fillId="11" borderId="12" xfId="77" applyFont="1" applyFill="1" applyBorder="1" applyAlignment="1">
      <alignment horizontal="center"/>
    </xf>
    <xf numFmtId="0" fontId="32" fillId="22" borderId="10" xfId="77" applyFont="1" applyFill="1" applyBorder="1" applyAlignment="1">
      <alignment horizontal="center"/>
    </xf>
    <xf numFmtId="0" fontId="32" fillId="22" borderId="11" xfId="77" applyFont="1" applyFill="1" applyBorder="1" applyAlignment="1">
      <alignment horizontal="center"/>
    </xf>
    <xf numFmtId="0" fontId="32" fillId="22" borderId="12" xfId="77" applyFont="1" applyFill="1" applyBorder="1" applyAlignment="1">
      <alignment horizontal="center"/>
    </xf>
    <xf numFmtId="0" fontId="32" fillId="0" borderId="10" xfId="77" applyFont="1" applyBorder="1" applyAlignment="1">
      <alignment horizontal="center"/>
    </xf>
    <xf numFmtId="0" fontId="32" fillId="0" borderId="11" xfId="77" applyFont="1" applyBorder="1" applyAlignment="1">
      <alignment horizontal="center"/>
    </xf>
    <xf numFmtId="0" fontId="32" fillId="0" borderId="12" xfId="77" applyFont="1" applyBorder="1" applyAlignment="1">
      <alignment horizontal="center"/>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2" borderId="53"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53"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3" borderId="53" xfId="0" applyFont="1" applyFill="1" applyBorder="1" applyAlignment="1" applyProtection="1">
      <alignment horizontal="center" vertical="center"/>
    </xf>
    <xf numFmtId="0" fontId="31" fillId="23" borderId="25" xfId="0" applyFont="1" applyFill="1" applyBorder="1" applyAlignment="1" applyProtection="1">
      <alignment horizontal="center" vertical="center"/>
    </xf>
    <xf numFmtId="0" fontId="31" fillId="23" borderId="26" xfId="0" applyFont="1" applyFill="1" applyBorder="1" applyAlignment="1" applyProtection="1">
      <alignment horizontal="center" vertical="center"/>
    </xf>
    <xf numFmtId="0" fontId="31" fillId="0" borderId="53"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53"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175" fontId="30" fillId="24" borderId="84" xfId="0" applyNumberFormat="1" applyFont="1" applyFill="1" applyBorder="1" applyAlignment="1">
      <alignment horizontal="right" vertical="center"/>
    </xf>
    <xf numFmtId="175" fontId="30" fillId="24" borderId="29" xfId="0" applyNumberFormat="1" applyFont="1" applyFill="1" applyBorder="1" applyAlignment="1">
      <alignment horizontal="right" vertical="center"/>
    </xf>
    <xf numFmtId="175" fontId="30" fillId="24" borderId="73" xfId="0" applyNumberFormat="1" applyFont="1" applyFill="1" applyBorder="1" applyAlignment="1">
      <alignment horizontal="righ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7" fillId="0" borderId="69" xfId="0" applyFont="1" applyBorder="1" applyAlignment="1">
      <alignment horizontal="center" vertical="center" wrapText="1"/>
    </xf>
    <xf numFmtId="0" fontId="57" fillId="0" borderId="44" xfId="0" applyFont="1" applyBorder="1" applyAlignment="1">
      <alignment horizontal="center" vertical="center" wrapText="1"/>
    </xf>
    <xf numFmtId="0" fontId="30" fillId="0" borderId="61" xfId="0" applyFont="1" applyFill="1" applyBorder="1" applyAlignment="1" applyProtection="1">
      <alignment horizontal="left" vertical="center"/>
    </xf>
    <xf numFmtId="0" fontId="30" fillId="0" borderId="60" xfId="0" applyFont="1" applyFill="1" applyBorder="1" applyAlignment="1" applyProtection="1">
      <alignment horizontal="left" vertical="center"/>
    </xf>
    <xf numFmtId="175" fontId="49" fillId="18" borderId="41" xfId="0" applyNumberFormat="1" applyFont="1" applyFill="1" applyBorder="1" applyAlignment="1" applyProtection="1">
      <alignment horizontal="right" vertical="center"/>
      <protection locked="0"/>
    </xf>
    <xf numFmtId="175" fontId="49" fillId="18" borderId="59" xfId="0" applyNumberFormat="1" applyFont="1" applyFill="1" applyBorder="1" applyAlignment="1" applyProtection="1">
      <alignment horizontal="right" vertical="center"/>
      <protection locked="0"/>
    </xf>
    <xf numFmtId="175" fontId="30" fillId="24" borderId="2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2" xfId="0" applyFont="1" applyFill="1" applyBorder="1" applyAlignment="1" applyProtection="1">
      <alignment horizontal="left" vertical="center"/>
    </xf>
    <xf numFmtId="0" fontId="57" fillId="0" borderId="59" xfId="0" applyFont="1" applyBorder="1" applyAlignment="1">
      <alignment horizontal="center" vertical="center" wrapText="1"/>
    </xf>
    <xf numFmtId="0" fontId="26" fillId="0" borderId="18" xfId="0" applyFont="1" applyBorder="1" applyAlignment="1">
      <alignment horizontal="left" vertical="center"/>
    </xf>
    <xf numFmtId="0" fontId="26" fillId="0" borderId="66" xfId="0" applyFont="1" applyBorder="1" applyAlignment="1">
      <alignment horizontal="left" vertical="center"/>
    </xf>
    <xf numFmtId="175" fontId="49" fillId="18" borderId="69" xfId="0" applyNumberFormat="1" applyFont="1" applyFill="1" applyBorder="1" applyAlignment="1" applyProtection="1">
      <alignment horizontal="right" vertical="center"/>
      <protection locked="0"/>
    </xf>
    <xf numFmtId="175" fontId="49" fillId="18" borderId="44" xfId="0" applyNumberFormat="1" applyFont="1" applyFill="1" applyBorder="1" applyAlignment="1" applyProtection="1">
      <alignment horizontal="right" vertical="center"/>
      <protection locked="0"/>
    </xf>
    <xf numFmtId="0" fontId="48" fillId="0" borderId="53" xfId="0" applyFont="1" applyBorder="1" applyAlignment="1" applyProtection="1">
      <alignment horizontal="left" vertical="center" wrapText="1"/>
    </xf>
    <xf numFmtId="0" fontId="48" fillId="0" borderId="25" xfId="0" applyFont="1" applyBorder="1" applyAlignment="1" applyProtection="1">
      <alignment horizontal="left" vertical="center" wrapText="1"/>
    </xf>
    <xf numFmtId="0" fontId="48" fillId="0" borderId="26" xfId="0" applyFont="1" applyBorder="1" applyAlignment="1" applyProtection="1">
      <alignment horizontal="left" vertical="center" wrapText="1"/>
    </xf>
    <xf numFmtId="0" fontId="57" fillId="0" borderId="59" xfId="0" applyFont="1" applyBorder="1" applyAlignment="1">
      <alignment horizontal="center" vertical="center"/>
    </xf>
    <xf numFmtId="0" fontId="57" fillId="0" borderId="46" xfId="0" applyFont="1" applyBorder="1" applyAlignment="1">
      <alignment horizontal="center" vertical="center"/>
    </xf>
    <xf numFmtId="0" fontId="57" fillId="0" borderId="69" xfId="0" applyFont="1" applyBorder="1" applyAlignment="1">
      <alignment horizontal="center" vertical="center"/>
    </xf>
    <xf numFmtId="0" fontId="30" fillId="0" borderId="47" xfId="0" applyFont="1" applyFill="1" applyBorder="1" applyAlignment="1" applyProtection="1">
      <alignment horizontal="left" vertical="center" wrapText="1"/>
    </xf>
    <xf numFmtId="0" fontId="30" fillId="0" borderId="62" xfId="0" applyFont="1" applyFill="1" applyBorder="1" applyAlignment="1" applyProtection="1">
      <alignment horizontal="left" vertical="center" wrapText="1"/>
    </xf>
    <xf numFmtId="0" fontId="30" fillId="0" borderId="71" xfId="0" applyFont="1" applyFill="1" applyBorder="1" applyAlignment="1" applyProtection="1">
      <alignment horizontal="left" vertical="center"/>
    </xf>
    <xf numFmtId="0" fontId="30" fillId="0" borderId="70" xfId="0" applyFont="1" applyFill="1" applyBorder="1" applyAlignment="1" applyProtection="1">
      <alignment horizontal="left" vertical="center"/>
    </xf>
    <xf numFmtId="0" fontId="57" fillId="0" borderId="56" xfId="0" applyFont="1" applyBorder="1" applyAlignment="1">
      <alignment horizontal="center" vertical="center"/>
    </xf>
    <xf numFmtId="0" fontId="57" fillId="0" borderId="36" xfId="0" applyFont="1" applyBorder="1" applyAlignment="1">
      <alignment horizontal="center" vertical="center"/>
    </xf>
    <xf numFmtId="0" fontId="30" fillId="0" borderId="57" xfId="0" applyFont="1" applyFill="1" applyBorder="1" applyAlignment="1" applyProtection="1">
      <alignment horizontal="left" vertical="center"/>
    </xf>
    <xf numFmtId="0" fontId="30" fillId="0" borderId="58"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0" fontId="48" fillId="0" borderId="24" xfId="0" applyFont="1" applyBorder="1" applyAlignment="1">
      <alignment horizontal="center" vertical="center"/>
    </xf>
    <xf numFmtId="0" fontId="48" fillId="0" borderId="33" xfId="0" applyFont="1" applyBorder="1" applyAlignment="1">
      <alignment horizontal="center" vertical="center"/>
    </xf>
    <xf numFmtId="0" fontId="48" fillId="0" borderId="53" xfId="0" applyFont="1" applyBorder="1" applyAlignment="1">
      <alignment horizontal="left" vertical="center"/>
    </xf>
    <xf numFmtId="0" fontId="48" fillId="0" borderId="25" xfId="0" applyFont="1" applyBorder="1" applyAlignment="1">
      <alignment horizontal="left" vertical="center"/>
    </xf>
    <xf numFmtId="0" fontId="48" fillId="0" borderId="26" xfId="0" applyFont="1" applyBorder="1" applyAlignment="1">
      <alignment horizontal="left" vertical="center"/>
    </xf>
    <xf numFmtId="0" fontId="48" fillId="0" borderId="53"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6" xfId="0" applyFont="1" applyBorder="1" applyAlignment="1" applyProtection="1">
      <alignment horizontal="center" vertical="center"/>
    </xf>
    <xf numFmtId="0" fontId="30" fillId="0" borderId="51" xfId="0" applyFont="1" applyBorder="1" applyAlignment="1" applyProtection="1">
      <alignment horizontal="left" vertical="center"/>
    </xf>
    <xf numFmtId="0" fontId="30" fillId="0" borderId="55" xfId="0" applyFont="1" applyBorder="1" applyAlignment="1" applyProtection="1">
      <alignment horizontal="left" vertical="center"/>
    </xf>
    <xf numFmtId="0" fontId="30" fillId="0" borderId="52" xfId="0" applyFont="1" applyBorder="1" applyAlignment="1" applyProtection="1">
      <alignment horizontal="left" vertical="center"/>
    </xf>
    <xf numFmtId="0" fontId="30" fillId="0" borderId="76" xfId="0" applyFont="1" applyBorder="1" applyAlignment="1" applyProtection="1">
      <alignment horizontal="left" vertical="center"/>
    </xf>
    <xf numFmtId="0" fontId="30" fillId="0" borderId="78" xfId="0" applyFont="1" applyBorder="1" applyAlignment="1" applyProtection="1">
      <alignment horizontal="left" vertical="center"/>
    </xf>
    <xf numFmtId="0" fontId="30" fillId="0" borderId="77" xfId="0" applyFont="1" applyBorder="1" applyAlignment="1" applyProtection="1">
      <alignment horizontal="left" vertical="center"/>
    </xf>
    <xf numFmtId="0" fontId="57" fillId="0" borderId="53"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37" fillId="0" borderId="21" xfId="0" applyFont="1" applyBorder="1" applyAlignment="1" applyProtection="1">
      <alignment horizontal="left" vertical="center"/>
    </xf>
    <xf numFmtId="0" fontId="37" fillId="0" borderId="22" xfId="0" applyFont="1" applyBorder="1" applyAlignment="1" applyProtection="1">
      <alignment horizontal="left" vertical="center"/>
    </xf>
    <xf numFmtId="0" fontId="37" fillId="0" borderId="23"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0" fillId="0" borderId="51" xfId="0" applyFont="1" applyBorder="1" applyAlignment="1" applyProtection="1">
      <alignment horizontal="left" vertical="center" wrapText="1"/>
    </xf>
    <xf numFmtId="0" fontId="30" fillId="0" borderId="55" xfId="0" applyFont="1" applyBorder="1" applyAlignment="1" applyProtection="1">
      <alignment horizontal="left" vertical="center" wrapText="1"/>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1" xfId="0" applyFont="1" applyBorder="1" applyAlignment="1" applyProtection="1">
      <alignment horizontal="left" vertical="center" wrapText="1"/>
    </xf>
    <xf numFmtId="0" fontId="59" fillId="0" borderId="55"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48" fillId="0" borderId="72" xfId="0" applyFont="1" applyBorder="1" applyAlignment="1">
      <alignment horizontal="left" vertical="center"/>
    </xf>
    <xf numFmtId="0" fontId="48" fillId="0" borderId="40" xfId="0" applyFont="1" applyBorder="1" applyAlignment="1">
      <alignment horizontal="left" vertical="center"/>
    </xf>
    <xf numFmtId="0" fontId="40" fillId="22" borderId="53" xfId="0" applyFont="1" applyFill="1" applyBorder="1" applyAlignment="1">
      <alignment horizontal="left" vertical="center" indent="1"/>
    </xf>
    <xf numFmtId="0" fontId="40" fillId="22"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30" fillId="0" borderId="72" xfId="0" applyFont="1" applyBorder="1" applyAlignment="1">
      <alignment horizontal="left" vertical="center" indent="1"/>
    </xf>
    <xf numFmtId="0" fontId="30" fillId="0" borderId="40" xfId="0" applyFont="1" applyBorder="1" applyAlignment="1">
      <alignment horizontal="left" vertical="center" indent="1"/>
    </xf>
    <xf numFmtId="0" fontId="40" fillId="11" borderId="53" xfId="0" applyFont="1" applyFill="1" applyBorder="1" applyAlignment="1">
      <alignment horizontal="left" vertical="center" indent="1"/>
    </xf>
    <xf numFmtId="0" fontId="40" fillId="11" borderId="25" xfId="0" applyFont="1" applyFill="1" applyBorder="1" applyAlignment="1">
      <alignment horizontal="left" vertical="center" indent="1"/>
    </xf>
    <xf numFmtId="0" fontId="48" fillId="0" borderId="51" xfId="0" applyFont="1" applyBorder="1" applyAlignment="1">
      <alignment horizontal="left" vertical="center"/>
    </xf>
    <xf numFmtId="0" fontId="48" fillId="0" borderId="52" xfId="0" applyFont="1" applyBorder="1" applyAlignment="1">
      <alignment horizontal="left" vertical="center"/>
    </xf>
    <xf numFmtId="0" fontId="48" fillId="22" borderId="53" xfId="0" applyFont="1" applyFill="1" applyBorder="1" applyAlignment="1" applyProtection="1">
      <alignment horizontal="center" vertical="center" wrapText="1"/>
    </xf>
    <xf numFmtId="0" fontId="48" fillId="22" borderId="26" xfId="0" applyFont="1" applyFill="1" applyBorder="1" applyAlignment="1" applyProtection="1">
      <alignment horizontal="center" vertical="center" wrapText="1"/>
    </xf>
    <xf numFmtId="0" fontId="48" fillId="0" borderId="41" xfId="0" applyFont="1" applyBorder="1" applyAlignment="1">
      <alignment horizontal="center" vertical="center" wrapText="1"/>
    </xf>
    <xf numFmtId="0" fontId="48" fillId="0" borderId="48" xfId="0" applyFont="1" applyBorder="1" applyAlignment="1">
      <alignment horizontal="center" vertical="center" wrapText="1"/>
    </xf>
    <xf numFmtId="0" fontId="32" fillId="0" borderId="72"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48" fillId="0" borderId="41" xfId="0" applyFont="1" applyBorder="1" applyAlignment="1">
      <alignment horizontal="center" vertical="center"/>
    </xf>
    <xf numFmtId="0" fontId="48" fillId="0" borderId="44" xfId="0" applyFont="1" applyBorder="1" applyAlignment="1">
      <alignment horizontal="center" vertical="center"/>
    </xf>
    <xf numFmtId="0" fontId="48" fillId="0" borderId="48" xfId="0" applyFont="1" applyBorder="1" applyAlignment="1">
      <alignment horizontal="center" vertical="center"/>
    </xf>
    <xf numFmtId="0" fontId="30" fillId="0" borderId="53"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48" fillId="22" borderId="53" xfId="0" applyFont="1" applyFill="1" applyBorder="1" applyAlignment="1">
      <alignment horizontal="left" vertical="center" indent="1"/>
    </xf>
    <xf numFmtId="0" fontId="48" fillId="22" borderId="26" xfId="0" applyFont="1" applyFill="1" applyBorder="1" applyAlignment="1">
      <alignment horizontal="left" vertical="center" indent="1"/>
    </xf>
    <xf numFmtId="0" fontId="40" fillId="0" borderId="53" xfId="0" applyFont="1" applyBorder="1" applyAlignment="1">
      <alignment horizontal="left" vertical="center"/>
    </xf>
    <xf numFmtId="0" fontId="40" fillId="0" borderId="26" xfId="0" applyFont="1" applyBorder="1" applyAlignment="1">
      <alignment horizontal="left" vertical="center"/>
    </xf>
    <xf numFmtId="0" fontId="32" fillId="0" borderId="51" xfId="0" applyFont="1" applyBorder="1" applyAlignment="1" applyProtection="1">
      <alignment horizontal="left" vertical="center" indent="1"/>
    </xf>
    <xf numFmtId="0" fontId="32" fillId="0" borderId="52" xfId="0" applyFont="1" applyBorder="1" applyAlignment="1" applyProtection="1">
      <alignment horizontal="left" vertical="center" indent="1"/>
    </xf>
    <xf numFmtId="0" fontId="31" fillId="0" borderId="53"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6" xfId="0" applyFont="1" applyBorder="1" applyAlignment="1" applyProtection="1">
      <alignment horizontal="left" vertical="center" indent="1"/>
    </xf>
    <xf numFmtId="0" fontId="32" fillId="0" borderId="77" xfId="0" applyFont="1" applyBorder="1" applyAlignment="1" applyProtection="1">
      <alignment horizontal="left" vertical="center" indent="1"/>
    </xf>
    <xf numFmtId="0" fontId="32" fillId="0" borderId="53" xfId="0" applyFont="1" applyBorder="1" applyAlignment="1">
      <alignment horizontal="left" vertical="center" indent="1"/>
    </xf>
    <xf numFmtId="0" fontId="32" fillId="0" borderId="26" xfId="0" applyFont="1" applyBorder="1" applyAlignment="1">
      <alignment horizontal="left" vertical="center" indent="1"/>
    </xf>
    <xf numFmtId="0" fontId="30" fillId="0" borderId="72"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176" fontId="62" fillId="18" borderId="27" xfId="0" applyNumberFormat="1" applyFont="1" applyFill="1" applyBorder="1" applyAlignment="1" applyProtection="1">
      <alignment horizontal="center" vertical="center"/>
      <protection locked="0"/>
    </xf>
    <xf numFmtId="176" fontId="62" fillId="18" borderId="17" xfId="0" applyNumberFormat="1" applyFont="1" applyFill="1" applyBorder="1" applyAlignment="1" applyProtection="1">
      <alignment horizontal="center" vertical="center"/>
      <protection locked="0"/>
    </xf>
    <xf numFmtId="0" fontId="31" fillId="0" borderId="24" xfId="0" applyFont="1" applyBorder="1" applyAlignment="1">
      <alignment horizontal="center" vertical="center" wrapText="1"/>
    </xf>
    <xf numFmtId="0" fontId="31" fillId="0" borderId="73" xfId="0" applyFont="1" applyBorder="1" applyAlignment="1">
      <alignment horizontal="center" vertical="center" wrapText="1"/>
    </xf>
    <xf numFmtId="176" fontId="31" fillId="0" borderId="72" xfId="0" applyNumberFormat="1" applyFont="1" applyBorder="1" applyAlignment="1">
      <alignment horizontal="center" vertical="center"/>
    </xf>
    <xf numFmtId="176" fontId="31" fillId="0" borderId="12" xfId="0" applyNumberFormat="1" applyFont="1" applyBorder="1" applyAlignment="1">
      <alignment horizontal="center" vertical="center"/>
    </xf>
    <xf numFmtId="176" fontId="31" fillId="0" borderId="51" xfId="0" applyNumberFormat="1" applyFont="1" applyBorder="1" applyAlignment="1">
      <alignment horizontal="center" vertical="center" wrapText="1"/>
    </xf>
    <xf numFmtId="176" fontId="31" fillId="0" borderId="79" xfId="0" applyNumberFormat="1" applyFont="1" applyBorder="1" applyAlignment="1">
      <alignment horizontal="center" vertical="center" wrapText="1"/>
    </xf>
    <xf numFmtId="176" fontId="62" fillId="18" borderId="65" xfId="0" applyNumberFormat="1" applyFont="1" applyFill="1" applyBorder="1" applyAlignment="1" applyProtection="1">
      <alignment horizontal="center" vertical="center"/>
      <protection locked="0"/>
    </xf>
    <xf numFmtId="176" fontId="62" fillId="18" borderId="20" xfId="0" applyNumberFormat="1" applyFont="1" applyFill="1" applyBorder="1" applyAlignment="1" applyProtection="1">
      <alignment horizontal="center" vertical="center"/>
      <protection locked="0"/>
    </xf>
    <xf numFmtId="0" fontId="31" fillId="0" borderId="0" xfId="0" applyFont="1" applyFill="1" applyBorder="1" applyAlignment="1">
      <alignment horizontal="left" vertical="center" wrapText="1"/>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0" fontId="37" fillId="0" borderId="0" xfId="0" applyFont="1" applyAlignment="1" applyProtection="1">
      <alignment horizontal="left"/>
    </xf>
    <xf numFmtId="0" fontId="30" fillId="0" borderId="51" xfId="66" applyFont="1" applyFill="1" applyBorder="1" applyAlignment="1" applyProtection="1">
      <alignment horizontal="center" vertical="center"/>
    </xf>
    <xf numFmtId="0" fontId="30" fillId="0" borderId="55" xfId="66" applyFont="1" applyFill="1" applyBorder="1" applyAlignment="1" applyProtection="1">
      <alignment horizontal="center" vertical="center"/>
    </xf>
    <xf numFmtId="0" fontId="30" fillId="0" borderId="79" xfId="66" applyFont="1" applyFill="1" applyBorder="1" applyAlignment="1" applyProtection="1">
      <alignment horizontal="center" vertical="center"/>
    </xf>
    <xf numFmtId="0" fontId="30" fillId="0" borderId="10" xfId="66" applyFont="1" applyFill="1" applyBorder="1" applyAlignment="1" applyProtection="1">
      <alignment horizontal="center" vertical="center"/>
    </xf>
    <xf numFmtId="0" fontId="30" fillId="0" borderId="11" xfId="66" applyFont="1" applyFill="1" applyBorder="1" applyAlignment="1" applyProtection="1">
      <alignment horizontal="center" vertical="center"/>
    </xf>
    <xf numFmtId="0" fontId="30" fillId="0" borderId="40" xfId="66" applyFont="1" applyFill="1" applyBorder="1" applyAlignment="1" applyProtection="1">
      <alignment horizontal="center" vertical="center"/>
    </xf>
    <xf numFmtId="0" fontId="21" fillId="0" borderId="16" xfId="0" applyFont="1" applyBorder="1" applyAlignment="1">
      <alignment horizontal="center" wrapText="1"/>
    </xf>
    <xf numFmtId="0" fontId="21" fillId="0" borderId="0" xfId="0"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4" xfId="0" quotePrefix="1" applyFont="1" applyBorder="1" applyAlignment="1">
      <alignment horizontal="center"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cellXfs>
  <cellStyles count="79">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78"/>
    <cellStyle name="Normal 2 2" xfId="67"/>
    <cellStyle name="Normal 2_EDFE_SPN_Main_FBPQ (v030909) v4.7" xfId="73"/>
    <cellStyle name="Normal 3" xfId="63"/>
    <cellStyle name="Normal 3_EDFE_SPN_Main_FBPQ (v030909) v4.7" xfId="74"/>
    <cellStyle name="Normal_07-08 RRP - Section 5" xfId="64"/>
    <cellStyle name="Normal_CE-NEDL_0607_RRP_RAV_Draft HLFBPQ1" xfId="70"/>
    <cellStyle name="Normal_EDFE_SPN_Main_FBPQ (v030909) v4.7" xfId="72"/>
    <cellStyle name="Normal_Network Tables 07_08" xfId="62"/>
    <cellStyle name="Normal_Network Tables 07_08 2" xfId="69"/>
    <cellStyle name="Normal_Opex Tables" xfId="76"/>
    <cellStyle name="Normal_risk table" xfId="66"/>
    <cellStyle name="Normal_risk table_EDFE_SPN_Main_FBPQ (v030909) v4.7" xfId="75"/>
    <cellStyle name="Normal_RRP table 4_3 update" xfId="65"/>
    <cellStyle name="Normal_Tables for 2005-06 Cost report (linked data v2)" xfId="77"/>
    <cellStyle name="Note" xfId="19" builtinId="10" hidden="1"/>
    <cellStyle name="Output" xfId="14" builtinId="21" hidden="1"/>
    <cellStyle name="Percent" xfId="1" builtinId="5"/>
    <cellStyle name="Percent 2 2" xfId="68"/>
    <cellStyle name="Percent 4" xfId="71"/>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4</xdr:col>
      <xdr:colOff>4536</xdr:colOff>
      <xdr:row>1</xdr:row>
      <xdr:rowOff>187324</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190499</xdr:rowOff>
    </xdr:from>
    <xdr:to>
      <xdr:col>5</xdr:col>
      <xdr:colOff>996043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election activeCell="B14" sqref="B14"/>
    </sheetView>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WPD South Wales in 2016/17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715" customWidth="1"/>
    <col min="2" max="2" width="30.85546875" style="715" customWidth="1"/>
    <col min="3" max="3" width="14.42578125" style="715" customWidth="1"/>
    <col min="4" max="25" width="15" style="715" customWidth="1"/>
    <col min="26" max="16384" width="10.28515625" style="715"/>
  </cols>
  <sheetData>
    <row r="1" spans="1:13" s="583" customFormat="1" ht="26.25">
      <c r="A1" s="579" t="s">
        <v>363</v>
      </c>
      <c r="B1" s="580"/>
      <c r="C1" s="581"/>
      <c r="D1" s="581"/>
      <c r="E1" s="581"/>
      <c r="F1" s="581"/>
      <c r="G1" s="582"/>
    </row>
    <row r="2" spans="1:13" s="583" customFormat="1" ht="18">
      <c r="A2" s="580" t="s">
        <v>1025</v>
      </c>
      <c r="B2" s="584"/>
    </row>
    <row r="3" spans="1:13" s="587" customFormat="1" ht="27" thickBot="1">
      <c r="A3" s="585" t="s">
        <v>488</v>
      </c>
      <c r="B3" s="586"/>
      <c r="D3" s="588"/>
    </row>
    <row r="5" spans="1:13" s="589" customFormat="1" ht="15.75" customHeight="1">
      <c r="B5" s="590" t="s">
        <v>489</v>
      </c>
    </row>
    <row r="6" spans="1:13" s="589" customFormat="1" ht="15.75" customHeight="1" thickBot="1"/>
    <row r="7" spans="1:13" s="589" customFormat="1" ht="15.75" customHeight="1">
      <c r="B7" s="1295"/>
      <c r="C7" s="1296"/>
      <c r="D7" s="591" t="s">
        <v>211</v>
      </c>
      <c r="E7" s="592"/>
      <c r="F7" s="592"/>
      <c r="G7" s="592"/>
      <c r="H7" s="593"/>
      <c r="I7" s="591" t="s">
        <v>212</v>
      </c>
      <c r="J7" s="594"/>
      <c r="K7" s="594"/>
      <c r="L7" s="594"/>
      <c r="M7" s="593"/>
    </row>
    <row r="8" spans="1:13" s="589" customFormat="1" ht="15.75" customHeight="1">
      <c r="B8" s="1297"/>
      <c r="C8" s="1298"/>
      <c r="D8" s="595" t="s">
        <v>99</v>
      </c>
      <c r="E8" s="596" t="s">
        <v>100</v>
      </c>
      <c r="F8" s="596" t="s">
        <v>101</v>
      </c>
      <c r="G8" s="596" t="s">
        <v>102</v>
      </c>
      <c r="H8" s="597" t="s">
        <v>64</v>
      </c>
      <c r="I8" s="595" t="s">
        <v>213</v>
      </c>
      <c r="J8" s="596" t="s">
        <v>214</v>
      </c>
      <c r="K8" s="596" t="s">
        <v>215</v>
      </c>
      <c r="L8" s="596" t="s">
        <v>216</v>
      </c>
      <c r="M8" s="597" t="s">
        <v>217</v>
      </c>
    </row>
    <row r="9" spans="1:13" s="589" customFormat="1" ht="15.75" customHeight="1">
      <c r="B9" s="598" t="s">
        <v>490</v>
      </c>
      <c r="C9" s="599"/>
      <c r="D9" s="600"/>
      <c r="E9" s="601"/>
      <c r="F9" s="601"/>
      <c r="G9" s="601"/>
      <c r="H9" s="602"/>
      <c r="I9" s="600"/>
      <c r="J9" s="601"/>
      <c r="K9" s="601"/>
      <c r="L9" s="601"/>
      <c r="M9" s="602"/>
    </row>
    <row r="10" spans="1:13" s="589" customFormat="1" ht="15.75" customHeight="1">
      <c r="B10" s="603" t="s">
        <v>491</v>
      </c>
      <c r="C10" s="599" t="s">
        <v>223</v>
      </c>
      <c r="D10" s="604">
        <f t="shared" ref="D10:M10" si="0">D37+D46</f>
        <v>0</v>
      </c>
      <c r="E10" s="605">
        <f t="shared" si="0"/>
        <v>0</v>
      </c>
      <c r="F10" s="605">
        <f t="shared" si="0"/>
        <v>0</v>
      </c>
      <c r="G10" s="605">
        <f t="shared" si="0"/>
        <v>0</v>
      </c>
      <c r="H10" s="602">
        <f t="shared" si="0"/>
        <v>0</v>
      </c>
      <c r="I10" s="604">
        <f t="shared" si="0"/>
        <v>0</v>
      </c>
      <c r="J10" s="606">
        <f t="shared" si="0"/>
        <v>0</v>
      </c>
      <c r="K10" s="606">
        <f t="shared" si="0"/>
        <v>0</v>
      </c>
      <c r="L10" s="606">
        <f t="shared" si="0"/>
        <v>0</v>
      </c>
      <c r="M10" s="607">
        <f t="shared" si="0"/>
        <v>0</v>
      </c>
    </row>
    <row r="11" spans="1:13" s="589" customFormat="1" ht="15.75" customHeight="1">
      <c r="B11" s="603" t="s">
        <v>492</v>
      </c>
      <c r="C11" s="599" t="s">
        <v>223</v>
      </c>
      <c r="D11" s="608"/>
      <c r="E11" s="608"/>
      <c r="F11" s="608"/>
      <c r="G11" s="608"/>
      <c r="H11" s="609"/>
      <c r="I11" s="610"/>
      <c r="J11" s="611"/>
      <c r="K11" s="611"/>
      <c r="L11" s="611"/>
      <c r="M11" s="612"/>
    </row>
    <row r="12" spans="1:13" s="589" customFormat="1" ht="15.75" customHeight="1">
      <c r="B12" s="603" t="s">
        <v>493</v>
      </c>
      <c r="C12" s="599" t="s">
        <v>223</v>
      </c>
      <c r="D12" s="608"/>
      <c r="E12" s="608"/>
      <c r="F12" s="608"/>
      <c r="G12" s="608"/>
      <c r="H12" s="609"/>
      <c r="I12" s="610"/>
      <c r="J12" s="611"/>
      <c r="K12" s="611"/>
      <c r="L12" s="611"/>
      <c r="M12" s="612"/>
    </row>
    <row r="13" spans="1:13" s="589" customFormat="1" ht="15.75" customHeight="1">
      <c r="B13" s="598" t="s">
        <v>494</v>
      </c>
      <c r="C13" s="599"/>
      <c r="D13" s="600"/>
      <c r="E13" s="601"/>
      <c r="F13" s="601"/>
      <c r="G13" s="601"/>
      <c r="H13" s="602"/>
      <c r="I13" s="600"/>
      <c r="J13" s="601"/>
      <c r="K13" s="601"/>
      <c r="L13" s="601"/>
      <c r="M13" s="602"/>
    </row>
    <row r="14" spans="1:13" s="589" customFormat="1" ht="15.75" customHeight="1">
      <c r="B14" s="603" t="s">
        <v>495</v>
      </c>
      <c r="C14" s="599" t="s">
        <v>223</v>
      </c>
      <c r="D14" s="608"/>
      <c r="E14" s="608"/>
      <c r="F14" s="608"/>
      <c r="G14" s="608"/>
      <c r="H14" s="609"/>
      <c r="I14" s="610"/>
      <c r="J14" s="611"/>
      <c r="K14" s="611"/>
      <c r="L14" s="611"/>
      <c r="M14" s="612"/>
    </row>
    <row r="15" spans="1:13" s="589" customFormat="1" ht="15.75" customHeight="1">
      <c r="B15" s="603" t="s">
        <v>496</v>
      </c>
      <c r="C15" s="599" t="s">
        <v>223</v>
      </c>
      <c r="D15" s="608"/>
      <c r="E15" s="608"/>
      <c r="F15" s="608"/>
      <c r="G15" s="608"/>
      <c r="H15" s="609"/>
      <c r="I15" s="610"/>
      <c r="J15" s="611"/>
      <c r="K15" s="611"/>
      <c r="L15" s="611"/>
      <c r="M15" s="612"/>
    </row>
    <row r="16" spans="1:13" s="589" customFormat="1" ht="15.75" customHeight="1">
      <c r="B16" s="603" t="s">
        <v>497</v>
      </c>
      <c r="C16" s="599" t="s">
        <v>223</v>
      </c>
      <c r="D16" s="608"/>
      <c r="E16" s="608"/>
      <c r="F16" s="608"/>
      <c r="G16" s="608"/>
      <c r="H16" s="609"/>
      <c r="I16" s="610"/>
      <c r="J16" s="611"/>
      <c r="K16" s="611"/>
      <c r="L16" s="611"/>
      <c r="M16" s="612"/>
    </row>
    <row r="17" spans="2:13" s="589" customFormat="1" ht="15.75" customHeight="1">
      <c r="B17" s="598" t="s">
        <v>435</v>
      </c>
      <c r="C17" s="599"/>
      <c r="D17" s="600"/>
      <c r="E17" s="601"/>
      <c r="F17" s="601"/>
      <c r="G17" s="601"/>
      <c r="H17" s="602"/>
      <c r="I17" s="600"/>
      <c r="J17" s="601"/>
      <c r="K17" s="601"/>
      <c r="L17" s="601"/>
      <c r="M17" s="602"/>
    </row>
    <row r="18" spans="2:13" s="589" customFormat="1" ht="15.75" customHeight="1">
      <c r="B18" s="603" t="s">
        <v>498</v>
      </c>
      <c r="C18" s="599" t="s">
        <v>223</v>
      </c>
      <c r="D18" s="608"/>
      <c r="E18" s="608"/>
      <c r="F18" s="608"/>
      <c r="G18" s="608"/>
      <c r="H18" s="609"/>
      <c r="I18" s="610"/>
      <c r="J18" s="611"/>
      <c r="K18" s="611"/>
      <c r="L18" s="611"/>
      <c r="M18" s="612"/>
    </row>
    <row r="19" spans="2:13" s="589" customFormat="1" ht="15.75" customHeight="1">
      <c r="B19" s="603" t="s">
        <v>499</v>
      </c>
      <c r="C19" s="599" t="s">
        <v>223</v>
      </c>
      <c r="D19" s="608"/>
      <c r="E19" s="608"/>
      <c r="F19" s="608"/>
      <c r="G19" s="608"/>
      <c r="H19" s="609"/>
      <c r="I19" s="610"/>
      <c r="J19" s="611"/>
      <c r="K19" s="611"/>
      <c r="L19" s="611"/>
      <c r="M19" s="612"/>
    </row>
    <row r="20" spans="2:13" s="589" customFormat="1" ht="15.75" customHeight="1">
      <c r="B20" s="603" t="s">
        <v>500</v>
      </c>
      <c r="C20" s="599" t="s">
        <v>223</v>
      </c>
      <c r="D20" s="608"/>
      <c r="E20" s="608"/>
      <c r="F20" s="608"/>
      <c r="G20" s="608"/>
      <c r="H20" s="609"/>
      <c r="I20" s="610"/>
      <c r="J20" s="611"/>
      <c r="K20" s="611"/>
      <c r="L20" s="611"/>
      <c r="M20" s="612"/>
    </row>
    <row r="21" spans="2:13" s="589" customFormat="1" ht="15.75" customHeight="1">
      <c r="B21" s="603" t="s">
        <v>501</v>
      </c>
      <c r="C21" s="599" t="s">
        <v>223</v>
      </c>
      <c r="D21" s="608"/>
      <c r="E21" s="608"/>
      <c r="F21" s="608"/>
      <c r="G21" s="608"/>
      <c r="H21" s="609"/>
      <c r="I21" s="610"/>
      <c r="J21" s="611"/>
      <c r="K21" s="611"/>
      <c r="L21" s="611"/>
      <c r="M21" s="612"/>
    </row>
    <row r="22" spans="2:13" s="615" customFormat="1" ht="15.75" customHeight="1">
      <c r="B22" s="613"/>
      <c r="C22" s="614" t="s">
        <v>223</v>
      </c>
      <c r="D22" s="608"/>
      <c r="E22" s="608"/>
      <c r="F22" s="608"/>
      <c r="G22" s="608"/>
      <c r="H22" s="609"/>
      <c r="I22" s="610"/>
      <c r="J22" s="611"/>
      <c r="K22" s="611"/>
      <c r="L22" s="611"/>
      <c r="M22" s="612"/>
    </row>
    <row r="23" spans="2:13" s="615" customFormat="1" ht="15.75" customHeight="1">
      <c r="B23" s="613" t="s">
        <v>502</v>
      </c>
      <c r="C23" s="614" t="s">
        <v>223</v>
      </c>
      <c r="D23" s="616"/>
      <c r="E23" s="616"/>
      <c r="F23" s="616"/>
      <c r="G23" s="616"/>
      <c r="H23" s="617"/>
      <c r="I23" s="618"/>
      <c r="J23" s="619"/>
      <c r="K23" s="619"/>
      <c r="L23" s="619"/>
      <c r="M23" s="620"/>
    </row>
    <row r="24" spans="2:13" s="615" customFormat="1" ht="15.75" customHeight="1">
      <c r="B24" s="613" t="s">
        <v>503</v>
      </c>
      <c r="C24" s="614" t="s">
        <v>223</v>
      </c>
      <c r="D24" s="616"/>
      <c r="E24" s="616"/>
      <c r="F24" s="616"/>
      <c r="G24" s="616"/>
      <c r="H24" s="617"/>
      <c r="I24" s="618"/>
      <c r="J24" s="619"/>
      <c r="K24" s="619"/>
      <c r="L24" s="619"/>
      <c r="M24" s="620"/>
    </row>
    <row r="25" spans="2:13" s="615" customFormat="1" ht="15.75" customHeight="1" thickBot="1">
      <c r="B25" s="621" t="s">
        <v>220</v>
      </c>
      <c r="C25" s="622" t="s">
        <v>223</v>
      </c>
      <c r="D25" s="623">
        <f t="shared" ref="D25:M25" si="1">SUM(D10:D24)</f>
        <v>0</v>
      </c>
      <c r="E25" s="624">
        <f t="shared" si="1"/>
        <v>0</v>
      </c>
      <c r="F25" s="624">
        <f t="shared" si="1"/>
        <v>0</v>
      </c>
      <c r="G25" s="624">
        <f t="shared" si="1"/>
        <v>0</v>
      </c>
      <c r="H25" s="624">
        <f t="shared" si="1"/>
        <v>0</v>
      </c>
      <c r="I25" s="623">
        <f t="shared" si="1"/>
        <v>0</v>
      </c>
      <c r="J25" s="624">
        <f t="shared" si="1"/>
        <v>0</v>
      </c>
      <c r="K25" s="624">
        <f t="shared" si="1"/>
        <v>0</v>
      </c>
      <c r="L25" s="624">
        <f t="shared" si="1"/>
        <v>0</v>
      </c>
      <c r="M25" s="625">
        <f t="shared" si="1"/>
        <v>0</v>
      </c>
    </row>
    <row r="26" spans="2:13" s="589" customFormat="1" ht="15.75" customHeight="1">
      <c r="B26" s="626"/>
      <c r="C26" s="627"/>
      <c r="D26" s="628"/>
      <c r="E26" s="628"/>
      <c r="F26" s="628"/>
    </row>
    <row r="27" spans="2:13" s="589" customFormat="1" ht="15.75" customHeight="1"/>
    <row r="28" spans="2:13" s="589" customFormat="1" ht="15.75" customHeight="1">
      <c r="B28" s="590" t="s">
        <v>504</v>
      </c>
      <c r="C28" s="590"/>
      <c r="D28" s="590"/>
      <c r="E28" s="590"/>
      <c r="F28" s="590"/>
      <c r="G28" s="590"/>
      <c r="H28" s="590"/>
      <c r="I28" s="590"/>
      <c r="J28" s="590"/>
      <c r="K28" s="590"/>
    </row>
    <row r="29" spans="2:13" s="589" customFormat="1" ht="15.75" customHeight="1">
      <c r="B29" s="590"/>
      <c r="C29" s="590"/>
      <c r="D29" s="590"/>
      <c r="E29" s="590"/>
      <c r="F29" s="590"/>
      <c r="G29" s="590"/>
      <c r="H29" s="590"/>
      <c r="I29" s="590"/>
      <c r="J29" s="590"/>
      <c r="K29" s="590"/>
    </row>
    <row r="30" spans="2:13" s="589" customFormat="1" ht="15.75" customHeight="1" thickBot="1">
      <c r="B30" s="629" t="s">
        <v>505</v>
      </c>
      <c r="C30" s="590"/>
      <c r="D30" s="590"/>
      <c r="E30" s="590"/>
      <c r="F30" s="590"/>
      <c r="G30" s="590"/>
      <c r="H30" s="590"/>
      <c r="I30" s="590"/>
      <c r="J30" s="590"/>
      <c r="K30" s="590"/>
    </row>
    <row r="31" spans="2:13" s="589" customFormat="1" ht="15.75" customHeight="1">
      <c r="B31" s="1295"/>
      <c r="C31" s="1296"/>
      <c r="D31" s="592" t="s">
        <v>211</v>
      </c>
      <c r="E31" s="592"/>
      <c r="F31" s="592"/>
      <c r="G31" s="592"/>
      <c r="H31" s="593"/>
      <c r="I31" s="591" t="s">
        <v>212</v>
      </c>
      <c r="J31" s="594"/>
      <c r="K31" s="594"/>
      <c r="L31" s="594"/>
      <c r="M31" s="593"/>
    </row>
    <row r="32" spans="2:13" s="589" customFormat="1" ht="15.75" customHeight="1">
      <c r="B32" s="1297"/>
      <c r="C32" s="1298"/>
      <c r="D32" s="630" t="s">
        <v>99</v>
      </c>
      <c r="E32" s="596" t="s">
        <v>100</v>
      </c>
      <c r="F32" s="596" t="s">
        <v>101</v>
      </c>
      <c r="G32" s="596" t="s">
        <v>102</v>
      </c>
      <c r="H32" s="597" t="s">
        <v>64</v>
      </c>
      <c r="I32" s="595" t="s">
        <v>213</v>
      </c>
      <c r="J32" s="596" t="s">
        <v>214</v>
      </c>
      <c r="K32" s="596" t="s">
        <v>215</v>
      </c>
      <c r="L32" s="596" t="s">
        <v>216</v>
      </c>
      <c r="M32" s="597" t="s">
        <v>217</v>
      </c>
    </row>
    <row r="33" spans="2:13" s="589" customFormat="1" ht="15.75" customHeight="1">
      <c r="B33" s="603" t="s">
        <v>438</v>
      </c>
      <c r="C33" s="599" t="s">
        <v>223</v>
      </c>
      <c r="D33" s="608"/>
      <c r="E33" s="608"/>
      <c r="F33" s="608"/>
      <c r="G33" s="608"/>
      <c r="H33" s="609"/>
      <c r="I33" s="610"/>
      <c r="J33" s="611"/>
      <c r="K33" s="611"/>
      <c r="L33" s="611"/>
      <c r="M33" s="612"/>
    </row>
    <row r="34" spans="2:13" s="589" customFormat="1" ht="15.75" customHeight="1">
      <c r="B34" s="603" t="s">
        <v>245</v>
      </c>
      <c r="C34" s="599" t="s">
        <v>223</v>
      </c>
      <c r="D34" s="608"/>
      <c r="E34" s="608"/>
      <c r="F34" s="608"/>
      <c r="G34" s="608"/>
      <c r="H34" s="609"/>
      <c r="I34" s="610"/>
      <c r="J34" s="611"/>
      <c r="K34" s="611"/>
      <c r="L34" s="611"/>
      <c r="M34" s="612"/>
    </row>
    <row r="35" spans="2:13" s="589" customFormat="1" ht="15.75" customHeight="1">
      <c r="B35" s="603" t="s">
        <v>427</v>
      </c>
      <c r="C35" s="599" t="s">
        <v>223</v>
      </c>
      <c r="D35" s="608"/>
      <c r="E35" s="608"/>
      <c r="F35" s="608"/>
      <c r="G35" s="608"/>
      <c r="H35" s="609"/>
      <c r="I35" s="610"/>
      <c r="J35" s="611"/>
      <c r="K35" s="611"/>
      <c r="L35" s="611"/>
      <c r="M35" s="612"/>
    </row>
    <row r="36" spans="2:13" s="589" customFormat="1" ht="15.75" customHeight="1">
      <c r="B36" s="603" t="s">
        <v>506</v>
      </c>
      <c r="C36" s="631" t="s">
        <v>223</v>
      </c>
      <c r="D36" s="608"/>
      <c r="E36" s="608"/>
      <c r="F36" s="608"/>
      <c r="G36" s="608"/>
      <c r="H36" s="609"/>
      <c r="I36" s="610"/>
      <c r="J36" s="611"/>
      <c r="K36" s="611"/>
      <c r="L36" s="611"/>
      <c r="M36" s="612"/>
    </row>
    <row r="37" spans="2:13" s="589" customFormat="1" ht="15.75" customHeight="1" thickBot="1">
      <c r="B37" s="632" t="s">
        <v>220</v>
      </c>
      <c r="C37" s="633" t="s">
        <v>223</v>
      </c>
      <c r="D37" s="634">
        <f t="shared" ref="D37:M37" si="2">SUM(D33:D36)</f>
        <v>0</v>
      </c>
      <c r="E37" s="635">
        <f t="shared" si="2"/>
        <v>0</v>
      </c>
      <c r="F37" s="635">
        <f t="shared" si="2"/>
        <v>0</v>
      </c>
      <c r="G37" s="635">
        <f t="shared" si="2"/>
        <v>0</v>
      </c>
      <c r="H37" s="636">
        <f t="shared" si="2"/>
        <v>0</v>
      </c>
      <c r="I37" s="637">
        <f t="shared" si="2"/>
        <v>0</v>
      </c>
      <c r="J37" s="635">
        <f t="shared" si="2"/>
        <v>0</v>
      </c>
      <c r="K37" s="635">
        <f t="shared" si="2"/>
        <v>0</v>
      </c>
      <c r="L37" s="635">
        <f t="shared" si="2"/>
        <v>0</v>
      </c>
      <c r="M37" s="636">
        <f t="shared" si="2"/>
        <v>0</v>
      </c>
    </row>
    <row r="38" spans="2:13" s="589" customFormat="1" ht="15.75" customHeight="1"/>
    <row r="39" spans="2:13" s="589" customFormat="1" ht="15.75" customHeight="1" thickBot="1">
      <c r="B39" s="629" t="s">
        <v>507</v>
      </c>
      <c r="C39" s="590"/>
      <c r="D39" s="590"/>
      <c r="E39" s="590"/>
      <c r="F39" s="590"/>
      <c r="G39" s="590"/>
      <c r="H39" s="590"/>
      <c r="I39" s="590"/>
      <c r="J39" s="590"/>
      <c r="K39" s="590"/>
    </row>
    <row r="40" spans="2:13" s="589" customFormat="1" ht="15.75" customHeight="1">
      <c r="B40" s="1295"/>
      <c r="C40" s="1296"/>
      <c r="D40" s="592" t="s">
        <v>211</v>
      </c>
      <c r="E40" s="592"/>
      <c r="F40" s="592"/>
      <c r="G40" s="592"/>
      <c r="H40" s="593"/>
      <c r="I40" s="591" t="s">
        <v>212</v>
      </c>
      <c r="J40" s="594"/>
      <c r="K40" s="594"/>
      <c r="L40" s="594"/>
      <c r="M40" s="593"/>
    </row>
    <row r="41" spans="2:13" s="589" customFormat="1" ht="15.75" customHeight="1">
      <c r="B41" s="1297"/>
      <c r="C41" s="1298"/>
      <c r="D41" s="630" t="s">
        <v>99</v>
      </c>
      <c r="E41" s="596" t="s">
        <v>100</v>
      </c>
      <c r="F41" s="596" t="s">
        <v>101</v>
      </c>
      <c r="G41" s="596" t="s">
        <v>102</v>
      </c>
      <c r="H41" s="597" t="s">
        <v>64</v>
      </c>
      <c r="I41" s="595" t="s">
        <v>213</v>
      </c>
      <c r="J41" s="596" t="s">
        <v>214</v>
      </c>
      <c r="K41" s="596" t="s">
        <v>215</v>
      </c>
      <c r="L41" s="596" t="s">
        <v>216</v>
      </c>
      <c r="M41" s="597" t="s">
        <v>217</v>
      </c>
    </row>
    <row r="42" spans="2:13" s="589" customFormat="1" ht="15.75" customHeight="1">
      <c r="B42" s="603" t="s">
        <v>438</v>
      </c>
      <c r="C42" s="599" t="s">
        <v>223</v>
      </c>
      <c r="D42" s="638"/>
      <c r="E42" s="639"/>
      <c r="F42" s="608"/>
      <c r="G42" s="608"/>
      <c r="H42" s="609"/>
      <c r="I42" s="610"/>
      <c r="J42" s="611"/>
      <c r="K42" s="611"/>
      <c r="L42" s="611"/>
      <c r="M42" s="612"/>
    </row>
    <row r="43" spans="2:13" s="589" customFormat="1" ht="15.75" customHeight="1">
      <c r="B43" s="603" t="s">
        <v>245</v>
      </c>
      <c r="C43" s="599" t="s">
        <v>223</v>
      </c>
      <c r="D43" s="638"/>
      <c r="E43" s="639"/>
      <c r="F43" s="608"/>
      <c r="G43" s="608"/>
      <c r="H43" s="609"/>
      <c r="I43" s="610"/>
      <c r="J43" s="611"/>
      <c r="K43" s="611"/>
      <c r="L43" s="611"/>
      <c r="M43" s="612"/>
    </row>
    <row r="44" spans="2:13" s="589" customFormat="1" ht="15.75" customHeight="1">
      <c r="B44" s="603" t="s">
        <v>427</v>
      </c>
      <c r="C44" s="599" t="s">
        <v>223</v>
      </c>
      <c r="D44" s="638"/>
      <c r="E44" s="639"/>
      <c r="F44" s="608"/>
      <c r="G44" s="608"/>
      <c r="H44" s="609"/>
      <c r="I44" s="610"/>
      <c r="J44" s="611"/>
      <c r="K44" s="611"/>
      <c r="L44" s="611"/>
      <c r="M44" s="612"/>
    </row>
    <row r="45" spans="2:13" s="589" customFormat="1" ht="15.75" customHeight="1">
      <c r="B45" s="603" t="s">
        <v>506</v>
      </c>
      <c r="C45" s="631" t="s">
        <v>223</v>
      </c>
      <c r="D45" s="638"/>
      <c r="E45" s="639"/>
      <c r="F45" s="608"/>
      <c r="G45" s="608"/>
      <c r="H45" s="609"/>
      <c r="I45" s="610"/>
      <c r="J45" s="611"/>
      <c r="K45" s="611"/>
      <c r="L45" s="611"/>
      <c r="M45" s="612"/>
    </row>
    <row r="46" spans="2:13" s="589" customFormat="1" ht="15.75" customHeight="1" thickBot="1">
      <c r="B46" s="632" t="s">
        <v>220</v>
      </c>
      <c r="C46" s="633" t="s">
        <v>223</v>
      </c>
      <c r="D46" s="634">
        <f t="shared" ref="D46:M46" si="3">SUM(D42:D45)</f>
        <v>0</v>
      </c>
      <c r="E46" s="635">
        <f t="shared" si="3"/>
        <v>0</v>
      </c>
      <c r="F46" s="635">
        <f t="shared" si="3"/>
        <v>0</v>
      </c>
      <c r="G46" s="635">
        <f t="shared" si="3"/>
        <v>0</v>
      </c>
      <c r="H46" s="636">
        <f t="shared" si="3"/>
        <v>0</v>
      </c>
      <c r="I46" s="637">
        <f t="shared" si="3"/>
        <v>0</v>
      </c>
      <c r="J46" s="635">
        <f t="shared" si="3"/>
        <v>0</v>
      </c>
      <c r="K46" s="635">
        <f t="shared" si="3"/>
        <v>0</v>
      </c>
      <c r="L46" s="635">
        <f t="shared" si="3"/>
        <v>0</v>
      </c>
      <c r="M46" s="636">
        <f t="shared" si="3"/>
        <v>0</v>
      </c>
    </row>
    <row r="47" spans="2:13" s="589" customFormat="1" ht="15.75" customHeight="1"/>
    <row r="48" spans="2:13" s="589" customFormat="1" ht="15.75" customHeight="1">
      <c r="B48" s="590" t="s">
        <v>508</v>
      </c>
      <c r="C48" s="590"/>
      <c r="D48" s="590"/>
      <c r="E48" s="590"/>
      <c r="F48" s="590"/>
      <c r="G48" s="590"/>
      <c r="H48" s="590"/>
      <c r="I48" s="590"/>
      <c r="J48" s="590"/>
      <c r="K48" s="590"/>
      <c r="L48" s="590"/>
    </row>
    <row r="49" spans="2:24" s="589" customFormat="1" ht="15.75" customHeight="1" thickBot="1">
      <c r="B49" s="629"/>
      <c r="C49" s="590"/>
      <c r="D49" s="590"/>
      <c r="E49" s="590"/>
      <c r="F49" s="590"/>
      <c r="G49" s="590"/>
      <c r="H49" s="590"/>
      <c r="I49" s="590"/>
      <c r="J49" s="590"/>
      <c r="K49" s="590"/>
      <c r="L49" s="590"/>
    </row>
    <row r="50" spans="2:24" s="589" customFormat="1" ht="15.75" customHeight="1">
      <c r="B50" s="640"/>
      <c r="C50" s="641" t="s">
        <v>509</v>
      </c>
      <c r="D50" s="642" t="s">
        <v>510</v>
      </c>
      <c r="E50" s="642" t="s">
        <v>511</v>
      </c>
      <c r="F50" s="642" t="s">
        <v>512</v>
      </c>
      <c r="G50" s="642" t="s">
        <v>513</v>
      </c>
      <c r="H50" s="643" t="s">
        <v>514</v>
      </c>
      <c r="I50" s="590"/>
    </row>
    <row r="51" spans="2:24" s="589" customFormat="1" ht="15.75" customHeight="1">
      <c r="B51" s="644" t="s">
        <v>438</v>
      </c>
      <c r="C51" s="645"/>
      <c r="D51" s="646"/>
      <c r="E51" s="647"/>
      <c r="F51" s="646"/>
      <c r="G51" s="646"/>
      <c r="H51" s="648"/>
      <c r="I51" s="590"/>
    </row>
    <row r="52" spans="2:24" s="589" customFormat="1" ht="15.75" customHeight="1">
      <c r="B52" s="644" t="s">
        <v>245</v>
      </c>
      <c r="C52" s="645"/>
      <c r="D52" s="646"/>
      <c r="E52" s="647"/>
      <c r="F52" s="646"/>
      <c r="G52" s="646"/>
      <c r="H52" s="648"/>
      <c r="I52" s="590"/>
    </row>
    <row r="53" spans="2:24" s="589" customFormat="1" ht="15.75" customHeight="1">
      <c r="B53" s="644" t="s">
        <v>427</v>
      </c>
      <c r="C53" s="645"/>
      <c r="D53" s="646"/>
      <c r="E53" s="647"/>
      <c r="F53" s="646"/>
      <c r="G53" s="646"/>
      <c r="H53" s="648"/>
      <c r="I53" s="590"/>
    </row>
    <row r="54" spans="2:24" s="589" customFormat="1" ht="15.75" customHeight="1">
      <c r="B54" s="644" t="s">
        <v>506</v>
      </c>
      <c r="C54" s="645"/>
      <c r="D54" s="646"/>
      <c r="E54" s="647"/>
      <c r="F54" s="646"/>
      <c r="G54" s="646"/>
      <c r="H54" s="648"/>
      <c r="I54" s="590"/>
    </row>
    <row r="55" spans="2:24" s="589" customFormat="1" ht="15.75" customHeight="1" thickBot="1">
      <c r="B55" s="649" t="s">
        <v>220</v>
      </c>
      <c r="C55" s="650">
        <f t="shared" ref="C55:H55" si="4">SUM(C51:C54)</f>
        <v>0</v>
      </c>
      <c r="D55" s="651">
        <f t="shared" si="4"/>
        <v>0</v>
      </c>
      <c r="E55" s="651">
        <f t="shared" si="4"/>
        <v>0</v>
      </c>
      <c r="F55" s="651">
        <f t="shared" si="4"/>
        <v>0</v>
      </c>
      <c r="G55" s="651">
        <f t="shared" si="4"/>
        <v>0</v>
      </c>
      <c r="H55" s="652">
        <f t="shared" si="4"/>
        <v>0</v>
      </c>
      <c r="I55" s="590"/>
    </row>
    <row r="56" spans="2:24" s="589" customFormat="1" ht="15.75" customHeight="1">
      <c r="B56" s="590"/>
      <c r="C56" s="590"/>
      <c r="D56" s="590"/>
      <c r="E56" s="590"/>
      <c r="F56" s="590"/>
      <c r="G56" s="590"/>
      <c r="H56" s="590"/>
      <c r="I56" s="590"/>
    </row>
    <row r="57" spans="2:24" s="589" customFormat="1" ht="15.75" customHeight="1" thickBot="1"/>
    <row r="58" spans="2:24" s="589" customFormat="1" ht="15.75" customHeight="1">
      <c r="B58" s="1299" t="s">
        <v>515</v>
      </c>
      <c r="C58" s="1300"/>
      <c r="D58" s="1300"/>
      <c r="E58" s="1300"/>
      <c r="F58" s="1300"/>
      <c r="G58" s="1300"/>
      <c r="H58" s="1301"/>
      <c r="I58" s="653"/>
      <c r="J58" s="1302" t="s">
        <v>516</v>
      </c>
      <c r="K58" s="1303"/>
      <c r="L58" s="1303"/>
      <c r="M58" s="1303"/>
      <c r="N58" s="1303"/>
      <c r="O58" s="1303"/>
      <c r="P58" s="1304"/>
      <c r="R58" s="1299" t="s">
        <v>212</v>
      </c>
      <c r="S58" s="1300"/>
      <c r="T58" s="1300"/>
      <c r="U58" s="1300"/>
      <c r="V58" s="1300"/>
      <c r="W58" s="1300"/>
      <c r="X58" s="1301"/>
    </row>
    <row r="59" spans="2:24" s="589" customFormat="1" ht="15.75" customHeight="1">
      <c r="B59" s="1305"/>
      <c r="C59" s="654" t="s">
        <v>517</v>
      </c>
      <c r="D59" s="1307" t="s">
        <v>518</v>
      </c>
      <c r="E59" s="1308"/>
      <c r="F59" s="1308"/>
      <c r="G59" s="1308"/>
      <c r="H59" s="1309"/>
      <c r="J59" s="655"/>
      <c r="K59" s="654" t="s">
        <v>517</v>
      </c>
      <c r="L59" s="1307" t="s">
        <v>519</v>
      </c>
      <c r="M59" s="1308"/>
      <c r="N59" s="1308"/>
      <c r="O59" s="1308"/>
      <c r="P59" s="1309"/>
      <c r="R59" s="1305"/>
      <c r="S59" s="1310" t="s">
        <v>517</v>
      </c>
      <c r="T59" s="1292" t="s">
        <v>519</v>
      </c>
      <c r="U59" s="1293"/>
      <c r="V59" s="1293"/>
      <c r="W59" s="1293"/>
      <c r="X59" s="1294"/>
    </row>
    <row r="60" spans="2:24" s="589" customFormat="1" ht="48.75" customHeight="1">
      <c r="B60" s="1306"/>
      <c r="C60" s="656"/>
      <c r="D60" s="657" t="s">
        <v>520</v>
      </c>
      <c r="E60" s="657" t="s">
        <v>521</v>
      </c>
      <c r="F60" s="657" t="s">
        <v>522</v>
      </c>
      <c r="G60" s="658" t="s">
        <v>523</v>
      </c>
      <c r="H60" s="659" t="s">
        <v>524</v>
      </c>
      <c r="I60" s="660"/>
      <c r="J60" s="661"/>
      <c r="K60" s="662"/>
      <c r="L60" s="658" t="s">
        <v>520</v>
      </c>
      <c r="M60" s="658" t="s">
        <v>521</v>
      </c>
      <c r="N60" s="658" t="s">
        <v>522</v>
      </c>
      <c r="O60" s="658" t="s">
        <v>523</v>
      </c>
      <c r="P60" s="659" t="s">
        <v>524</v>
      </c>
      <c r="R60" s="1306"/>
      <c r="S60" s="1311"/>
      <c r="T60" s="658" t="s">
        <v>520</v>
      </c>
      <c r="U60" s="658" t="s">
        <v>521</v>
      </c>
      <c r="V60" s="658" t="s">
        <v>522</v>
      </c>
      <c r="W60" s="658" t="s">
        <v>523</v>
      </c>
      <c r="X60" s="659" t="s">
        <v>524</v>
      </c>
    </row>
    <row r="61" spans="2:24" s="589" customFormat="1" ht="15.75" customHeight="1">
      <c r="B61" s="644" t="s">
        <v>438</v>
      </c>
      <c r="C61" s="645">
        <f>SUM(D61:H61)</f>
        <v>0</v>
      </c>
      <c r="D61" s="663"/>
      <c r="E61" s="663"/>
      <c r="F61" s="663"/>
      <c r="G61" s="647"/>
      <c r="H61" s="664"/>
      <c r="I61" s="660"/>
      <c r="J61" s="665" t="s">
        <v>438</v>
      </c>
      <c r="K61" s="666">
        <f>SUM(L61:P61)</f>
        <v>0</v>
      </c>
      <c r="L61" s="667"/>
      <c r="M61" s="667"/>
      <c r="N61" s="667"/>
      <c r="O61" s="668"/>
      <c r="P61" s="669"/>
      <c r="R61" s="665" t="s">
        <v>438</v>
      </c>
      <c r="S61" s="666">
        <f>SUM(T61:X61)</f>
        <v>0</v>
      </c>
      <c r="T61" s="667"/>
      <c r="U61" s="667"/>
      <c r="V61" s="667"/>
      <c r="W61" s="668"/>
      <c r="X61" s="669"/>
    </row>
    <row r="62" spans="2:24" s="589" customFormat="1" ht="15.75" customHeight="1">
      <c r="B62" s="644" t="s">
        <v>245</v>
      </c>
      <c r="C62" s="666">
        <f>SUM(D62:H62)</f>
        <v>0</v>
      </c>
      <c r="D62" s="663"/>
      <c r="E62" s="663"/>
      <c r="F62" s="663"/>
      <c r="G62" s="647"/>
      <c r="H62" s="664"/>
      <c r="I62" s="660"/>
      <c r="J62" s="644" t="s">
        <v>245</v>
      </c>
      <c r="K62" s="666">
        <f>SUM(L62:P62)</f>
        <v>0</v>
      </c>
      <c r="L62" s="663"/>
      <c r="M62" s="663"/>
      <c r="N62" s="663"/>
      <c r="O62" s="647"/>
      <c r="P62" s="664"/>
      <c r="R62" s="644" t="s">
        <v>245</v>
      </c>
      <c r="S62" s="666">
        <f>SUM(T62:X62)</f>
        <v>0</v>
      </c>
      <c r="T62" s="663"/>
      <c r="U62" s="663"/>
      <c r="V62" s="663"/>
      <c r="W62" s="647"/>
      <c r="X62" s="664"/>
    </row>
    <row r="63" spans="2:24" s="589" customFormat="1" ht="15.75" customHeight="1">
      <c r="B63" s="644" t="s">
        <v>427</v>
      </c>
      <c r="C63" s="666">
        <f>SUM(D63:H63)</f>
        <v>0</v>
      </c>
      <c r="D63" s="663"/>
      <c r="E63" s="663"/>
      <c r="F63" s="663"/>
      <c r="G63" s="647"/>
      <c r="H63" s="664"/>
      <c r="I63" s="660"/>
      <c r="J63" s="644" t="s">
        <v>427</v>
      </c>
      <c r="K63" s="666">
        <f>SUM(L63:P63)</f>
        <v>0</v>
      </c>
      <c r="L63" s="663"/>
      <c r="M63" s="663"/>
      <c r="N63" s="663"/>
      <c r="O63" s="647"/>
      <c r="P63" s="664"/>
      <c r="R63" s="644" t="s">
        <v>427</v>
      </c>
      <c r="S63" s="666">
        <f>SUM(T63:X63)</f>
        <v>0</v>
      </c>
      <c r="T63" s="663"/>
      <c r="U63" s="663"/>
      <c r="V63" s="663"/>
      <c r="W63" s="647"/>
      <c r="X63" s="664"/>
    </row>
    <row r="64" spans="2:24" s="589" customFormat="1" ht="15.75" customHeight="1">
      <c r="B64" s="644" t="s">
        <v>506</v>
      </c>
      <c r="C64" s="666">
        <f>SUM(D64:H64)</f>
        <v>0</v>
      </c>
      <c r="D64" s="663"/>
      <c r="E64" s="663"/>
      <c r="F64" s="663"/>
      <c r="G64" s="647"/>
      <c r="H64" s="664"/>
      <c r="I64" s="660"/>
      <c r="J64" s="644" t="s">
        <v>506</v>
      </c>
      <c r="K64" s="666">
        <f>SUM(L64:P64)</f>
        <v>0</v>
      </c>
      <c r="L64" s="663"/>
      <c r="M64" s="663"/>
      <c r="N64" s="663"/>
      <c r="O64" s="647"/>
      <c r="P64" s="664"/>
      <c r="R64" s="644" t="s">
        <v>506</v>
      </c>
      <c r="S64" s="666">
        <f>SUM(T64:X64)</f>
        <v>0</v>
      </c>
      <c r="T64" s="663"/>
      <c r="U64" s="663"/>
      <c r="V64" s="663"/>
      <c r="W64" s="647"/>
      <c r="X64" s="664"/>
    </row>
    <row r="65" spans="2:24" s="589" customFormat="1" ht="15.75" customHeight="1" thickBot="1">
      <c r="B65" s="649" t="s">
        <v>220</v>
      </c>
      <c r="C65" s="650">
        <f t="shared" ref="C65:H65" si="5">SUM(C61:C64)</f>
        <v>0</v>
      </c>
      <c r="D65" s="651">
        <f t="shared" si="5"/>
        <v>0</v>
      </c>
      <c r="E65" s="651">
        <f t="shared" si="5"/>
        <v>0</v>
      </c>
      <c r="F65" s="651">
        <f t="shared" si="5"/>
        <v>0</v>
      </c>
      <c r="G65" s="651">
        <f t="shared" si="5"/>
        <v>0</v>
      </c>
      <c r="H65" s="652">
        <f t="shared" si="5"/>
        <v>0</v>
      </c>
      <c r="I65" s="660"/>
      <c r="J65" s="649" t="s">
        <v>220</v>
      </c>
      <c r="K65" s="650">
        <f t="shared" ref="K65:P65" si="6">SUM(K61:K64)</f>
        <v>0</v>
      </c>
      <c r="L65" s="651">
        <f t="shared" si="6"/>
        <v>0</v>
      </c>
      <c r="M65" s="651">
        <f t="shared" si="6"/>
        <v>0</v>
      </c>
      <c r="N65" s="651">
        <f t="shared" si="6"/>
        <v>0</v>
      </c>
      <c r="O65" s="651">
        <f t="shared" si="6"/>
        <v>0</v>
      </c>
      <c r="P65" s="652">
        <f t="shared" si="6"/>
        <v>0</v>
      </c>
      <c r="R65" s="649" t="s">
        <v>220</v>
      </c>
      <c r="S65" s="650">
        <f t="shared" ref="S65:X65" si="7">SUM(S61:S64)</f>
        <v>0</v>
      </c>
      <c r="T65" s="651">
        <f t="shared" si="7"/>
        <v>0</v>
      </c>
      <c r="U65" s="651">
        <f t="shared" si="7"/>
        <v>0</v>
      </c>
      <c r="V65" s="651">
        <f t="shared" si="7"/>
        <v>0</v>
      </c>
      <c r="W65" s="651">
        <f t="shared" si="7"/>
        <v>0</v>
      </c>
      <c r="X65" s="652">
        <f t="shared" si="7"/>
        <v>0</v>
      </c>
    </row>
    <row r="66" spans="2:24" s="589" customFormat="1" ht="15.75" customHeight="1" thickBot="1">
      <c r="B66" s="670"/>
      <c r="C66" s="671"/>
      <c r="D66" s="671"/>
      <c r="E66" s="671"/>
      <c r="F66" s="671"/>
      <c r="G66" s="671"/>
      <c r="H66" s="671"/>
      <c r="I66" s="660"/>
      <c r="J66" s="670"/>
      <c r="K66" s="671"/>
      <c r="L66" s="671"/>
      <c r="M66" s="671"/>
      <c r="N66" s="671"/>
      <c r="O66" s="671"/>
      <c r="P66" s="671"/>
      <c r="R66" s="670"/>
      <c r="S66" s="671"/>
      <c r="T66" s="671"/>
      <c r="U66" s="671"/>
      <c r="V66" s="671"/>
      <c r="W66" s="671"/>
      <c r="X66" s="671"/>
    </row>
    <row r="67" spans="2:24" s="589" customFormat="1" ht="15.75" customHeight="1">
      <c r="B67" s="1299" t="s">
        <v>515</v>
      </c>
      <c r="C67" s="1300"/>
      <c r="D67" s="1300"/>
      <c r="E67" s="1300"/>
      <c r="F67" s="1300"/>
      <c r="G67" s="1300"/>
      <c r="H67" s="1301"/>
      <c r="I67" s="653"/>
      <c r="J67" s="1299" t="s">
        <v>516</v>
      </c>
      <c r="K67" s="1300"/>
      <c r="L67" s="1300"/>
      <c r="M67" s="1300"/>
      <c r="N67" s="1300"/>
      <c r="O67" s="1300"/>
      <c r="P67" s="1301"/>
      <c r="R67" s="1299" t="s">
        <v>212</v>
      </c>
      <c r="S67" s="1300"/>
      <c r="T67" s="1300"/>
      <c r="U67" s="1300"/>
      <c r="V67" s="1300"/>
      <c r="W67" s="1300"/>
      <c r="X67" s="1301"/>
    </row>
    <row r="68" spans="2:24" s="589" customFormat="1" ht="15.75" customHeight="1">
      <c r="B68" s="1305"/>
      <c r="C68" s="1310" t="s">
        <v>525</v>
      </c>
      <c r="D68" s="1292" t="s">
        <v>518</v>
      </c>
      <c r="E68" s="1293"/>
      <c r="F68" s="1293"/>
      <c r="G68" s="1293"/>
      <c r="H68" s="1294"/>
      <c r="J68" s="1305"/>
      <c r="K68" s="1310" t="s">
        <v>525</v>
      </c>
      <c r="L68" s="672" t="s">
        <v>519</v>
      </c>
      <c r="M68" s="673"/>
      <c r="N68" s="673"/>
      <c r="O68" s="673"/>
      <c r="P68" s="674"/>
      <c r="R68" s="1305"/>
      <c r="S68" s="1310" t="s">
        <v>525</v>
      </c>
      <c r="T68" s="1292" t="s">
        <v>519</v>
      </c>
      <c r="U68" s="1293"/>
      <c r="V68" s="1293"/>
      <c r="W68" s="1293"/>
      <c r="X68" s="1294"/>
    </row>
    <row r="69" spans="2:24" s="589" customFormat="1" ht="30" customHeight="1">
      <c r="B69" s="1306"/>
      <c r="C69" s="1311"/>
      <c r="D69" s="658" t="s">
        <v>520</v>
      </c>
      <c r="E69" s="658" t="s">
        <v>521</v>
      </c>
      <c r="F69" s="658" t="s">
        <v>522</v>
      </c>
      <c r="G69" s="658" t="s">
        <v>523</v>
      </c>
      <c r="H69" s="675" t="s">
        <v>524</v>
      </c>
      <c r="I69" s="660"/>
      <c r="J69" s="1306"/>
      <c r="K69" s="1311"/>
      <c r="L69" s="676" t="s">
        <v>520</v>
      </c>
      <c r="M69" s="676" t="s">
        <v>521</v>
      </c>
      <c r="N69" s="676" t="s">
        <v>522</v>
      </c>
      <c r="O69" s="676" t="s">
        <v>523</v>
      </c>
      <c r="P69" s="675" t="s">
        <v>524</v>
      </c>
      <c r="R69" s="1306"/>
      <c r="S69" s="1311"/>
      <c r="T69" s="658" t="s">
        <v>520</v>
      </c>
      <c r="U69" s="658" t="s">
        <v>521</v>
      </c>
      <c r="V69" s="658" t="s">
        <v>522</v>
      </c>
      <c r="W69" s="658" t="s">
        <v>523</v>
      </c>
      <c r="X69" s="675" t="s">
        <v>524</v>
      </c>
    </row>
    <row r="70" spans="2:24" s="589" customFormat="1" ht="15.75" customHeight="1">
      <c r="B70" s="677" t="s">
        <v>438</v>
      </c>
      <c r="C70" s="667"/>
      <c r="D70" s="667"/>
      <c r="E70" s="667"/>
      <c r="F70" s="667"/>
      <c r="G70" s="668"/>
      <c r="H70" s="678"/>
      <c r="I70" s="660"/>
      <c r="J70" s="665" t="s">
        <v>438</v>
      </c>
      <c r="K70" s="679"/>
      <c r="L70" s="667"/>
      <c r="M70" s="667"/>
      <c r="N70" s="667"/>
      <c r="O70" s="668"/>
      <c r="P70" s="680"/>
      <c r="R70" s="665" t="s">
        <v>438</v>
      </c>
      <c r="S70" s="679"/>
      <c r="T70" s="667"/>
      <c r="U70" s="667"/>
      <c r="V70" s="667"/>
      <c r="W70" s="668"/>
      <c r="X70" s="680"/>
    </row>
    <row r="71" spans="2:24" s="589" customFormat="1" ht="15.75" customHeight="1">
      <c r="B71" s="681" t="s">
        <v>245</v>
      </c>
      <c r="C71" s="663"/>
      <c r="D71" s="663"/>
      <c r="E71" s="663"/>
      <c r="F71" s="663"/>
      <c r="G71" s="647"/>
      <c r="H71" s="682"/>
      <c r="I71" s="660"/>
      <c r="J71" s="644" t="s">
        <v>245</v>
      </c>
      <c r="K71" s="683"/>
      <c r="L71" s="663"/>
      <c r="M71" s="663"/>
      <c r="N71" s="663"/>
      <c r="O71" s="647"/>
      <c r="P71" s="684"/>
      <c r="R71" s="644" t="s">
        <v>245</v>
      </c>
      <c r="S71" s="683"/>
      <c r="T71" s="663"/>
      <c r="U71" s="663"/>
      <c r="V71" s="663"/>
      <c r="W71" s="647"/>
      <c r="X71" s="684"/>
    </row>
    <row r="72" spans="2:24" s="589" customFormat="1" ht="15.75" customHeight="1">
      <c r="B72" s="681" t="s">
        <v>427</v>
      </c>
      <c r="C72" s="663"/>
      <c r="D72" s="663"/>
      <c r="E72" s="663"/>
      <c r="F72" s="663"/>
      <c r="G72" s="647"/>
      <c r="H72" s="682"/>
      <c r="I72" s="660"/>
      <c r="J72" s="644" t="s">
        <v>427</v>
      </c>
      <c r="K72" s="683"/>
      <c r="L72" s="663"/>
      <c r="M72" s="663"/>
      <c r="N72" s="663"/>
      <c r="O72" s="647"/>
      <c r="P72" s="684"/>
      <c r="R72" s="644" t="s">
        <v>427</v>
      </c>
      <c r="S72" s="683"/>
      <c r="T72" s="663"/>
      <c r="U72" s="663"/>
      <c r="V72" s="663"/>
      <c r="W72" s="647"/>
      <c r="X72" s="684"/>
    </row>
    <row r="73" spans="2:24" s="589" customFormat="1" ht="15.75" customHeight="1">
      <c r="B73" s="681" t="s">
        <v>506</v>
      </c>
      <c r="C73" s="663"/>
      <c r="D73" s="663"/>
      <c r="E73" s="663"/>
      <c r="F73" s="663"/>
      <c r="G73" s="647"/>
      <c r="H73" s="682"/>
      <c r="I73" s="660"/>
      <c r="J73" s="644" t="s">
        <v>506</v>
      </c>
      <c r="K73" s="683"/>
      <c r="L73" s="663"/>
      <c r="M73" s="663"/>
      <c r="N73" s="663"/>
      <c r="O73" s="647"/>
      <c r="P73" s="684"/>
      <c r="R73" s="644" t="s">
        <v>506</v>
      </c>
      <c r="S73" s="683"/>
      <c r="T73" s="663"/>
      <c r="U73" s="663"/>
      <c r="V73" s="663"/>
      <c r="W73" s="647"/>
      <c r="X73" s="684"/>
    </row>
    <row r="74" spans="2:24" s="589" customFormat="1" ht="15.75" customHeight="1" thickBot="1">
      <c r="B74" s="685" t="s">
        <v>220</v>
      </c>
      <c r="C74" s="686">
        <f t="shared" ref="C74:H74" si="8">SUM(C70:C73)</f>
        <v>0</v>
      </c>
      <c r="D74" s="651">
        <f t="shared" si="8"/>
        <v>0</v>
      </c>
      <c r="E74" s="651">
        <f t="shared" si="8"/>
        <v>0</v>
      </c>
      <c r="F74" s="651">
        <f t="shared" si="8"/>
        <v>0</v>
      </c>
      <c r="G74" s="651">
        <f t="shared" si="8"/>
        <v>0</v>
      </c>
      <c r="H74" s="687">
        <f t="shared" si="8"/>
        <v>0</v>
      </c>
      <c r="I74" s="660"/>
      <c r="J74" s="649" t="s">
        <v>220</v>
      </c>
      <c r="K74" s="650">
        <f t="shared" ref="K74:P74" si="9">SUM(K70:K73)</f>
        <v>0</v>
      </c>
      <c r="L74" s="651">
        <f t="shared" si="9"/>
        <v>0</v>
      </c>
      <c r="M74" s="651">
        <f t="shared" si="9"/>
        <v>0</v>
      </c>
      <c r="N74" s="651">
        <f t="shared" si="9"/>
        <v>0</v>
      </c>
      <c r="O74" s="651">
        <f t="shared" si="9"/>
        <v>0</v>
      </c>
      <c r="P74" s="687">
        <f t="shared" si="9"/>
        <v>0</v>
      </c>
      <c r="R74" s="649" t="s">
        <v>220</v>
      </c>
      <c r="S74" s="650">
        <f t="shared" ref="S74:X74" si="10">SUM(S70:S73)</f>
        <v>0</v>
      </c>
      <c r="T74" s="651">
        <f t="shared" si="10"/>
        <v>0</v>
      </c>
      <c r="U74" s="651">
        <f t="shared" si="10"/>
        <v>0</v>
      </c>
      <c r="V74" s="651">
        <f t="shared" si="10"/>
        <v>0</v>
      </c>
      <c r="W74" s="651">
        <f t="shared" si="10"/>
        <v>0</v>
      </c>
      <c r="X74" s="687">
        <f t="shared" si="10"/>
        <v>0</v>
      </c>
    </row>
    <row r="75" spans="2:24" s="589" customFormat="1" ht="15.75" customHeight="1" thickBot="1">
      <c r="B75" s="670"/>
      <c r="C75" s="671"/>
      <c r="D75" s="671"/>
      <c r="E75" s="671"/>
      <c r="F75" s="671"/>
      <c r="G75" s="671"/>
      <c r="H75" s="671"/>
      <c r="I75" s="660"/>
      <c r="J75" s="688"/>
      <c r="K75" s="689"/>
      <c r="L75" s="689"/>
      <c r="M75" s="689"/>
      <c r="N75" s="689"/>
      <c r="O75" s="689"/>
      <c r="P75" s="689"/>
      <c r="R75" s="670"/>
      <c r="S75" s="671"/>
      <c r="T75" s="671"/>
      <c r="U75" s="671"/>
      <c r="V75" s="671"/>
      <c r="W75" s="671"/>
      <c r="X75" s="671"/>
    </row>
    <row r="76" spans="2:24" s="589" customFormat="1" ht="15.75" customHeight="1">
      <c r="B76" s="1299" t="s">
        <v>515</v>
      </c>
      <c r="C76" s="1300"/>
      <c r="D76" s="1300"/>
      <c r="E76" s="1300"/>
      <c r="F76" s="1300"/>
      <c r="G76" s="1300"/>
      <c r="H76" s="1301"/>
      <c r="J76" s="1299" t="s">
        <v>516</v>
      </c>
      <c r="K76" s="1300"/>
      <c r="L76" s="1300"/>
      <c r="M76" s="1300"/>
      <c r="N76" s="1300"/>
      <c r="O76" s="1300"/>
      <c r="P76" s="1301"/>
      <c r="R76" s="1299" t="s">
        <v>212</v>
      </c>
      <c r="S76" s="1300"/>
      <c r="T76" s="1300"/>
      <c r="U76" s="1300"/>
      <c r="V76" s="1300"/>
      <c r="W76" s="1300"/>
      <c r="X76" s="1301"/>
    </row>
    <row r="77" spans="2:24" s="589" customFormat="1" ht="15.75" customHeight="1">
      <c r="B77" s="1305"/>
      <c r="C77" s="1310" t="s">
        <v>526</v>
      </c>
      <c r="D77" s="1292" t="s">
        <v>527</v>
      </c>
      <c r="E77" s="1293"/>
      <c r="F77" s="1293"/>
      <c r="G77" s="1293"/>
      <c r="H77" s="1294"/>
      <c r="J77" s="1305"/>
      <c r="K77" s="1310" t="s">
        <v>526</v>
      </c>
      <c r="L77" s="672" t="s">
        <v>528</v>
      </c>
      <c r="M77" s="673"/>
      <c r="N77" s="673"/>
      <c r="O77" s="673"/>
      <c r="P77" s="674"/>
      <c r="R77" s="1305"/>
      <c r="S77" s="1310" t="s">
        <v>526</v>
      </c>
      <c r="T77" s="1292" t="s">
        <v>528</v>
      </c>
      <c r="U77" s="1293"/>
      <c r="V77" s="1293"/>
      <c r="W77" s="1293"/>
      <c r="X77" s="1294"/>
    </row>
    <row r="78" spans="2:24" s="589" customFormat="1" ht="30" customHeight="1">
      <c r="B78" s="1306"/>
      <c r="C78" s="1311"/>
      <c r="D78" s="658" t="s">
        <v>520</v>
      </c>
      <c r="E78" s="658" t="s">
        <v>521</v>
      </c>
      <c r="F78" s="658" t="s">
        <v>522</v>
      </c>
      <c r="G78" s="658" t="s">
        <v>523</v>
      </c>
      <c r="H78" s="675" t="s">
        <v>524</v>
      </c>
      <c r="J78" s="1306"/>
      <c r="K78" s="1311"/>
      <c r="L78" s="676" t="s">
        <v>520</v>
      </c>
      <c r="M78" s="676" t="s">
        <v>521</v>
      </c>
      <c r="N78" s="676" t="s">
        <v>522</v>
      </c>
      <c r="O78" s="676" t="s">
        <v>523</v>
      </c>
      <c r="P78" s="675" t="s">
        <v>524</v>
      </c>
      <c r="R78" s="1306"/>
      <c r="S78" s="1311"/>
      <c r="T78" s="658" t="s">
        <v>520</v>
      </c>
      <c r="U78" s="658" t="s">
        <v>521</v>
      </c>
      <c r="V78" s="658" t="s">
        <v>522</v>
      </c>
      <c r="W78" s="658" t="s">
        <v>523</v>
      </c>
      <c r="X78" s="675" t="s">
        <v>524</v>
      </c>
    </row>
    <row r="79" spans="2:24" s="589" customFormat="1" ht="15.75" customHeight="1">
      <c r="B79" s="665" t="s">
        <v>438</v>
      </c>
      <c r="C79" s="690">
        <f>SUM(D33:F33)</f>
        <v>0</v>
      </c>
      <c r="D79" s="691"/>
      <c r="E79" s="691"/>
      <c r="F79" s="691"/>
      <c r="G79" s="611"/>
      <c r="H79" s="692"/>
      <c r="J79" s="665" t="s">
        <v>438</v>
      </c>
      <c r="K79" s="690">
        <f>SUM(G33:H33)</f>
        <v>0</v>
      </c>
      <c r="L79" s="691"/>
      <c r="M79" s="691"/>
      <c r="N79" s="691"/>
      <c r="O79" s="693"/>
      <c r="P79" s="694"/>
      <c r="R79" s="665" t="s">
        <v>438</v>
      </c>
      <c r="S79" s="690">
        <f>SUM(I33:M33)</f>
        <v>0</v>
      </c>
      <c r="T79" s="691"/>
      <c r="U79" s="691"/>
      <c r="V79" s="691"/>
      <c r="W79" s="693"/>
      <c r="X79" s="694"/>
    </row>
    <row r="80" spans="2:24" s="589" customFormat="1" ht="15.75" customHeight="1">
      <c r="B80" s="644" t="s">
        <v>245</v>
      </c>
      <c r="C80" s="690">
        <f>SUM(D34:F34)</f>
        <v>0</v>
      </c>
      <c r="D80" s="608"/>
      <c r="E80" s="608"/>
      <c r="F80" s="608"/>
      <c r="G80" s="611"/>
      <c r="H80" s="692"/>
      <c r="J80" s="644" t="s">
        <v>245</v>
      </c>
      <c r="K80" s="690">
        <f>SUM(G34:H34)</f>
        <v>0</v>
      </c>
      <c r="L80" s="608"/>
      <c r="M80" s="608"/>
      <c r="N80" s="608"/>
      <c r="O80" s="611"/>
      <c r="P80" s="692"/>
      <c r="R80" s="644" t="s">
        <v>245</v>
      </c>
      <c r="S80" s="690">
        <f>SUM(I34:M34)</f>
        <v>0</v>
      </c>
      <c r="T80" s="608"/>
      <c r="U80" s="608"/>
      <c r="V80" s="608"/>
      <c r="W80" s="611"/>
      <c r="X80" s="692"/>
    </row>
    <row r="81" spans="2:24" s="589" customFormat="1" ht="15.75" customHeight="1">
      <c r="B81" s="644" t="s">
        <v>427</v>
      </c>
      <c r="C81" s="690">
        <f>SUM(D35:F35)</f>
        <v>0</v>
      </c>
      <c r="D81" s="608"/>
      <c r="E81" s="608"/>
      <c r="F81" s="608"/>
      <c r="G81" s="611"/>
      <c r="H81" s="692"/>
      <c r="J81" s="644" t="s">
        <v>427</v>
      </c>
      <c r="K81" s="690">
        <f>SUM(G35:H35)</f>
        <v>0</v>
      </c>
      <c r="L81" s="608"/>
      <c r="M81" s="608"/>
      <c r="N81" s="608"/>
      <c r="O81" s="611"/>
      <c r="P81" s="692"/>
      <c r="R81" s="644" t="s">
        <v>427</v>
      </c>
      <c r="S81" s="690">
        <f>SUM(I35:M35)</f>
        <v>0</v>
      </c>
      <c r="T81" s="608"/>
      <c r="U81" s="608"/>
      <c r="V81" s="608"/>
      <c r="W81" s="611"/>
      <c r="X81" s="692"/>
    </row>
    <row r="82" spans="2:24" s="589" customFormat="1" ht="15.75" customHeight="1">
      <c r="B82" s="644" t="s">
        <v>506</v>
      </c>
      <c r="C82" s="690">
        <f>SUM(D36:F36)</f>
        <v>0</v>
      </c>
      <c r="D82" s="608"/>
      <c r="E82" s="608"/>
      <c r="F82" s="608"/>
      <c r="G82" s="611"/>
      <c r="H82" s="692"/>
      <c r="J82" s="644" t="s">
        <v>506</v>
      </c>
      <c r="K82" s="690">
        <f>SUM(G36:H36)</f>
        <v>0</v>
      </c>
      <c r="L82" s="608"/>
      <c r="M82" s="608"/>
      <c r="N82" s="608"/>
      <c r="O82" s="611"/>
      <c r="P82" s="692"/>
      <c r="R82" s="644" t="s">
        <v>506</v>
      </c>
      <c r="S82" s="690">
        <f>SUM(I36:M36)</f>
        <v>0</v>
      </c>
      <c r="T82" s="608"/>
      <c r="U82" s="608"/>
      <c r="V82" s="608"/>
      <c r="W82" s="611"/>
      <c r="X82" s="692"/>
    </row>
    <row r="83" spans="2:24" s="589" customFormat="1" ht="15.75" customHeight="1" thickBot="1">
      <c r="B83" s="649" t="s">
        <v>220</v>
      </c>
      <c r="C83" s="695">
        <f t="shared" ref="C83:H83" si="11">SUM(C79:C82)</f>
        <v>0</v>
      </c>
      <c r="D83" s="696">
        <f t="shared" si="11"/>
        <v>0</v>
      </c>
      <c r="E83" s="696">
        <f t="shared" si="11"/>
        <v>0</v>
      </c>
      <c r="F83" s="696">
        <f t="shared" si="11"/>
        <v>0</v>
      </c>
      <c r="G83" s="696">
        <f t="shared" si="11"/>
        <v>0</v>
      </c>
      <c r="H83" s="687">
        <f t="shared" si="11"/>
        <v>0</v>
      </c>
      <c r="J83" s="649" t="s">
        <v>220</v>
      </c>
      <c r="K83" s="695">
        <f t="shared" ref="K83:P83" si="12">SUM(K79:K82)</f>
        <v>0</v>
      </c>
      <c r="L83" s="696">
        <f t="shared" si="12"/>
        <v>0</v>
      </c>
      <c r="M83" s="696">
        <f t="shared" si="12"/>
        <v>0</v>
      </c>
      <c r="N83" s="696">
        <f t="shared" si="12"/>
        <v>0</v>
      </c>
      <c r="O83" s="696">
        <f t="shared" si="12"/>
        <v>0</v>
      </c>
      <c r="P83" s="687">
        <f t="shared" si="12"/>
        <v>0</v>
      </c>
      <c r="R83" s="649" t="s">
        <v>220</v>
      </c>
      <c r="S83" s="695">
        <f t="shared" ref="S83:X83" si="13">SUM(S79:S82)</f>
        <v>0</v>
      </c>
      <c r="T83" s="696">
        <f t="shared" si="13"/>
        <v>0</v>
      </c>
      <c r="U83" s="696">
        <f t="shared" si="13"/>
        <v>0</v>
      </c>
      <c r="V83" s="696">
        <f t="shared" si="13"/>
        <v>0</v>
      </c>
      <c r="W83" s="696">
        <f t="shared" si="13"/>
        <v>0</v>
      </c>
      <c r="X83" s="687">
        <f t="shared" si="13"/>
        <v>0</v>
      </c>
    </row>
    <row r="84" spans="2:24" s="589" customFormat="1" ht="15.75" customHeight="1" thickBot="1">
      <c r="J84" s="697"/>
      <c r="K84" s="697"/>
      <c r="L84" s="697"/>
      <c r="M84" s="697"/>
      <c r="N84" s="697"/>
      <c r="O84" s="697"/>
      <c r="P84" s="697"/>
    </row>
    <row r="85" spans="2:24" s="589" customFormat="1" ht="15.75" customHeight="1">
      <c r="B85" s="1299" t="s">
        <v>515</v>
      </c>
      <c r="C85" s="1300"/>
      <c r="D85" s="1300"/>
      <c r="E85" s="1300"/>
      <c r="F85" s="1300"/>
      <c r="G85" s="1300"/>
      <c r="H85" s="1301"/>
      <c r="J85" s="1299" t="s">
        <v>516</v>
      </c>
      <c r="K85" s="1300"/>
      <c r="L85" s="1300"/>
      <c r="M85" s="1300"/>
      <c r="N85" s="1300"/>
      <c r="O85" s="1300"/>
      <c r="P85" s="1301"/>
      <c r="R85" s="1299" t="s">
        <v>212</v>
      </c>
      <c r="S85" s="1300"/>
      <c r="T85" s="1300"/>
      <c r="U85" s="1300"/>
      <c r="V85" s="1300"/>
      <c r="W85" s="1300"/>
      <c r="X85" s="1301"/>
    </row>
    <row r="86" spans="2:24" s="589" customFormat="1" ht="15.75" customHeight="1">
      <c r="B86" s="1305"/>
      <c r="C86" s="1310" t="s">
        <v>529</v>
      </c>
      <c r="D86" s="1292" t="s">
        <v>530</v>
      </c>
      <c r="E86" s="1293"/>
      <c r="F86" s="1293"/>
      <c r="G86" s="1293"/>
      <c r="H86" s="1294"/>
      <c r="J86" s="1305"/>
      <c r="K86" s="1310" t="s">
        <v>529</v>
      </c>
      <c r="L86" s="672" t="s">
        <v>531</v>
      </c>
      <c r="M86" s="673"/>
      <c r="N86" s="673"/>
      <c r="O86" s="673"/>
      <c r="P86" s="674"/>
      <c r="R86" s="1305"/>
      <c r="S86" s="1310" t="s">
        <v>529</v>
      </c>
      <c r="T86" s="1292" t="s">
        <v>531</v>
      </c>
      <c r="U86" s="1293"/>
      <c r="V86" s="1293"/>
      <c r="W86" s="1293"/>
      <c r="X86" s="1294"/>
    </row>
    <row r="87" spans="2:24" s="589" customFormat="1" ht="30" customHeight="1" thickBot="1">
      <c r="B87" s="1306"/>
      <c r="C87" s="1311"/>
      <c r="D87" s="658" t="s">
        <v>520</v>
      </c>
      <c r="E87" s="658" t="s">
        <v>521</v>
      </c>
      <c r="F87" s="658" t="s">
        <v>522</v>
      </c>
      <c r="G87" s="658" t="s">
        <v>523</v>
      </c>
      <c r="H87" s="698" t="s">
        <v>524</v>
      </c>
      <c r="J87" s="1306"/>
      <c r="K87" s="1311"/>
      <c r="L87" s="676" t="s">
        <v>520</v>
      </c>
      <c r="M87" s="676" t="s">
        <v>521</v>
      </c>
      <c r="N87" s="676" t="s">
        <v>522</v>
      </c>
      <c r="O87" s="676" t="s">
        <v>523</v>
      </c>
      <c r="P87" s="675"/>
      <c r="R87" s="1306"/>
      <c r="S87" s="1311"/>
      <c r="T87" s="658" t="s">
        <v>520</v>
      </c>
      <c r="U87" s="658" t="s">
        <v>521</v>
      </c>
      <c r="V87" s="658" t="s">
        <v>522</v>
      </c>
      <c r="W87" s="658" t="s">
        <v>523</v>
      </c>
      <c r="X87" s="675"/>
    </row>
    <row r="88" spans="2:24" s="589" customFormat="1" ht="15.75" customHeight="1">
      <c r="B88" s="665" t="s">
        <v>438</v>
      </c>
      <c r="C88" s="690">
        <f t="shared" ref="C88:G91" si="14">IF(C70&gt;0,C79*1000/C70,0)</f>
        <v>0</v>
      </c>
      <c r="D88" s="699">
        <f t="shared" si="14"/>
        <v>0</v>
      </c>
      <c r="E88" s="699">
        <f t="shared" si="14"/>
        <v>0</v>
      </c>
      <c r="F88" s="699">
        <f t="shared" si="14"/>
        <v>0</v>
      </c>
      <c r="G88" s="699">
        <f t="shared" si="14"/>
        <v>0</v>
      </c>
      <c r="H88" s="700"/>
      <c r="J88" s="665" t="s">
        <v>438</v>
      </c>
      <c r="K88" s="690">
        <f t="shared" ref="K88:O91" si="15">IF(K70&gt;0,K79*1000/K70,0)</f>
        <v>0</v>
      </c>
      <c r="L88" s="699">
        <f t="shared" si="15"/>
        <v>0</v>
      </c>
      <c r="M88" s="699">
        <f t="shared" si="15"/>
        <v>0</v>
      </c>
      <c r="N88" s="699">
        <f t="shared" si="15"/>
        <v>0</v>
      </c>
      <c r="O88" s="699">
        <f t="shared" si="15"/>
        <v>0</v>
      </c>
      <c r="P88" s="694"/>
      <c r="R88" s="665" t="s">
        <v>438</v>
      </c>
      <c r="S88" s="690">
        <f t="shared" ref="S88:W91" si="16">IF(S70&gt;0,S79*1000/S70,0)</f>
        <v>0</v>
      </c>
      <c r="T88" s="699">
        <f t="shared" si="16"/>
        <v>0</v>
      </c>
      <c r="U88" s="699">
        <f t="shared" si="16"/>
        <v>0</v>
      </c>
      <c r="V88" s="699">
        <f t="shared" si="16"/>
        <v>0</v>
      </c>
      <c r="W88" s="699">
        <f t="shared" si="16"/>
        <v>0</v>
      </c>
      <c r="X88" s="694"/>
    </row>
    <row r="89" spans="2:24" s="589" customFormat="1" ht="15.75" customHeight="1">
      <c r="B89" s="644" t="s">
        <v>245</v>
      </c>
      <c r="C89" s="701">
        <f t="shared" si="14"/>
        <v>0</v>
      </c>
      <c r="D89" s="702">
        <f t="shared" si="14"/>
        <v>0</v>
      </c>
      <c r="E89" s="702">
        <f t="shared" si="14"/>
        <v>0</v>
      </c>
      <c r="F89" s="702">
        <f t="shared" si="14"/>
        <v>0</v>
      </c>
      <c r="G89" s="702">
        <f t="shared" si="14"/>
        <v>0</v>
      </c>
      <c r="H89" s="692"/>
      <c r="J89" s="644" t="s">
        <v>245</v>
      </c>
      <c r="K89" s="701">
        <f t="shared" si="15"/>
        <v>0</v>
      </c>
      <c r="L89" s="702">
        <f t="shared" si="15"/>
        <v>0</v>
      </c>
      <c r="M89" s="702">
        <f t="shared" si="15"/>
        <v>0</v>
      </c>
      <c r="N89" s="702">
        <f t="shared" si="15"/>
        <v>0</v>
      </c>
      <c r="O89" s="702">
        <f t="shared" si="15"/>
        <v>0</v>
      </c>
      <c r="P89" s="692"/>
      <c r="R89" s="644" t="s">
        <v>245</v>
      </c>
      <c r="S89" s="701">
        <f t="shared" si="16"/>
        <v>0</v>
      </c>
      <c r="T89" s="702">
        <f t="shared" si="16"/>
        <v>0</v>
      </c>
      <c r="U89" s="702">
        <f t="shared" si="16"/>
        <v>0</v>
      </c>
      <c r="V89" s="702">
        <f t="shared" si="16"/>
        <v>0</v>
      </c>
      <c r="W89" s="702">
        <f t="shared" si="16"/>
        <v>0</v>
      </c>
      <c r="X89" s="692"/>
    </row>
    <row r="90" spans="2:24" s="589" customFormat="1" ht="15.75" customHeight="1">
      <c r="B90" s="644" t="s">
        <v>427</v>
      </c>
      <c r="C90" s="701">
        <f t="shared" si="14"/>
        <v>0</v>
      </c>
      <c r="D90" s="702">
        <f t="shared" si="14"/>
        <v>0</v>
      </c>
      <c r="E90" s="702">
        <f t="shared" si="14"/>
        <v>0</v>
      </c>
      <c r="F90" s="702">
        <f t="shared" si="14"/>
        <v>0</v>
      </c>
      <c r="G90" s="702">
        <f t="shared" si="14"/>
        <v>0</v>
      </c>
      <c r="H90" s="692"/>
      <c r="J90" s="644" t="s">
        <v>427</v>
      </c>
      <c r="K90" s="701">
        <f t="shared" si="15"/>
        <v>0</v>
      </c>
      <c r="L90" s="702">
        <f t="shared" si="15"/>
        <v>0</v>
      </c>
      <c r="M90" s="702">
        <f t="shared" si="15"/>
        <v>0</v>
      </c>
      <c r="N90" s="702">
        <f t="shared" si="15"/>
        <v>0</v>
      </c>
      <c r="O90" s="702">
        <f t="shared" si="15"/>
        <v>0</v>
      </c>
      <c r="P90" s="692"/>
      <c r="R90" s="644" t="s">
        <v>427</v>
      </c>
      <c r="S90" s="701">
        <f t="shared" si="16"/>
        <v>0</v>
      </c>
      <c r="T90" s="702">
        <f t="shared" si="16"/>
        <v>0</v>
      </c>
      <c r="U90" s="702">
        <f t="shared" si="16"/>
        <v>0</v>
      </c>
      <c r="V90" s="702">
        <f t="shared" si="16"/>
        <v>0</v>
      </c>
      <c r="W90" s="702">
        <f t="shared" si="16"/>
        <v>0</v>
      </c>
      <c r="X90" s="692"/>
    </row>
    <row r="91" spans="2:24" s="589" customFormat="1" ht="15.75" customHeight="1" thickBot="1">
      <c r="B91" s="703" t="s">
        <v>506</v>
      </c>
      <c r="C91" s="704">
        <f t="shared" si="14"/>
        <v>0</v>
      </c>
      <c r="D91" s="705">
        <f t="shared" si="14"/>
        <v>0</v>
      </c>
      <c r="E91" s="705">
        <f t="shared" si="14"/>
        <v>0</v>
      </c>
      <c r="F91" s="705">
        <f t="shared" si="14"/>
        <v>0</v>
      </c>
      <c r="G91" s="705">
        <f t="shared" si="14"/>
        <v>0</v>
      </c>
      <c r="H91" s="706"/>
      <c r="J91" s="703" t="s">
        <v>506</v>
      </c>
      <c r="K91" s="704">
        <f t="shared" si="15"/>
        <v>0</v>
      </c>
      <c r="L91" s="705">
        <f t="shared" si="15"/>
        <v>0</v>
      </c>
      <c r="M91" s="705">
        <f t="shared" si="15"/>
        <v>0</v>
      </c>
      <c r="N91" s="705">
        <f t="shared" si="15"/>
        <v>0</v>
      </c>
      <c r="O91" s="705">
        <f t="shared" si="15"/>
        <v>0</v>
      </c>
      <c r="P91" s="706"/>
      <c r="R91" s="703" t="s">
        <v>506</v>
      </c>
      <c r="S91" s="704">
        <f t="shared" si="16"/>
        <v>0</v>
      </c>
      <c r="T91" s="705">
        <f t="shared" si="16"/>
        <v>0</v>
      </c>
      <c r="U91" s="705">
        <f t="shared" si="16"/>
        <v>0</v>
      </c>
      <c r="V91" s="705">
        <f t="shared" si="16"/>
        <v>0</v>
      </c>
      <c r="W91" s="705">
        <f t="shared" si="16"/>
        <v>0</v>
      </c>
      <c r="X91" s="706"/>
    </row>
    <row r="92" spans="2:24" s="589" customFormat="1" ht="15.75" customHeight="1"/>
    <row r="93" spans="2:24" s="589" customFormat="1" ht="15.75" customHeight="1"/>
    <row r="94" spans="2:24" s="589" customFormat="1" ht="15.75" customHeight="1">
      <c r="B94" s="590" t="s">
        <v>532</v>
      </c>
    </row>
    <row r="95" spans="2:24" s="589" customFormat="1" ht="15.75" customHeight="1" thickBot="1"/>
    <row r="96" spans="2:24" s="589" customFormat="1" ht="42" customHeight="1">
      <c r="B96" s="707"/>
      <c r="C96" s="641" t="s">
        <v>509</v>
      </c>
      <c r="D96" s="642" t="s">
        <v>510</v>
      </c>
      <c r="E96" s="642" t="s">
        <v>511</v>
      </c>
      <c r="F96" s="642" t="s">
        <v>512</v>
      </c>
      <c r="G96" s="642" t="s">
        <v>513</v>
      </c>
      <c r="H96" s="643" t="s">
        <v>514</v>
      </c>
      <c r="I96" s="590"/>
    </row>
    <row r="97" spans="2:24" s="589" customFormat="1" ht="15.75" customHeight="1">
      <c r="B97" s="665" t="s">
        <v>438</v>
      </c>
      <c r="C97" s="666">
        <f>D97+E97</f>
        <v>0</v>
      </c>
      <c r="D97" s="708">
        <f>C107</f>
        <v>0</v>
      </c>
      <c r="E97" s="668"/>
      <c r="F97" s="708">
        <f>K107</f>
        <v>0</v>
      </c>
      <c r="G97" s="708">
        <f>S107</f>
        <v>0</v>
      </c>
      <c r="H97" s="709">
        <f>E97-SUM(F97:G97)</f>
        <v>0</v>
      </c>
      <c r="I97" s="590"/>
    </row>
    <row r="98" spans="2:24" s="589" customFormat="1" ht="15.75" customHeight="1">
      <c r="B98" s="644" t="s">
        <v>245</v>
      </c>
      <c r="C98" s="666">
        <f>D98+E98</f>
        <v>0</v>
      </c>
      <c r="D98" s="708">
        <f>C108</f>
        <v>0</v>
      </c>
      <c r="E98" s="668"/>
      <c r="F98" s="708">
        <f>K108</f>
        <v>0</v>
      </c>
      <c r="G98" s="708">
        <f>S108</f>
        <v>0</v>
      </c>
      <c r="H98" s="709">
        <f>E98-SUM(F98:G98)</f>
        <v>0</v>
      </c>
      <c r="I98" s="590"/>
    </row>
    <row r="99" spans="2:24" s="589" customFormat="1" ht="15.75" customHeight="1">
      <c r="B99" s="644" t="s">
        <v>427</v>
      </c>
      <c r="C99" s="666">
        <f>D99+E99</f>
        <v>0</v>
      </c>
      <c r="D99" s="708">
        <f>C109</f>
        <v>0</v>
      </c>
      <c r="E99" s="668"/>
      <c r="F99" s="708">
        <f>K109</f>
        <v>0</v>
      </c>
      <c r="G99" s="708">
        <f>S109</f>
        <v>0</v>
      </c>
      <c r="H99" s="709">
        <f>E99-SUM(F99:G99)</f>
        <v>0</v>
      </c>
      <c r="I99" s="590"/>
    </row>
    <row r="100" spans="2:24" s="589" customFormat="1" ht="15.75" customHeight="1">
      <c r="B100" s="644" t="s">
        <v>506</v>
      </c>
      <c r="C100" s="666">
        <f>D100+E100</f>
        <v>0</v>
      </c>
      <c r="D100" s="708">
        <f>C110</f>
        <v>0</v>
      </c>
      <c r="E100" s="668"/>
      <c r="F100" s="708">
        <f>K110</f>
        <v>0</v>
      </c>
      <c r="G100" s="708">
        <f>S110</f>
        <v>0</v>
      </c>
      <c r="H100" s="709">
        <f>E100-SUM(F100:G100)</f>
        <v>0</v>
      </c>
      <c r="I100" s="590"/>
    </row>
    <row r="101" spans="2:24" s="589" customFormat="1" ht="15.75" customHeight="1" thickBot="1">
      <c r="B101" s="649" t="s">
        <v>220</v>
      </c>
      <c r="C101" s="650">
        <f t="shared" ref="C101:H101" si="17">SUM(C97:C100)</f>
        <v>0</v>
      </c>
      <c r="D101" s="651">
        <f t="shared" si="17"/>
        <v>0</v>
      </c>
      <c r="E101" s="651">
        <f t="shared" si="17"/>
        <v>0</v>
      </c>
      <c r="F101" s="651">
        <f t="shared" si="17"/>
        <v>0</v>
      </c>
      <c r="G101" s="651">
        <f t="shared" si="17"/>
        <v>0</v>
      </c>
      <c r="H101" s="652">
        <f t="shared" si="17"/>
        <v>0</v>
      </c>
      <c r="I101" s="590"/>
    </row>
    <row r="102" spans="2:24" s="589" customFormat="1" ht="15.75" customHeight="1">
      <c r="B102" s="590"/>
      <c r="C102" s="590"/>
      <c r="D102" s="590"/>
      <c r="E102" s="590"/>
      <c r="F102" s="590"/>
      <c r="G102" s="590"/>
      <c r="H102" s="590"/>
      <c r="I102" s="590"/>
    </row>
    <row r="103" spans="2:24" s="589" customFormat="1" ht="15.75" customHeight="1" thickBot="1"/>
    <row r="104" spans="2:24" s="589" customFormat="1" ht="15.75" customHeight="1">
      <c r="B104" s="1299" t="s">
        <v>515</v>
      </c>
      <c r="C104" s="1300"/>
      <c r="D104" s="1300"/>
      <c r="E104" s="1300"/>
      <c r="F104" s="1300"/>
      <c r="G104" s="1300"/>
      <c r="H104" s="1301"/>
      <c r="I104" s="653"/>
      <c r="J104" s="1299" t="s">
        <v>516</v>
      </c>
      <c r="K104" s="1300"/>
      <c r="L104" s="1300"/>
      <c r="M104" s="1300"/>
      <c r="N104" s="1300"/>
      <c r="O104" s="1300"/>
      <c r="P104" s="1301"/>
      <c r="R104" s="1299" t="s">
        <v>212</v>
      </c>
      <c r="S104" s="1300"/>
      <c r="T104" s="1300"/>
      <c r="U104" s="1300"/>
      <c r="V104" s="1300"/>
      <c r="W104" s="1300"/>
      <c r="X104" s="1301"/>
    </row>
    <row r="105" spans="2:24" s="589" customFormat="1" ht="15.75" customHeight="1">
      <c r="B105" s="1305"/>
      <c r="C105" s="1310" t="s">
        <v>517</v>
      </c>
      <c r="D105" s="1292" t="s">
        <v>518</v>
      </c>
      <c r="E105" s="1293"/>
      <c r="F105" s="1293"/>
      <c r="G105" s="1293"/>
      <c r="H105" s="1294"/>
      <c r="J105" s="1305"/>
      <c r="K105" s="1312" t="s">
        <v>517</v>
      </c>
      <c r="L105" s="710" t="s">
        <v>519</v>
      </c>
      <c r="M105" s="711"/>
      <c r="N105" s="711"/>
      <c r="O105" s="711"/>
      <c r="P105" s="712"/>
      <c r="R105" s="1305"/>
      <c r="S105" s="1310" t="s">
        <v>517</v>
      </c>
      <c r="T105" s="1292" t="s">
        <v>519</v>
      </c>
      <c r="U105" s="1293"/>
      <c r="V105" s="1293"/>
      <c r="W105" s="1293"/>
      <c r="X105" s="1294"/>
    </row>
    <row r="106" spans="2:24" s="589" customFormat="1" ht="39.75" customHeight="1">
      <c r="B106" s="1306"/>
      <c r="C106" s="1311"/>
      <c r="D106" s="658" t="s">
        <v>533</v>
      </c>
      <c r="E106" s="658" t="s">
        <v>522</v>
      </c>
      <c r="F106" s="658" t="s">
        <v>435</v>
      </c>
      <c r="G106" s="658" t="s">
        <v>534</v>
      </c>
      <c r="H106" s="659" t="s">
        <v>524</v>
      </c>
      <c r="I106" s="660"/>
      <c r="J106" s="1306"/>
      <c r="K106" s="1313"/>
      <c r="L106" s="658" t="s">
        <v>533</v>
      </c>
      <c r="M106" s="658" t="s">
        <v>522</v>
      </c>
      <c r="N106" s="658" t="s">
        <v>435</v>
      </c>
      <c r="O106" s="658" t="s">
        <v>534</v>
      </c>
      <c r="P106" s="659" t="s">
        <v>524</v>
      </c>
      <c r="R106" s="1306"/>
      <c r="S106" s="1311"/>
      <c r="T106" s="658" t="s">
        <v>533</v>
      </c>
      <c r="U106" s="658" t="s">
        <v>522</v>
      </c>
      <c r="V106" s="658" t="s">
        <v>435</v>
      </c>
      <c r="W106" s="658" t="s">
        <v>534</v>
      </c>
      <c r="X106" s="659" t="s">
        <v>524</v>
      </c>
    </row>
    <row r="107" spans="2:24" s="589" customFormat="1" ht="15.75" customHeight="1">
      <c r="B107" s="665" t="s">
        <v>438</v>
      </c>
      <c r="C107" s="666">
        <f>SUM(D107:H107)</f>
        <v>0</v>
      </c>
      <c r="D107" s="667"/>
      <c r="E107" s="667"/>
      <c r="F107" s="667"/>
      <c r="G107" s="668"/>
      <c r="H107" s="669"/>
      <c r="I107" s="660"/>
      <c r="J107" s="665" t="s">
        <v>438</v>
      </c>
      <c r="K107" s="666">
        <f>SUM(L107:P107)</f>
        <v>0</v>
      </c>
      <c r="L107" s="667"/>
      <c r="M107" s="667"/>
      <c r="N107" s="667"/>
      <c r="O107" s="668"/>
      <c r="P107" s="669"/>
      <c r="R107" s="665" t="s">
        <v>438</v>
      </c>
      <c r="S107" s="666">
        <f>SUM(T107:X107)</f>
        <v>0</v>
      </c>
      <c r="T107" s="667"/>
      <c r="U107" s="667"/>
      <c r="V107" s="667"/>
      <c r="W107" s="668"/>
      <c r="X107" s="669"/>
    </row>
    <row r="108" spans="2:24" s="589" customFormat="1" ht="15.75" customHeight="1">
      <c r="B108" s="644" t="s">
        <v>245</v>
      </c>
      <c r="C108" s="666">
        <f>SUM(D108:H108)</f>
        <v>0</v>
      </c>
      <c r="D108" s="663"/>
      <c r="E108" s="663"/>
      <c r="F108" s="663"/>
      <c r="G108" s="647"/>
      <c r="H108" s="664"/>
      <c r="I108" s="660"/>
      <c r="J108" s="644" t="s">
        <v>245</v>
      </c>
      <c r="K108" s="666">
        <f>SUM(L108:P108)</f>
        <v>0</v>
      </c>
      <c r="L108" s="663"/>
      <c r="M108" s="663"/>
      <c r="N108" s="663"/>
      <c r="O108" s="647"/>
      <c r="P108" s="664"/>
      <c r="R108" s="644" t="s">
        <v>245</v>
      </c>
      <c r="S108" s="666">
        <f>SUM(T108:X108)</f>
        <v>0</v>
      </c>
      <c r="T108" s="663"/>
      <c r="U108" s="663"/>
      <c r="V108" s="663"/>
      <c r="W108" s="647"/>
      <c r="X108" s="664"/>
    </row>
    <row r="109" spans="2:24" s="589" customFormat="1" ht="15.75" customHeight="1">
      <c r="B109" s="644" t="s">
        <v>427</v>
      </c>
      <c r="C109" s="666">
        <f>SUM(D109:H109)</f>
        <v>0</v>
      </c>
      <c r="D109" s="663"/>
      <c r="E109" s="663"/>
      <c r="F109" s="663"/>
      <c r="G109" s="647"/>
      <c r="H109" s="664"/>
      <c r="I109" s="660"/>
      <c r="J109" s="644" t="s">
        <v>427</v>
      </c>
      <c r="K109" s="666">
        <f>SUM(L109:P109)</f>
        <v>0</v>
      </c>
      <c r="L109" s="663"/>
      <c r="M109" s="663"/>
      <c r="N109" s="663"/>
      <c r="O109" s="647"/>
      <c r="P109" s="664"/>
      <c r="R109" s="644" t="s">
        <v>427</v>
      </c>
      <c r="S109" s="666">
        <f>SUM(T109:X109)</f>
        <v>0</v>
      </c>
      <c r="T109" s="663"/>
      <c r="U109" s="663"/>
      <c r="V109" s="663"/>
      <c r="W109" s="647"/>
      <c r="X109" s="664"/>
    </row>
    <row r="110" spans="2:24" s="589" customFormat="1" ht="15.75" customHeight="1">
      <c r="B110" s="644" t="s">
        <v>506</v>
      </c>
      <c r="C110" s="666">
        <f>SUM(D110:H110)</f>
        <v>0</v>
      </c>
      <c r="D110" s="663"/>
      <c r="E110" s="663"/>
      <c r="F110" s="663"/>
      <c r="G110" s="647"/>
      <c r="H110" s="664"/>
      <c r="I110" s="660"/>
      <c r="J110" s="644" t="s">
        <v>506</v>
      </c>
      <c r="K110" s="666">
        <f>SUM(L110:P110)</f>
        <v>0</v>
      </c>
      <c r="L110" s="663"/>
      <c r="M110" s="663"/>
      <c r="N110" s="663"/>
      <c r="O110" s="647"/>
      <c r="P110" s="664"/>
      <c r="R110" s="644" t="s">
        <v>506</v>
      </c>
      <c r="S110" s="666">
        <f>SUM(T110:X110)</f>
        <v>0</v>
      </c>
      <c r="T110" s="663"/>
      <c r="U110" s="663"/>
      <c r="V110" s="663"/>
      <c r="W110" s="647"/>
      <c r="X110" s="664"/>
    </row>
    <row r="111" spans="2:24" s="589" customFormat="1" ht="15.75" customHeight="1" thickBot="1">
      <c r="B111" s="649" t="s">
        <v>220</v>
      </c>
      <c r="C111" s="650">
        <f t="shared" ref="C111:H111" si="18">SUM(C107:C110)</f>
        <v>0</v>
      </c>
      <c r="D111" s="651">
        <f t="shared" si="18"/>
        <v>0</v>
      </c>
      <c r="E111" s="651">
        <f t="shared" si="18"/>
        <v>0</v>
      </c>
      <c r="F111" s="651">
        <f t="shared" si="18"/>
        <v>0</v>
      </c>
      <c r="G111" s="651">
        <f t="shared" si="18"/>
        <v>0</v>
      </c>
      <c r="H111" s="652">
        <f t="shared" si="18"/>
        <v>0</v>
      </c>
      <c r="I111" s="660"/>
      <c r="J111" s="649" t="s">
        <v>220</v>
      </c>
      <c r="K111" s="650">
        <f t="shared" ref="K111:P111" si="19">SUM(K107:K110)</f>
        <v>0</v>
      </c>
      <c r="L111" s="651">
        <f t="shared" si="19"/>
        <v>0</v>
      </c>
      <c r="M111" s="651">
        <f t="shared" si="19"/>
        <v>0</v>
      </c>
      <c r="N111" s="651">
        <f t="shared" si="19"/>
        <v>0</v>
      </c>
      <c r="O111" s="651">
        <f t="shared" si="19"/>
        <v>0</v>
      </c>
      <c r="P111" s="652">
        <f t="shared" si="19"/>
        <v>0</v>
      </c>
      <c r="R111" s="649" t="s">
        <v>220</v>
      </c>
      <c r="S111" s="650">
        <f t="shared" ref="S111:X111" si="20">SUM(S107:S110)</f>
        <v>0</v>
      </c>
      <c r="T111" s="651">
        <f t="shared" si="20"/>
        <v>0</v>
      </c>
      <c r="U111" s="651">
        <f t="shared" si="20"/>
        <v>0</v>
      </c>
      <c r="V111" s="651">
        <f t="shared" si="20"/>
        <v>0</v>
      </c>
      <c r="W111" s="651">
        <f t="shared" si="20"/>
        <v>0</v>
      </c>
      <c r="X111" s="652">
        <f t="shared" si="20"/>
        <v>0</v>
      </c>
    </row>
    <row r="112" spans="2:24" s="589" customFormat="1" ht="15.75" customHeight="1" thickBot="1">
      <c r="B112" s="670"/>
      <c r="C112" s="671"/>
      <c r="D112" s="671"/>
      <c r="E112" s="671"/>
      <c r="F112" s="671"/>
      <c r="G112" s="671"/>
      <c r="H112" s="671"/>
      <c r="I112" s="660"/>
      <c r="J112" s="670"/>
      <c r="K112" s="671"/>
      <c r="L112" s="671"/>
      <c r="M112" s="671"/>
      <c r="N112" s="671"/>
      <c r="O112" s="671"/>
      <c r="P112" s="671"/>
      <c r="R112" s="670"/>
      <c r="S112" s="671"/>
      <c r="T112" s="671"/>
      <c r="U112" s="671"/>
      <c r="V112" s="671"/>
      <c r="W112" s="671"/>
      <c r="X112" s="671"/>
    </row>
    <row r="113" spans="2:24" s="589" customFormat="1" ht="15.75" customHeight="1">
      <c r="B113" s="1299" t="s">
        <v>515</v>
      </c>
      <c r="C113" s="1300"/>
      <c r="D113" s="1300"/>
      <c r="E113" s="1300"/>
      <c r="F113" s="1300"/>
      <c r="G113" s="1300"/>
      <c r="H113" s="1301"/>
      <c r="I113" s="653"/>
      <c r="J113" s="1299" t="s">
        <v>516</v>
      </c>
      <c r="K113" s="1300"/>
      <c r="L113" s="1300"/>
      <c r="M113" s="1300"/>
      <c r="N113" s="1300"/>
      <c r="O113" s="1300"/>
      <c r="P113" s="1301"/>
      <c r="R113" s="1299" t="s">
        <v>212</v>
      </c>
      <c r="S113" s="1300"/>
      <c r="T113" s="1300"/>
      <c r="U113" s="1300"/>
      <c r="V113" s="1300"/>
      <c r="W113" s="1300"/>
      <c r="X113" s="1301"/>
    </row>
    <row r="114" spans="2:24" s="589" customFormat="1" ht="15.75" customHeight="1">
      <c r="B114" s="1305"/>
      <c r="C114" s="1310" t="s">
        <v>525</v>
      </c>
      <c r="D114" s="672" t="s">
        <v>518</v>
      </c>
      <c r="E114" s="673"/>
      <c r="F114" s="673"/>
      <c r="G114" s="673"/>
      <c r="H114" s="674"/>
      <c r="J114" s="1305"/>
      <c r="K114" s="1310" t="s">
        <v>525</v>
      </c>
      <c r="L114" s="710" t="s">
        <v>519</v>
      </c>
      <c r="M114" s="711"/>
      <c r="N114" s="711"/>
      <c r="O114" s="711"/>
      <c r="P114" s="712"/>
      <c r="R114" s="1305"/>
      <c r="S114" s="1310" t="s">
        <v>525</v>
      </c>
      <c r="T114" s="1292" t="s">
        <v>519</v>
      </c>
      <c r="U114" s="1293"/>
      <c r="V114" s="1293"/>
      <c r="W114" s="1293"/>
      <c r="X114" s="1294"/>
    </row>
    <row r="115" spans="2:24" s="589" customFormat="1" ht="42.75" customHeight="1">
      <c r="B115" s="1306"/>
      <c r="C115" s="1311"/>
      <c r="D115" s="658" t="s">
        <v>533</v>
      </c>
      <c r="E115" s="658" t="s">
        <v>522</v>
      </c>
      <c r="F115" s="658" t="s">
        <v>435</v>
      </c>
      <c r="G115" s="658" t="s">
        <v>534</v>
      </c>
      <c r="H115" s="659" t="s">
        <v>524</v>
      </c>
      <c r="I115" s="660"/>
      <c r="J115" s="1306"/>
      <c r="K115" s="1311"/>
      <c r="L115" s="658" t="s">
        <v>533</v>
      </c>
      <c r="M115" s="658" t="s">
        <v>522</v>
      </c>
      <c r="N115" s="658" t="s">
        <v>435</v>
      </c>
      <c r="O115" s="658" t="s">
        <v>534</v>
      </c>
      <c r="P115" s="659" t="s">
        <v>524</v>
      </c>
      <c r="R115" s="1306"/>
      <c r="S115" s="1311"/>
      <c r="T115" s="658" t="s">
        <v>533</v>
      </c>
      <c r="U115" s="658" t="s">
        <v>522</v>
      </c>
      <c r="V115" s="658" t="s">
        <v>435</v>
      </c>
      <c r="W115" s="658" t="s">
        <v>534</v>
      </c>
      <c r="X115" s="659" t="s">
        <v>524</v>
      </c>
    </row>
    <row r="116" spans="2:24" s="589" customFormat="1" ht="15.75" customHeight="1">
      <c r="B116" s="677" t="s">
        <v>438</v>
      </c>
      <c r="C116" s="667"/>
      <c r="D116" s="667"/>
      <c r="E116" s="667"/>
      <c r="F116" s="667"/>
      <c r="G116" s="680"/>
      <c r="H116" s="678"/>
      <c r="I116" s="660"/>
      <c r="J116" s="665" t="s">
        <v>438</v>
      </c>
      <c r="K116" s="679"/>
      <c r="L116" s="667"/>
      <c r="M116" s="667"/>
      <c r="N116" s="667"/>
      <c r="O116" s="668"/>
      <c r="P116" s="680"/>
      <c r="R116" s="665" t="s">
        <v>438</v>
      </c>
      <c r="S116" s="679"/>
      <c r="T116" s="667"/>
      <c r="U116" s="667"/>
      <c r="V116" s="667"/>
      <c r="W116" s="668"/>
      <c r="X116" s="680"/>
    </row>
    <row r="117" spans="2:24" s="589" customFormat="1" ht="15.75" customHeight="1">
      <c r="B117" s="681" t="s">
        <v>245</v>
      </c>
      <c r="C117" s="663"/>
      <c r="D117" s="663"/>
      <c r="E117" s="663"/>
      <c r="F117" s="663"/>
      <c r="G117" s="684"/>
      <c r="H117" s="682"/>
      <c r="I117" s="660"/>
      <c r="J117" s="644" t="s">
        <v>245</v>
      </c>
      <c r="K117" s="683"/>
      <c r="L117" s="663"/>
      <c r="M117" s="663"/>
      <c r="N117" s="663"/>
      <c r="O117" s="647"/>
      <c r="P117" s="684"/>
      <c r="R117" s="644" t="s">
        <v>245</v>
      </c>
      <c r="S117" s="683"/>
      <c r="T117" s="663"/>
      <c r="U117" s="663"/>
      <c r="V117" s="663"/>
      <c r="W117" s="647"/>
      <c r="X117" s="684"/>
    </row>
    <row r="118" spans="2:24" s="589" customFormat="1" ht="15.75" customHeight="1">
      <c r="B118" s="681" t="s">
        <v>427</v>
      </c>
      <c r="C118" s="663"/>
      <c r="D118" s="663"/>
      <c r="E118" s="663"/>
      <c r="F118" s="663"/>
      <c r="G118" s="684"/>
      <c r="H118" s="682"/>
      <c r="I118" s="660"/>
      <c r="J118" s="644" t="s">
        <v>427</v>
      </c>
      <c r="K118" s="683"/>
      <c r="L118" s="663"/>
      <c r="M118" s="663"/>
      <c r="N118" s="663"/>
      <c r="O118" s="647"/>
      <c r="P118" s="684"/>
      <c r="R118" s="644" t="s">
        <v>427</v>
      </c>
      <c r="S118" s="683"/>
      <c r="T118" s="663"/>
      <c r="U118" s="663"/>
      <c r="V118" s="663"/>
      <c r="W118" s="647"/>
      <c r="X118" s="684"/>
    </row>
    <row r="119" spans="2:24" s="589" customFormat="1" ht="15.75" customHeight="1">
      <c r="B119" s="681" t="s">
        <v>506</v>
      </c>
      <c r="C119" s="663"/>
      <c r="D119" s="663"/>
      <c r="E119" s="663"/>
      <c r="F119" s="663"/>
      <c r="G119" s="684"/>
      <c r="H119" s="682"/>
      <c r="I119" s="660"/>
      <c r="J119" s="644" t="s">
        <v>506</v>
      </c>
      <c r="K119" s="683"/>
      <c r="L119" s="663"/>
      <c r="M119" s="663"/>
      <c r="N119" s="663"/>
      <c r="O119" s="647"/>
      <c r="P119" s="684"/>
      <c r="R119" s="644" t="s">
        <v>506</v>
      </c>
      <c r="S119" s="683"/>
      <c r="T119" s="663"/>
      <c r="U119" s="663"/>
      <c r="V119" s="663"/>
      <c r="W119" s="647"/>
      <c r="X119" s="684"/>
    </row>
    <row r="120" spans="2:24" s="589" customFormat="1" ht="15.75" customHeight="1" thickBot="1">
      <c r="B120" s="685" t="s">
        <v>220</v>
      </c>
      <c r="C120" s="686">
        <f>SUM(C116:C119)</f>
        <v>0</v>
      </c>
      <c r="D120" s="651">
        <f>SUM(D116:D119)</f>
        <v>0</v>
      </c>
      <c r="E120" s="651">
        <f>SUM(E116:E119)</f>
        <v>0</v>
      </c>
      <c r="F120" s="651">
        <f>SUM(F116:F119)</f>
        <v>0</v>
      </c>
      <c r="G120" s="713"/>
      <c r="H120" s="687">
        <f>SUM(H116:H119)</f>
        <v>0</v>
      </c>
      <c r="I120" s="660"/>
      <c r="J120" s="649" t="s">
        <v>220</v>
      </c>
      <c r="K120" s="650">
        <f t="shared" ref="K120:P120" si="21">SUM(K116:K119)</f>
        <v>0</v>
      </c>
      <c r="L120" s="651">
        <f t="shared" si="21"/>
        <v>0</v>
      </c>
      <c r="M120" s="651">
        <f t="shared" si="21"/>
        <v>0</v>
      </c>
      <c r="N120" s="651">
        <f t="shared" si="21"/>
        <v>0</v>
      </c>
      <c r="O120" s="651">
        <f t="shared" si="21"/>
        <v>0</v>
      </c>
      <c r="P120" s="687">
        <f t="shared" si="21"/>
        <v>0</v>
      </c>
      <c r="R120" s="649" t="s">
        <v>220</v>
      </c>
      <c r="S120" s="650">
        <f t="shared" ref="S120:X120" si="22">SUM(S116:S119)</f>
        <v>0</v>
      </c>
      <c r="T120" s="651">
        <f t="shared" si="22"/>
        <v>0</v>
      </c>
      <c r="U120" s="651">
        <f t="shared" si="22"/>
        <v>0</v>
      </c>
      <c r="V120" s="651">
        <f t="shared" si="22"/>
        <v>0</v>
      </c>
      <c r="W120" s="651">
        <f t="shared" si="22"/>
        <v>0</v>
      </c>
      <c r="X120" s="687">
        <f t="shared" si="22"/>
        <v>0</v>
      </c>
    </row>
    <row r="121" spans="2:24" s="589" customFormat="1" ht="15.75" customHeight="1" thickBot="1">
      <c r="B121" s="670"/>
      <c r="C121" s="671"/>
      <c r="D121" s="671"/>
      <c r="E121" s="671"/>
      <c r="F121" s="671"/>
      <c r="G121" s="671"/>
      <c r="H121" s="671"/>
      <c r="I121" s="660"/>
      <c r="J121" s="670"/>
      <c r="K121" s="671"/>
      <c r="L121" s="671"/>
      <c r="M121" s="671"/>
      <c r="N121" s="671"/>
      <c r="O121" s="671"/>
      <c r="P121" s="671"/>
      <c r="R121" s="670"/>
      <c r="S121" s="671"/>
      <c r="T121" s="671"/>
      <c r="U121" s="671"/>
      <c r="V121" s="671"/>
      <c r="W121" s="671"/>
      <c r="X121" s="671"/>
    </row>
    <row r="122" spans="2:24" s="589" customFormat="1" ht="15.75" customHeight="1">
      <c r="B122" s="1299" t="s">
        <v>515</v>
      </c>
      <c r="C122" s="1300"/>
      <c r="D122" s="1300"/>
      <c r="E122" s="1300"/>
      <c r="F122" s="1300"/>
      <c r="G122" s="1300"/>
      <c r="H122" s="1301"/>
      <c r="J122" s="1299" t="s">
        <v>516</v>
      </c>
      <c r="K122" s="1300"/>
      <c r="L122" s="1300"/>
      <c r="M122" s="1300"/>
      <c r="N122" s="1300"/>
      <c r="O122" s="1300"/>
      <c r="P122" s="1301"/>
      <c r="R122" s="1299" t="s">
        <v>212</v>
      </c>
      <c r="S122" s="1300"/>
      <c r="T122" s="1300"/>
      <c r="U122" s="1300"/>
      <c r="V122" s="1300"/>
      <c r="W122" s="1300"/>
      <c r="X122" s="1301"/>
    </row>
    <row r="123" spans="2:24" s="589" customFormat="1" ht="15.75" customHeight="1">
      <c r="B123" s="1305"/>
      <c r="C123" s="1310" t="s">
        <v>526</v>
      </c>
      <c r="D123" s="710" t="s">
        <v>527</v>
      </c>
      <c r="E123" s="711"/>
      <c r="F123" s="711"/>
      <c r="G123" s="711"/>
      <c r="H123" s="712"/>
      <c r="J123" s="1305"/>
      <c r="K123" s="1310" t="s">
        <v>526</v>
      </c>
      <c r="L123" s="672" t="s">
        <v>528</v>
      </c>
      <c r="M123" s="673"/>
      <c r="N123" s="673"/>
      <c r="O123" s="673"/>
      <c r="P123" s="674"/>
      <c r="R123" s="1305"/>
      <c r="S123" s="1310" t="s">
        <v>526</v>
      </c>
      <c r="T123" s="1292" t="s">
        <v>528</v>
      </c>
      <c r="U123" s="1293"/>
      <c r="V123" s="1293"/>
      <c r="W123" s="1293"/>
      <c r="X123" s="1294"/>
    </row>
    <row r="124" spans="2:24" s="589" customFormat="1" ht="39.75" customHeight="1">
      <c r="B124" s="1306"/>
      <c r="C124" s="1311"/>
      <c r="D124" s="658" t="s">
        <v>533</v>
      </c>
      <c r="E124" s="658" t="s">
        <v>522</v>
      </c>
      <c r="F124" s="658" t="s">
        <v>435</v>
      </c>
      <c r="G124" s="658" t="s">
        <v>534</v>
      </c>
      <c r="H124" s="659" t="s">
        <v>524</v>
      </c>
      <c r="J124" s="1306"/>
      <c r="K124" s="1311"/>
      <c r="L124" s="658" t="s">
        <v>533</v>
      </c>
      <c r="M124" s="658" t="s">
        <v>522</v>
      </c>
      <c r="N124" s="658" t="s">
        <v>435</v>
      </c>
      <c r="O124" s="658" t="s">
        <v>534</v>
      </c>
      <c r="P124" s="659" t="s">
        <v>524</v>
      </c>
      <c r="R124" s="1306"/>
      <c r="S124" s="1311"/>
      <c r="T124" s="658" t="s">
        <v>533</v>
      </c>
      <c r="U124" s="658" t="s">
        <v>522</v>
      </c>
      <c r="V124" s="658" t="s">
        <v>435</v>
      </c>
      <c r="W124" s="658" t="s">
        <v>534</v>
      </c>
      <c r="X124" s="659" t="s">
        <v>524</v>
      </c>
    </row>
    <row r="125" spans="2:24" s="589" customFormat="1" ht="15.75" customHeight="1">
      <c r="B125" s="665" t="s">
        <v>438</v>
      </c>
      <c r="C125" s="690">
        <f>SUM(D42:F42)</f>
        <v>0</v>
      </c>
      <c r="D125" s="691"/>
      <c r="E125" s="691"/>
      <c r="F125" s="691"/>
      <c r="G125" s="680"/>
      <c r="H125" s="694"/>
      <c r="J125" s="665" t="s">
        <v>438</v>
      </c>
      <c r="K125" s="690">
        <f>SUM(G42:H42)</f>
        <v>0</v>
      </c>
      <c r="L125" s="691"/>
      <c r="M125" s="691"/>
      <c r="N125" s="691"/>
      <c r="O125" s="680"/>
      <c r="P125" s="694"/>
      <c r="R125" s="665" t="s">
        <v>438</v>
      </c>
      <c r="S125" s="690">
        <f>SUM(I42:M42)</f>
        <v>0</v>
      </c>
      <c r="T125" s="691"/>
      <c r="U125" s="691"/>
      <c r="V125" s="691"/>
      <c r="W125" s="680"/>
      <c r="X125" s="694"/>
    </row>
    <row r="126" spans="2:24" s="589" customFormat="1" ht="15.75" customHeight="1">
      <c r="B126" s="644" t="s">
        <v>245</v>
      </c>
      <c r="C126" s="690">
        <f>SUM(D43:F43)</f>
        <v>0</v>
      </c>
      <c r="D126" s="608"/>
      <c r="E126" s="608"/>
      <c r="F126" s="608"/>
      <c r="G126" s="684"/>
      <c r="H126" s="692"/>
      <c r="J126" s="644" t="s">
        <v>245</v>
      </c>
      <c r="K126" s="690">
        <f>SUM(G43:H43)</f>
        <v>0</v>
      </c>
      <c r="L126" s="608"/>
      <c r="M126" s="608"/>
      <c r="N126" s="608"/>
      <c r="O126" s="684"/>
      <c r="P126" s="692"/>
      <c r="R126" s="644" t="s">
        <v>245</v>
      </c>
      <c r="S126" s="690">
        <f>SUM(I43:M43)</f>
        <v>0</v>
      </c>
      <c r="T126" s="608"/>
      <c r="U126" s="608"/>
      <c r="V126" s="608"/>
      <c r="W126" s="684"/>
      <c r="X126" s="692"/>
    </row>
    <row r="127" spans="2:24" s="589" customFormat="1" ht="15.75" customHeight="1">
      <c r="B127" s="644" t="s">
        <v>427</v>
      </c>
      <c r="C127" s="690">
        <f>SUM(D44:F44)</f>
        <v>0</v>
      </c>
      <c r="D127" s="608"/>
      <c r="E127" s="608"/>
      <c r="F127" s="608"/>
      <c r="G127" s="684"/>
      <c r="H127" s="692"/>
      <c r="J127" s="644" t="s">
        <v>427</v>
      </c>
      <c r="K127" s="690">
        <f>SUM(G44:H44)</f>
        <v>0</v>
      </c>
      <c r="L127" s="608"/>
      <c r="M127" s="608"/>
      <c r="N127" s="608"/>
      <c r="O127" s="684"/>
      <c r="P127" s="692"/>
      <c r="R127" s="644" t="s">
        <v>427</v>
      </c>
      <c r="S127" s="690">
        <f>SUM(I44:M44)</f>
        <v>0</v>
      </c>
      <c r="T127" s="608"/>
      <c r="U127" s="608"/>
      <c r="V127" s="608"/>
      <c r="W127" s="684"/>
      <c r="X127" s="692"/>
    </row>
    <row r="128" spans="2:24" s="589" customFormat="1" ht="15.75" customHeight="1">
      <c r="B128" s="644" t="s">
        <v>506</v>
      </c>
      <c r="C128" s="690">
        <f>SUM(D45:F45)</f>
        <v>0</v>
      </c>
      <c r="D128" s="608"/>
      <c r="E128" s="608"/>
      <c r="F128" s="608"/>
      <c r="G128" s="684"/>
      <c r="H128" s="692"/>
      <c r="J128" s="644" t="s">
        <v>506</v>
      </c>
      <c r="K128" s="690">
        <f>SUM(G45:H45)</f>
        <v>0</v>
      </c>
      <c r="L128" s="608"/>
      <c r="M128" s="608"/>
      <c r="N128" s="608"/>
      <c r="O128" s="684"/>
      <c r="P128" s="692"/>
      <c r="R128" s="644" t="s">
        <v>506</v>
      </c>
      <c r="S128" s="690">
        <f>SUM(I45:M45)</f>
        <v>0</v>
      </c>
      <c r="T128" s="608"/>
      <c r="U128" s="608"/>
      <c r="V128" s="608"/>
      <c r="W128" s="684"/>
      <c r="X128" s="692"/>
    </row>
    <row r="129" spans="2:24" s="589" customFormat="1" ht="15.75" customHeight="1" thickBot="1">
      <c r="B129" s="649" t="s">
        <v>220</v>
      </c>
      <c r="C129" s="695">
        <f>SUM(C125:C128)</f>
        <v>0</v>
      </c>
      <c r="D129" s="696">
        <f>SUM(D125:D128)</f>
        <v>0</v>
      </c>
      <c r="E129" s="696">
        <f>SUM(E125:E128)</f>
        <v>0</v>
      </c>
      <c r="F129" s="696">
        <f>SUM(F125:F128)</f>
        <v>0</v>
      </c>
      <c r="G129" s="713"/>
      <c r="H129" s="687">
        <f>SUM(H125:H128)</f>
        <v>0</v>
      </c>
      <c r="J129" s="649" t="s">
        <v>220</v>
      </c>
      <c r="K129" s="695">
        <f>SUM(K125:K128)</f>
        <v>0</v>
      </c>
      <c r="L129" s="696">
        <f>SUM(L125:L128)</f>
        <v>0</v>
      </c>
      <c r="M129" s="696">
        <f>SUM(M125:M128)</f>
        <v>0</v>
      </c>
      <c r="N129" s="696">
        <f>SUM(N125:N128)</f>
        <v>0</v>
      </c>
      <c r="O129" s="713"/>
      <c r="P129" s="687">
        <f>SUM(P125:P128)</f>
        <v>0</v>
      </c>
      <c r="R129" s="649" t="s">
        <v>220</v>
      </c>
      <c r="S129" s="695">
        <f>SUM(S125:S128)</f>
        <v>0</v>
      </c>
      <c r="T129" s="696">
        <f>SUM(T125:T128)</f>
        <v>0</v>
      </c>
      <c r="U129" s="696">
        <f>SUM(U125:U128)</f>
        <v>0</v>
      </c>
      <c r="V129" s="696">
        <f>SUM(V125:V128)</f>
        <v>0</v>
      </c>
      <c r="W129" s="713"/>
      <c r="X129" s="687">
        <f>SUM(X125:X128)</f>
        <v>0</v>
      </c>
    </row>
    <row r="130" spans="2:24" s="589" customFormat="1" ht="15.75" customHeight="1" thickBot="1"/>
    <row r="131" spans="2:24" s="589" customFormat="1" ht="15.75" customHeight="1">
      <c r="B131" s="1299" t="s">
        <v>515</v>
      </c>
      <c r="C131" s="1300"/>
      <c r="D131" s="1300"/>
      <c r="E131" s="1300"/>
      <c r="F131" s="1300"/>
      <c r="G131" s="1300"/>
      <c r="H131" s="1301"/>
      <c r="J131" s="1299" t="s">
        <v>516</v>
      </c>
      <c r="K131" s="1300"/>
      <c r="L131" s="1300"/>
      <c r="M131" s="1300"/>
      <c r="N131" s="1300"/>
      <c r="O131" s="1300"/>
      <c r="P131" s="1301"/>
      <c r="R131" s="1299" t="s">
        <v>212</v>
      </c>
      <c r="S131" s="1300"/>
      <c r="T131" s="1300"/>
      <c r="U131" s="1300"/>
      <c r="V131" s="1300"/>
      <c r="W131" s="1300"/>
      <c r="X131" s="1301"/>
    </row>
    <row r="132" spans="2:24" s="589" customFormat="1" ht="15.75" customHeight="1">
      <c r="B132" s="1305"/>
      <c r="C132" s="1310" t="s">
        <v>529</v>
      </c>
      <c r="D132" s="710" t="s">
        <v>530</v>
      </c>
      <c r="E132" s="711"/>
      <c r="F132" s="711"/>
      <c r="G132" s="711"/>
      <c r="H132" s="712"/>
      <c r="J132" s="1305"/>
      <c r="K132" s="1310" t="s">
        <v>529</v>
      </c>
      <c r="L132" s="710" t="s">
        <v>531</v>
      </c>
      <c r="M132" s="711"/>
      <c r="N132" s="711"/>
      <c r="O132" s="711"/>
      <c r="P132" s="712"/>
      <c r="R132" s="1305"/>
      <c r="S132" s="1310" t="s">
        <v>529</v>
      </c>
      <c r="T132" s="1292" t="s">
        <v>531</v>
      </c>
      <c r="U132" s="1293"/>
      <c r="V132" s="1293"/>
      <c r="W132" s="1293"/>
      <c r="X132" s="1294"/>
    </row>
    <row r="133" spans="2:24" s="589" customFormat="1" ht="40.5" customHeight="1">
      <c r="B133" s="1306"/>
      <c r="C133" s="1311"/>
      <c r="D133" s="658" t="s">
        <v>533</v>
      </c>
      <c r="E133" s="658" t="s">
        <v>522</v>
      </c>
      <c r="F133" s="658" t="s">
        <v>435</v>
      </c>
      <c r="G133" s="658" t="s">
        <v>534</v>
      </c>
      <c r="H133" s="659" t="s">
        <v>524</v>
      </c>
      <c r="J133" s="1306"/>
      <c r="K133" s="1311"/>
      <c r="L133" s="658" t="s">
        <v>533</v>
      </c>
      <c r="M133" s="658" t="s">
        <v>522</v>
      </c>
      <c r="N133" s="658" t="s">
        <v>435</v>
      </c>
      <c r="O133" s="658" t="s">
        <v>534</v>
      </c>
      <c r="P133" s="659" t="s">
        <v>524</v>
      </c>
      <c r="R133" s="1306"/>
      <c r="S133" s="1311"/>
      <c r="T133" s="658" t="s">
        <v>533</v>
      </c>
      <c r="U133" s="658" t="s">
        <v>522</v>
      </c>
      <c r="V133" s="658" t="s">
        <v>435</v>
      </c>
      <c r="W133" s="658" t="s">
        <v>534</v>
      </c>
      <c r="X133" s="659" t="s">
        <v>524</v>
      </c>
    </row>
    <row r="134" spans="2:24" s="589" customFormat="1" ht="15.75" customHeight="1">
      <c r="B134" s="665" t="s">
        <v>438</v>
      </c>
      <c r="C134" s="690">
        <f t="shared" ref="C134:F137" si="23">IF(C116&gt;0,C125*1000/C116,0)</f>
        <v>0</v>
      </c>
      <c r="D134" s="699">
        <f t="shared" si="23"/>
        <v>0</v>
      </c>
      <c r="E134" s="699">
        <f t="shared" si="23"/>
        <v>0</v>
      </c>
      <c r="F134" s="699">
        <f t="shared" si="23"/>
        <v>0</v>
      </c>
      <c r="G134" s="678"/>
      <c r="H134" s="694"/>
      <c r="J134" s="665" t="s">
        <v>438</v>
      </c>
      <c r="K134" s="690">
        <f t="shared" ref="K134:N137" si="24">IF(K116&gt;0,K125*1000/K116,0)</f>
        <v>0</v>
      </c>
      <c r="L134" s="699"/>
      <c r="M134" s="699"/>
      <c r="N134" s="699">
        <f t="shared" si="24"/>
        <v>0</v>
      </c>
      <c r="O134" s="678"/>
      <c r="P134" s="694"/>
      <c r="R134" s="665" t="s">
        <v>438</v>
      </c>
      <c r="S134" s="690">
        <f t="shared" ref="S134:V137" si="25">IF(S116&gt;0,S125*1000/S116,0)</f>
        <v>0</v>
      </c>
      <c r="T134" s="699">
        <f t="shared" si="25"/>
        <v>0</v>
      </c>
      <c r="U134" s="699">
        <f t="shared" si="25"/>
        <v>0</v>
      </c>
      <c r="V134" s="699">
        <f t="shared" si="25"/>
        <v>0</v>
      </c>
      <c r="W134" s="678"/>
      <c r="X134" s="694"/>
    </row>
    <row r="135" spans="2:24" s="589" customFormat="1" ht="15.75" customHeight="1">
      <c r="B135" s="644" t="s">
        <v>245</v>
      </c>
      <c r="C135" s="701">
        <f t="shared" si="23"/>
        <v>0</v>
      </c>
      <c r="D135" s="702">
        <f t="shared" si="23"/>
        <v>0</v>
      </c>
      <c r="E135" s="702">
        <f t="shared" si="23"/>
        <v>0</v>
      </c>
      <c r="F135" s="702">
        <f t="shared" si="23"/>
        <v>0</v>
      </c>
      <c r="G135" s="682"/>
      <c r="H135" s="692"/>
      <c r="J135" s="644" t="s">
        <v>245</v>
      </c>
      <c r="K135" s="701">
        <f t="shared" si="24"/>
        <v>0</v>
      </c>
      <c r="L135" s="702">
        <f t="shared" si="24"/>
        <v>0</v>
      </c>
      <c r="M135" s="702">
        <f t="shared" si="24"/>
        <v>0</v>
      </c>
      <c r="N135" s="702">
        <f t="shared" si="24"/>
        <v>0</v>
      </c>
      <c r="O135" s="682"/>
      <c r="P135" s="692"/>
      <c r="R135" s="644" t="s">
        <v>245</v>
      </c>
      <c r="S135" s="701">
        <f t="shared" si="25"/>
        <v>0</v>
      </c>
      <c r="T135" s="702">
        <f t="shared" si="25"/>
        <v>0</v>
      </c>
      <c r="U135" s="702">
        <f t="shared" si="25"/>
        <v>0</v>
      </c>
      <c r="V135" s="702">
        <f t="shared" si="25"/>
        <v>0</v>
      </c>
      <c r="W135" s="682"/>
      <c r="X135" s="692"/>
    </row>
    <row r="136" spans="2:24" s="589" customFormat="1" ht="15.75" customHeight="1">
      <c r="B136" s="644" t="s">
        <v>427</v>
      </c>
      <c r="C136" s="701">
        <f t="shared" si="23"/>
        <v>0</v>
      </c>
      <c r="D136" s="702">
        <f t="shared" si="23"/>
        <v>0</v>
      </c>
      <c r="E136" s="702">
        <f t="shared" si="23"/>
        <v>0</v>
      </c>
      <c r="F136" s="702">
        <f t="shared" si="23"/>
        <v>0</v>
      </c>
      <c r="G136" s="682"/>
      <c r="H136" s="692"/>
      <c r="J136" s="644" t="s">
        <v>427</v>
      </c>
      <c r="K136" s="701">
        <f t="shared" si="24"/>
        <v>0</v>
      </c>
      <c r="L136" s="702">
        <f t="shared" si="24"/>
        <v>0</v>
      </c>
      <c r="M136" s="702">
        <f t="shared" si="24"/>
        <v>0</v>
      </c>
      <c r="N136" s="702">
        <f t="shared" si="24"/>
        <v>0</v>
      </c>
      <c r="O136" s="682"/>
      <c r="P136" s="692"/>
      <c r="R136" s="644" t="s">
        <v>427</v>
      </c>
      <c r="S136" s="701">
        <f t="shared" si="25"/>
        <v>0</v>
      </c>
      <c r="T136" s="702">
        <f t="shared" si="25"/>
        <v>0</v>
      </c>
      <c r="U136" s="702">
        <f t="shared" si="25"/>
        <v>0</v>
      </c>
      <c r="V136" s="702">
        <f t="shared" si="25"/>
        <v>0</v>
      </c>
      <c r="W136" s="682"/>
      <c r="X136" s="692"/>
    </row>
    <row r="137" spans="2:24" s="589" customFormat="1" ht="15.75" customHeight="1" thickBot="1">
      <c r="B137" s="703" t="s">
        <v>506</v>
      </c>
      <c r="C137" s="704">
        <f t="shared" si="23"/>
        <v>0</v>
      </c>
      <c r="D137" s="705">
        <f t="shared" si="23"/>
        <v>0</v>
      </c>
      <c r="E137" s="705">
        <f t="shared" si="23"/>
        <v>0</v>
      </c>
      <c r="F137" s="705">
        <f t="shared" si="23"/>
        <v>0</v>
      </c>
      <c r="G137" s="714"/>
      <c r="H137" s="706"/>
      <c r="J137" s="703" t="s">
        <v>506</v>
      </c>
      <c r="K137" s="704">
        <f t="shared" si="24"/>
        <v>0</v>
      </c>
      <c r="L137" s="705">
        <f t="shared" si="24"/>
        <v>0</v>
      </c>
      <c r="M137" s="705">
        <f t="shared" si="24"/>
        <v>0</v>
      </c>
      <c r="N137" s="705">
        <f t="shared" si="24"/>
        <v>0</v>
      </c>
      <c r="O137" s="714"/>
      <c r="P137" s="706"/>
      <c r="R137" s="703" t="s">
        <v>506</v>
      </c>
      <c r="S137" s="704">
        <f t="shared" si="25"/>
        <v>0</v>
      </c>
      <c r="T137" s="705">
        <f t="shared" si="25"/>
        <v>0</v>
      </c>
      <c r="U137" s="705">
        <f t="shared" si="25"/>
        <v>0</v>
      </c>
      <c r="V137" s="705">
        <f t="shared" si="25"/>
        <v>0</v>
      </c>
      <c r="W137" s="714"/>
      <c r="X137" s="706"/>
    </row>
  </sheetData>
  <sheetProtection insertRows="0"/>
  <mergeCells count="86">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 ref="S114:S115"/>
    <mergeCell ref="T114:X114"/>
    <mergeCell ref="B122:H122"/>
    <mergeCell ref="J122:P122"/>
    <mergeCell ref="R122:X122"/>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B76:H76"/>
    <mergeCell ref="J76:P76"/>
    <mergeCell ref="R76:X76"/>
    <mergeCell ref="B77:B78"/>
    <mergeCell ref="C77:C78"/>
    <mergeCell ref="D77:H77"/>
    <mergeCell ref="J77:J78"/>
    <mergeCell ref="K77:K78"/>
    <mergeCell ref="R77:R78"/>
    <mergeCell ref="S77:S78"/>
    <mergeCell ref="T77:X77"/>
    <mergeCell ref="B67:H67"/>
    <mergeCell ref="J67:P67"/>
    <mergeCell ref="R67:X67"/>
    <mergeCell ref="B68:B69"/>
    <mergeCell ref="C68:C69"/>
    <mergeCell ref="D68:H68"/>
    <mergeCell ref="J68:J69"/>
    <mergeCell ref="K68:K69"/>
    <mergeCell ref="R68:R69"/>
    <mergeCell ref="S68:S69"/>
    <mergeCell ref="T68:X68"/>
    <mergeCell ref="T59:X59"/>
    <mergeCell ref="B7:C8"/>
    <mergeCell ref="B31:C32"/>
    <mergeCell ref="B40:C41"/>
    <mergeCell ref="B58:H58"/>
    <mergeCell ref="J58:P58"/>
    <mergeCell ref="R58:X58"/>
    <mergeCell ref="B59:B60"/>
    <mergeCell ref="D59:H59"/>
    <mergeCell ref="L59:P59"/>
    <mergeCell ref="R59:R60"/>
    <mergeCell ref="S59:S60"/>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47" t="s">
        <v>94</v>
      </c>
      <c r="F1" s="48" t="s">
        <v>1022</v>
      </c>
    </row>
    <row r="2" spans="1:11">
      <c r="A2" s="47"/>
    </row>
    <row r="3" spans="1:11">
      <c r="A3" s="47" t="s">
        <v>535</v>
      </c>
    </row>
    <row r="4" spans="1:11">
      <c r="A4" s="47"/>
    </row>
    <row r="6" spans="1:11" ht="13.5" thickBot="1"/>
    <row r="7" spans="1:11" ht="15" customHeight="1">
      <c r="B7" s="1314" t="s">
        <v>97</v>
      </c>
      <c r="C7" s="1315"/>
      <c r="D7" s="1315"/>
      <c r="E7" s="1316"/>
      <c r="F7" s="1323" t="s">
        <v>210</v>
      </c>
      <c r="G7" s="716" t="s">
        <v>536</v>
      </c>
      <c r="H7" s="717"/>
      <c r="I7" s="716" t="s">
        <v>537</v>
      </c>
      <c r="J7" s="717"/>
    </row>
    <row r="8" spans="1:11" ht="50.25" customHeight="1">
      <c r="B8" s="1317"/>
      <c r="C8" s="1318"/>
      <c r="D8" s="1318"/>
      <c r="E8" s="1319"/>
      <c r="F8" s="1324"/>
      <c r="G8" s="718" t="s">
        <v>538</v>
      </c>
      <c r="H8" s="719" t="s">
        <v>539</v>
      </c>
      <c r="I8" s="718" t="s">
        <v>538</v>
      </c>
      <c r="J8" s="719" t="s">
        <v>539</v>
      </c>
    </row>
    <row r="9" spans="1:11" ht="15" customHeight="1" thickBot="1">
      <c r="B9" s="1320"/>
      <c r="C9" s="1321"/>
      <c r="D9" s="1321"/>
      <c r="E9" s="1322"/>
      <c r="F9" s="1325"/>
      <c r="G9" s="720" t="s">
        <v>540</v>
      </c>
      <c r="H9" s="721" t="s">
        <v>540</v>
      </c>
      <c r="I9" s="720" t="s">
        <v>540</v>
      </c>
      <c r="J9" s="721" t="s">
        <v>540</v>
      </c>
    </row>
    <row r="10" spans="1:11" ht="15" customHeight="1">
      <c r="B10" s="722"/>
      <c r="C10" s="723" t="s">
        <v>109</v>
      </c>
      <c r="D10" s="723"/>
      <c r="E10" s="724"/>
      <c r="F10" s="725"/>
      <c r="G10" s="726"/>
      <c r="H10" s="727"/>
      <c r="I10" s="726"/>
      <c r="J10" s="727"/>
    </row>
    <row r="11" spans="1:11" ht="15" customHeight="1">
      <c r="B11" s="722"/>
      <c r="C11" s="724"/>
      <c r="D11" s="728" t="s">
        <v>454</v>
      </c>
      <c r="E11" s="724"/>
      <c r="F11" s="729"/>
      <c r="G11" s="730"/>
      <c r="H11" s="731"/>
      <c r="I11" s="730"/>
      <c r="J11" s="731"/>
    </row>
    <row r="12" spans="1:11" ht="15" customHeight="1">
      <c r="B12" s="732"/>
      <c r="C12" s="724"/>
      <c r="D12" s="724"/>
      <c r="E12" s="724" t="s">
        <v>111</v>
      </c>
      <c r="F12" s="733" t="s">
        <v>541</v>
      </c>
      <c r="G12" s="734"/>
      <c r="H12" s="735"/>
      <c r="I12" s="734">
        <v>14.06</v>
      </c>
      <c r="J12" s="735">
        <v>19.989999999999998</v>
      </c>
      <c r="K12" s="736"/>
    </row>
    <row r="13" spans="1:11" ht="15" customHeight="1">
      <c r="B13" s="732"/>
      <c r="C13" s="724"/>
      <c r="D13" s="724"/>
      <c r="E13" s="724" t="s">
        <v>112</v>
      </c>
      <c r="F13" s="733" t="s">
        <v>542</v>
      </c>
      <c r="G13" s="734"/>
      <c r="H13" s="735"/>
      <c r="I13" s="734">
        <v>0.2</v>
      </c>
      <c r="J13" s="735">
        <v>0.32</v>
      </c>
      <c r="K13" s="736"/>
    </row>
    <row r="14" spans="1:11" ht="15" customHeight="1">
      <c r="B14" s="732"/>
      <c r="C14" s="724"/>
      <c r="D14" s="724"/>
      <c r="E14" s="724"/>
      <c r="F14" s="733"/>
      <c r="G14" s="737"/>
      <c r="H14" s="738"/>
      <c r="I14" s="737"/>
      <c r="J14" s="738"/>
    </row>
    <row r="15" spans="1:11" ht="15" customHeight="1">
      <c r="B15" s="732"/>
      <c r="C15" s="724"/>
      <c r="D15" s="728" t="s">
        <v>113</v>
      </c>
      <c r="E15" s="724"/>
      <c r="F15" s="733"/>
      <c r="G15" s="737"/>
      <c r="H15" s="738"/>
      <c r="I15" s="737"/>
      <c r="J15" s="738"/>
    </row>
    <row r="16" spans="1:11" ht="15" customHeight="1">
      <c r="B16" s="732"/>
      <c r="C16" s="724"/>
      <c r="D16" s="724"/>
      <c r="E16" s="724" t="s">
        <v>114</v>
      </c>
      <c r="F16" s="733" t="s">
        <v>542</v>
      </c>
      <c r="G16" s="734"/>
      <c r="H16" s="735"/>
      <c r="I16" s="734">
        <v>1.43</v>
      </c>
      <c r="J16" s="735">
        <v>1.92</v>
      </c>
      <c r="K16" s="736"/>
    </row>
    <row r="17" spans="2:11" ht="15" customHeight="1">
      <c r="B17" s="732"/>
      <c r="C17" s="724"/>
      <c r="D17" s="724"/>
      <c r="E17" s="724"/>
      <c r="F17" s="733"/>
      <c r="G17" s="737"/>
      <c r="H17" s="738"/>
      <c r="I17" s="737"/>
      <c r="J17" s="738"/>
    </row>
    <row r="18" spans="2:11" ht="15" customHeight="1">
      <c r="B18" s="732"/>
      <c r="C18" s="724"/>
      <c r="D18" s="728" t="s">
        <v>115</v>
      </c>
      <c r="E18" s="724"/>
      <c r="F18" s="733"/>
      <c r="G18" s="737"/>
      <c r="H18" s="738"/>
      <c r="I18" s="737"/>
      <c r="J18" s="738"/>
    </row>
    <row r="19" spans="2:11" ht="15" customHeight="1">
      <c r="B19" s="732"/>
      <c r="C19" s="724"/>
      <c r="D19" s="728"/>
      <c r="E19" s="724" t="s">
        <v>116</v>
      </c>
      <c r="F19" s="733" t="s">
        <v>541</v>
      </c>
      <c r="G19" s="734"/>
      <c r="H19" s="735"/>
      <c r="I19" s="734"/>
      <c r="J19" s="735"/>
      <c r="K19" s="736"/>
    </row>
    <row r="20" spans="2:11" ht="15" customHeight="1">
      <c r="B20" s="732"/>
      <c r="C20" s="724"/>
      <c r="D20" s="728"/>
      <c r="E20" s="724" t="s">
        <v>117</v>
      </c>
      <c r="F20" s="733" t="s">
        <v>541</v>
      </c>
      <c r="G20" s="734">
        <v>33.4</v>
      </c>
      <c r="H20" s="735">
        <v>40.08</v>
      </c>
      <c r="I20" s="734">
        <v>67.22</v>
      </c>
      <c r="J20" s="735">
        <v>67.22</v>
      </c>
      <c r="K20" s="736"/>
    </row>
    <row r="21" spans="2:11" ht="15" customHeight="1">
      <c r="B21" s="732"/>
      <c r="C21" s="724"/>
      <c r="D21" s="728"/>
      <c r="E21" s="724" t="s">
        <v>118</v>
      </c>
      <c r="F21" s="733" t="s">
        <v>541</v>
      </c>
      <c r="G21" s="734"/>
      <c r="H21" s="735"/>
      <c r="I21" s="734">
        <v>67.22</v>
      </c>
      <c r="J21" s="735">
        <v>75.91</v>
      </c>
      <c r="K21" s="736"/>
    </row>
    <row r="22" spans="2:11" ht="15" customHeight="1">
      <c r="B22" s="732"/>
      <c r="C22" s="724"/>
      <c r="D22" s="728"/>
      <c r="E22" s="724" t="s">
        <v>119</v>
      </c>
      <c r="F22" s="733" t="s">
        <v>542</v>
      </c>
      <c r="G22" s="734">
        <v>0.93</v>
      </c>
      <c r="H22" s="735">
        <v>1.1160000000000001</v>
      </c>
      <c r="I22" s="734">
        <v>0.6</v>
      </c>
      <c r="J22" s="735">
        <v>0.71</v>
      </c>
      <c r="K22" s="736"/>
    </row>
    <row r="23" spans="2:11" ht="15" customHeight="1">
      <c r="B23" s="732"/>
      <c r="C23" s="724"/>
      <c r="D23" s="724"/>
      <c r="E23" s="724"/>
      <c r="F23" s="733"/>
      <c r="G23" s="737"/>
      <c r="H23" s="738"/>
      <c r="I23" s="737"/>
      <c r="J23" s="738"/>
    </row>
    <row r="24" spans="2:11" ht="15" customHeight="1">
      <c r="B24" s="732"/>
      <c r="C24" s="724"/>
      <c r="D24" s="728" t="s">
        <v>120</v>
      </c>
      <c r="E24" s="724"/>
      <c r="F24" s="733"/>
      <c r="G24" s="737"/>
      <c r="H24" s="738"/>
      <c r="I24" s="737"/>
      <c r="J24" s="738"/>
    </row>
    <row r="25" spans="2:11" ht="15" customHeight="1">
      <c r="B25" s="732"/>
      <c r="C25" s="724"/>
      <c r="D25" s="728"/>
      <c r="E25" s="724" t="s">
        <v>121</v>
      </c>
      <c r="F25" s="733" t="s">
        <v>542</v>
      </c>
      <c r="G25" s="734">
        <v>2.2200000000000002</v>
      </c>
      <c r="H25" s="735">
        <v>2.6640000000000001</v>
      </c>
      <c r="I25" s="734">
        <v>6.41</v>
      </c>
      <c r="J25" s="735">
        <v>8.06</v>
      </c>
      <c r="K25" s="736"/>
    </row>
    <row r="26" spans="2:11" ht="15" customHeight="1">
      <c r="B26" s="732"/>
      <c r="C26" s="724"/>
      <c r="D26" s="728"/>
      <c r="E26" s="724" t="s">
        <v>122</v>
      </c>
      <c r="F26" s="733" t="s">
        <v>542</v>
      </c>
      <c r="G26" s="734"/>
      <c r="H26" s="735"/>
      <c r="I26" s="734">
        <v>6.78</v>
      </c>
      <c r="J26" s="735">
        <v>8.4700000000000006</v>
      </c>
      <c r="K26" s="736"/>
    </row>
    <row r="27" spans="2:11" ht="15" customHeight="1">
      <c r="B27" s="732"/>
      <c r="C27" s="724"/>
      <c r="D27" s="728"/>
      <c r="E27" s="724" t="s">
        <v>123</v>
      </c>
      <c r="F27" s="733" t="s">
        <v>542</v>
      </c>
      <c r="G27" s="734"/>
      <c r="H27" s="735"/>
      <c r="I27" s="734">
        <v>8.3699999999999992</v>
      </c>
      <c r="J27" s="735">
        <v>10.53</v>
      </c>
      <c r="K27" s="736"/>
    </row>
    <row r="28" spans="2:11" ht="15" customHeight="1">
      <c r="B28" s="732"/>
      <c r="C28" s="724"/>
      <c r="D28" s="728"/>
      <c r="E28" s="724" t="s">
        <v>124</v>
      </c>
      <c r="F28" s="733" t="s">
        <v>542</v>
      </c>
      <c r="G28" s="734"/>
      <c r="H28" s="735"/>
      <c r="I28" s="734"/>
      <c r="J28" s="735"/>
      <c r="K28" s="736"/>
    </row>
    <row r="29" spans="2:11" ht="15" customHeight="1">
      <c r="B29" s="732"/>
      <c r="C29" s="724"/>
      <c r="D29" s="728"/>
      <c r="E29" s="724" t="s">
        <v>125</v>
      </c>
      <c r="F29" s="733" t="s">
        <v>542</v>
      </c>
      <c r="G29" s="739"/>
      <c r="H29" s="740"/>
      <c r="I29" s="739"/>
      <c r="J29" s="740"/>
    </row>
    <row r="30" spans="2:11" ht="15" customHeight="1">
      <c r="B30" s="732"/>
      <c r="C30" s="724"/>
      <c r="D30" s="728"/>
      <c r="E30" s="724" t="s">
        <v>126</v>
      </c>
      <c r="F30" s="733" t="s">
        <v>542</v>
      </c>
      <c r="G30" s="739"/>
      <c r="H30" s="740"/>
      <c r="I30" s="739"/>
      <c r="J30" s="740"/>
    </row>
    <row r="31" spans="2:11" ht="15" customHeight="1" thickBot="1">
      <c r="B31" s="741"/>
      <c r="C31" s="742"/>
      <c r="D31" s="742"/>
      <c r="E31" s="742"/>
      <c r="F31" s="743"/>
      <c r="G31" s="744"/>
      <c r="H31" s="745"/>
      <c r="I31" s="744"/>
      <c r="J31" s="745"/>
    </row>
    <row r="32" spans="2:11" ht="15" customHeight="1">
      <c r="B32" s="746"/>
      <c r="C32" s="747" t="s">
        <v>127</v>
      </c>
      <c r="D32" s="747"/>
      <c r="E32" s="748"/>
      <c r="F32" s="749"/>
      <c r="G32" s="737"/>
      <c r="H32" s="738"/>
      <c r="I32" s="737"/>
      <c r="J32" s="738"/>
    </row>
    <row r="33" spans="2:11" ht="15" customHeight="1">
      <c r="B33" s="732"/>
      <c r="C33" s="724"/>
      <c r="D33" s="728" t="s">
        <v>454</v>
      </c>
      <c r="E33" s="724"/>
      <c r="F33" s="749"/>
      <c r="G33" s="737"/>
      <c r="H33" s="738"/>
      <c r="I33" s="737"/>
      <c r="J33" s="738"/>
    </row>
    <row r="34" spans="2:11" ht="15" customHeight="1">
      <c r="B34" s="732"/>
      <c r="C34" s="724"/>
      <c r="D34" s="728"/>
      <c r="E34" s="724" t="s">
        <v>128</v>
      </c>
      <c r="F34" s="733" t="s">
        <v>541</v>
      </c>
      <c r="G34" s="734">
        <v>35.26</v>
      </c>
      <c r="H34" s="735">
        <v>42.311999999999998</v>
      </c>
      <c r="I34" s="734">
        <v>18.350000000000001</v>
      </c>
      <c r="J34" s="735">
        <v>20.82</v>
      </c>
      <c r="K34" s="736"/>
    </row>
    <row r="35" spans="2:11" ht="15" customHeight="1">
      <c r="B35" s="732"/>
      <c r="C35" s="724"/>
      <c r="D35" s="728"/>
      <c r="E35" s="724" t="s">
        <v>129</v>
      </c>
      <c r="F35" s="733" t="s">
        <v>541</v>
      </c>
      <c r="G35" s="734"/>
      <c r="H35" s="735"/>
      <c r="I35" s="734"/>
      <c r="J35" s="735"/>
      <c r="K35" s="736"/>
    </row>
    <row r="36" spans="2:11" ht="15" customHeight="1">
      <c r="B36" s="732"/>
      <c r="C36" s="724"/>
      <c r="D36" s="724"/>
      <c r="E36" s="724" t="s">
        <v>130</v>
      </c>
      <c r="F36" s="733" t="s">
        <v>541</v>
      </c>
      <c r="G36" s="734"/>
      <c r="H36" s="735"/>
      <c r="I36" s="734"/>
      <c r="J36" s="735"/>
      <c r="K36" s="736"/>
    </row>
    <row r="37" spans="2:11" ht="15" customHeight="1">
      <c r="B37" s="732"/>
      <c r="C37" s="724"/>
      <c r="D37" s="724"/>
      <c r="E37" s="724" t="s">
        <v>131</v>
      </c>
      <c r="F37" s="733" t="s">
        <v>541</v>
      </c>
      <c r="G37" s="734"/>
      <c r="H37" s="735"/>
      <c r="I37" s="734"/>
      <c r="J37" s="735"/>
      <c r="K37" s="736"/>
    </row>
    <row r="38" spans="2:11" ht="15" customHeight="1">
      <c r="B38" s="732"/>
      <c r="C38" s="724"/>
      <c r="D38" s="724"/>
      <c r="E38" s="724"/>
      <c r="F38" s="733"/>
      <c r="G38" s="737"/>
      <c r="H38" s="738"/>
      <c r="I38" s="737"/>
      <c r="J38" s="738"/>
    </row>
    <row r="39" spans="2:11" ht="15" customHeight="1">
      <c r="B39" s="732"/>
      <c r="C39" s="724"/>
      <c r="D39" s="728" t="s">
        <v>113</v>
      </c>
      <c r="E39" s="724"/>
      <c r="F39" s="733"/>
      <c r="G39" s="737"/>
      <c r="H39" s="738"/>
      <c r="I39" s="737"/>
      <c r="J39" s="738"/>
    </row>
    <row r="40" spans="2:11" ht="15" customHeight="1">
      <c r="B40" s="732"/>
      <c r="C40" s="724"/>
      <c r="D40" s="748"/>
      <c r="E40" s="724" t="s">
        <v>132</v>
      </c>
      <c r="F40" s="733" t="s">
        <v>542</v>
      </c>
      <c r="G40" s="734"/>
      <c r="H40" s="735"/>
      <c r="I40" s="734">
        <v>1.52</v>
      </c>
      <c r="J40" s="735">
        <v>2.0499999999999998</v>
      </c>
      <c r="K40" s="736"/>
    </row>
    <row r="41" spans="2:11" ht="15" customHeight="1">
      <c r="B41" s="732"/>
      <c r="C41" s="724"/>
      <c r="D41" s="728"/>
      <c r="E41" s="724" t="s">
        <v>133</v>
      </c>
      <c r="F41" s="733" t="s">
        <v>542</v>
      </c>
      <c r="G41" s="734"/>
      <c r="H41" s="735"/>
      <c r="I41" s="734"/>
      <c r="J41" s="735"/>
      <c r="K41" s="736"/>
    </row>
    <row r="42" spans="2:11" ht="15" customHeight="1">
      <c r="B42" s="732"/>
      <c r="C42" s="724"/>
      <c r="D42" s="724"/>
      <c r="E42" s="724"/>
      <c r="F42" s="733"/>
      <c r="G42" s="737"/>
      <c r="H42" s="738"/>
      <c r="I42" s="737"/>
      <c r="J42" s="738"/>
    </row>
    <row r="43" spans="2:11" ht="15" customHeight="1">
      <c r="B43" s="732"/>
      <c r="C43" s="724"/>
      <c r="D43" s="728" t="s">
        <v>134</v>
      </c>
      <c r="E43" s="724"/>
      <c r="F43" s="733"/>
      <c r="G43" s="737"/>
      <c r="H43" s="738"/>
      <c r="I43" s="737"/>
      <c r="J43" s="738"/>
    </row>
    <row r="44" spans="2:11" ht="15" customHeight="1">
      <c r="B44" s="732"/>
      <c r="C44" s="724"/>
      <c r="D44" s="728"/>
      <c r="E44" s="724" t="s">
        <v>135</v>
      </c>
      <c r="F44" s="733" t="s">
        <v>541</v>
      </c>
      <c r="G44" s="734">
        <v>32.92</v>
      </c>
      <c r="H44" s="735">
        <v>39.503999999999998</v>
      </c>
      <c r="I44" s="734">
        <v>73.02</v>
      </c>
      <c r="J44" s="735">
        <v>84.36</v>
      </c>
      <c r="K44" s="736"/>
    </row>
    <row r="45" spans="2:11" ht="15" customHeight="1">
      <c r="B45" s="732"/>
      <c r="C45" s="724"/>
      <c r="D45" s="728"/>
      <c r="E45" s="724" t="s">
        <v>136</v>
      </c>
      <c r="F45" s="733" t="s">
        <v>541</v>
      </c>
      <c r="G45" s="734"/>
      <c r="H45" s="735"/>
      <c r="I45" s="734"/>
      <c r="J45" s="735"/>
      <c r="K45" s="736"/>
    </row>
    <row r="46" spans="2:11" ht="15" customHeight="1">
      <c r="B46" s="732"/>
      <c r="C46" s="724"/>
      <c r="D46" s="728"/>
      <c r="E46" s="724"/>
      <c r="F46" s="733"/>
      <c r="G46" s="737"/>
      <c r="H46" s="738"/>
      <c r="I46" s="737"/>
      <c r="J46" s="738"/>
    </row>
    <row r="47" spans="2:11" ht="15" customHeight="1">
      <c r="B47" s="732"/>
      <c r="C47" s="724"/>
      <c r="D47" s="728" t="s">
        <v>137</v>
      </c>
      <c r="E47" s="724"/>
      <c r="F47" s="733"/>
      <c r="G47" s="737"/>
      <c r="H47" s="738"/>
      <c r="I47" s="737"/>
      <c r="J47" s="738"/>
    </row>
    <row r="48" spans="2:11" ht="15" customHeight="1">
      <c r="B48" s="732"/>
      <c r="C48" s="724"/>
      <c r="D48" s="728"/>
      <c r="E48" s="724" t="s">
        <v>138</v>
      </c>
      <c r="F48" s="733" t="s">
        <v>541</v>
      </c>
      <c r="G48" s="734"/>
      <c r="H48" s="735"/>
      <c r="I48" s="734">
        <v>471.36</v>
      </c>
      <c r="J48" s="735">
        <v>535.69000000000005</v>
      </c>
      <c r="K48" s="736"/>
    </row>
    <row r="49" spans="2:11" ht="15" customHeight="1">
      <c r="B49" s="732"/>
      <c r="C49" s="724"/>
      <c r="D49" s="728"/>
      <c r="E49" s="724"/>
      <c r="F49" s="733"/>
      <c r="G49" s="737"/>
      <c r="H49" s="738"/>
      <c r="I49" s="737"/>
      <c r="J49" s="738"/>
    </row>
    <row r="50" spans="2:11" ht="15" customHeight="1">
      <c r="B50" s="732"/>
      <c r="C50" s="724"/>
      <c r="D50" s="728" t="s">
        <v>120</v>
      </c>
      <c r="E50" s="724"/>
      <c r="F50" s="733"/>
      <c r="G50" s="737"/>
      <c r="H50" s="738"/>
      <c r="I50" s="737"/>
      <c r="J50" s="738"/>
    </row>
    <row r="51" spans="2:11" ht="15" customHeight="1">
      <c r="B51" s="732"/>
      <c r="C51" s="724"/>
      <c r="D51" s="728"/>
      <c r="E51" s="724" t="s">
        <v>139</v>
      </c>
      <c r="F51" s="733" t="s">
        <v>542</v>
      </c>
      <c r="G51" s="734">
        <v>7.13</v>
      </c>
      <c r="H51" s="735">
        <v>8.5559999999999992</v>
      </c>
      <c r="I51" s="734">
        <v>7.17</v>
      </c>
      <c r="J51" s="735">
        <v>8.31</v>
      </c>
      <c r="K51" s="736"/>
    </row>
    <row r="52" spans="2:11" ht="15" customHeight="1">
      <c r="B52" s="732"/>
      <c r="C52" s="724"/>
      <c r="D52" s="728"/>
      <c r="E52" s="724" t="s">
        <v>140</v>
      </c>
      <c r="F52" s="733" t="s">
        <v>542</v>
      </c>
      <c r="G52" s="734">
        <v>20.49</v>
      </c>
      <c r="H52" s="735">
        <v>24.587999999999997</v>
      </c>
      <c r="I52" s="734">
        <v>21.37</v>
      </c>
      <c r="J52" s="735">
        <v>24.52</v>
      </c>
      <c r="K52" s="736"/>
    </row>
    <row r="53" spans="2:11" ht="15" customHeight="1">
      <c r="B53" s="732"/>
      <c r="C53" s="724"/>
      <c r="D53" s="728"/>
      <c r="E53" s="724" t="s">
        <v>141</v>
      </c>
      <c r="F53" s="733" t="s">
        <v>542</v>
      </c>
      <c r="G53" s="734">
        <v>6.01</v>
      </c>
      <c r="H53" s="735">
        <v>7.2119999999999997</v>
      </c>
      <c r="I53" s="734">
        <v>6.05</v>
      </c>
      <c r="J53" s="735">
        <v>7.06</v>
      </c>
      <c r="K53" s="736"/>
    </row>
    <row r="54" spans="2:11" ht="15" customHeight="1">
      <c r="B54" s="732"/>
      <c r="C54" s="724"/>
      <c r="D54" s="728"/>
      <c r="E54" s="724" t="s">
        <v>142</v>
      </c>
      <c r="F54" s="733" t="s">
        <v>542</v>
      </c>
      <c r="G54" s="734">
        <v>6.71</v>
      </c>
      <c r="H54" s="735">
        <v>8.0519999999999996</v>
      </c>
      <c r="I54" s="734">
        <v>8.17</v>
      </c>
      <c r="J54" s="735">
        <v>10.15</v>
      </c>
      <c r="K54" s="736"/>
    </row>
    <row r="55" spans="2:11" ht="15" customHeight="1">
      <c r="B55" s="732"/>
      <c r="C55" s="724"/>
      <c r="D55" s="728"/>
      <c r="E55" s="724" t="s">
        <v>143</v>
      </c>
      <c r="F55" s="733" t="s">
        <v>542</v>
      </c>
      <c r="G55" s="734">
        <v>6.99</v>
      </c>
      <c r="H55" s="735">
        <v>8.3879999999999999</v>
      </c>
      <c r="I55" s="734">
        <v>10</v>
      </c>
      <c r="J55" s="735">
        <v>12.28</v>
      </c>
      <c r="K55" s="736"/>
    </row>
    <row r="56" spans="2:11" ht="15" customHeight="1">
      <c r="B56" s="732"/>
      <c r="C56" s="724"/>
      <c r="D56" s="728"/>
      <c r="E56" s="724" t="s">
        <v>144</v>
      </c>
      <c r="F56" s="733" t="s">
        <v>542</v>
      </c>
      <c r="G56" s="739"/>
      <c r="H56" s="740"/>
      <c r="I56" s="739"/>
      <c r="J56" s="740"/>
    </row>
    <row r="57" spans="2:11" ht="15" customHeight="1">
      <c r="B57" s="732"/>
      <c r="C57" s="724"/>
      <c r="D57" s="728"/>
      <c r="E57" s="724" t="s">
        <v>145</v>
      </c>
      <c r="F57" s="733" t="s">
        <v>542</v>
      </c>
      <c r="G57" s="739"/>
      <c r="H57" s="740"/>
      <c r="I57" s="739"/>
      <c r="J57" s="740"/>
    </row>
    <row r="58" spans="2:11" ht="15" customHeight="1">
      <c r="B58" s="732"/>
      <c r="C58" s="724"/>
      <c r="D58" s="724"/>
      <c r="E58" s="724" t="s">
        <v>146</v>
      </c>
      <c r="F58" s="733" t="s">
        <v>542</v>
      </c>
      <c r="G58" s="734"/>
      <c r="H58" s="735"/>
      <c r="I58" s="734"/>
      <c r="J58" s="735"/>
      <c r="K58" s="736"/>
    </row>
    <row r="59" spans="2:11" ht="15" customHeight="1">
      <c r="B59" s="732"/>
      <c r="C59" s="724"/>
      <c r="D59" s="724"/>
      <c r="E59" s="724" t="s">
        <v>147</v>
      </c>
      <c r="F59" s="733" t="s">
        <v>542</v>
      </c>
      <c r="G59" s="734"/>
      <c r="H59" s="735"/>
      <c r="I59" s="734"/>
      <c r="J59" s="735"/>
      <c r="K59" s="736"/>
    </row>
    <row r="60" spans="2:11" ht="15" customHeight="1">
      <c r="B60" s="732"/>
      <c r="C60" s="724"/>
      <c r="D60" s="728"/>
      <c r="E60" s="724" t="s">
        <v>148</v>
      </c>
      <c r="F60" s="733" t="s">
        <v>542</v>
      </c>
      <c r="G60" s="734"/>
      <c r="H60" s="735"/>
      <c r="I60" s="734"/>
      <c r="J60" s="735"/>
      <c r="K60" s="736"/>
    </row>
    <row r="61" spans="2:11" ht="15" customHeight="1">
      <c r="B61" s="732"/>
      <c r="C61" s="724"/>
      <c r="D61" s="728"/>
      <c r="E61" s="724" t="s">
        <v>149</v>
      </c>
      <c r="F61" s="733" t="s">
        <v>542</v>
      </c>
      <c r="G61" s="734"/>
      <c r="H61" s="735"/>
      <c r="I61" s="734"/>
      <c r="J61" s="735"/>
      <c r="K61" s="736"/>
    </row>
    <row r="62" spans="2:11" ht="15" customHeight="1">
      <c r="B62" s="732"/>
      <c r="C62" s="724"/>
      <c r="D62" s="728"/>
      <c r="E62" s="724" t="s">
        <v>150</v>
      </c>
      <c r="F62" s="733" t="s">
        <v>542</v>
      </c>
      <c r="G62" s="734"/>
      <c r="H62" s="735"/>
      <c r="I62" s="734"/>
      <c r="J62" s="735"/>
      <c r="K62" s="736"/>
    </row>
    <row r="63" spans="2:11" ht="15" customHeight="1">
      <c r="B63" s="732"/>
      <c r="C63" s="724"/>
      <c r="D63" s="728"/>
      <c r="E63" s="724" t="s">
        <v>151</v>
      </c>
      <c r="F63" s="733" t="s">
        <v>542</v>
      </c>
      <c r="G63" s="739"/>
      <c r="H63" s="740"/>
      <c r="I63" s="739"/>
      <c r="J63" s="740"/>
    </row>
    <row r="64" spans="2:11" ht="15" customHeight="1">
      <c r="B64" s="732"/>
      <c r="C64" s="724"/>
      <c r="D64" s="728"/>
      <c r="E64" s="724" t="s">
        <v>152</v>
      </c>
      <c r="F64" s="733" t="s">
        <v>542</v>
      </c>
      <c r="G64" s="739"/>
      <c r="H64" s="740"/>
      <c r="I64" s="739"/>
      <c r="J64" s="740"/>
    </row>
    <row r="65" spans="2:11" ht="15" customHeight="1">
      <c r="B65" s="732"/>
      <c r="C65" s="724"/>
      <c r="D65" s="728"/>
      <c r="E65" s="724"/>
      <c r="F65" s="749"/>
      <c r="G65" s="737"/>
      <c r="H65" s="738"/>
      <c r="I65" s="737"/>
      <c r="J65" s="738"/>
    </row>
    <row r="66" spans="2:11" ht="15" customHeight="1">
      <c r="B66" s="732"/>
      <c r="C66" s="724"/>
      <c r="D66" s="728" t="s">
        <v>153</v>
      </c>
      <c r="E66" s="724"/>
      <c r="F66" s="749"/>
      <c r="G66" s="737"/>
      <c r="H66" s="738"/>
      <c r="I66" s="737"/>
      <c r="J66" s="738"/>
    </row>
    <row r="67" spans="2:11" ht="15" customHeight="1">
      <c r="B67" s="732"/>
      <c r="C67" s="724"/>
      <c r="D67" s="728"/>
      <c r="E67" s="724" t="s">
        <v>154</v>
      </c>
      <c r="F67" s="733" t="s">
        <v>542</v>
      </c>
      <c r="G67" s="734">
        <v>1.66</v>
      </c>
      <c r="H67" s="735">
        <v>1.9919999999999998</v>
      </c>
      <c r="I67" s="734">
        <v>1.33</v>
      </c>
      <c r="J67" s="735">
        <v>1.78</v>
      </c>
      <c r="K67" s="736"/>
    </row>
    <row r="68" spans="2:11" ht="15" customHeight="1">
      <c r="B68" s="732"/>
      <c r="C68" s="724"/>
      <c r="D68" s="728"/>
      <c r="E68" s="724" t="s">
        <v>155</v>
      </c>
      <c r="F68" s="733" t="s">
        <v>542</v>
      </c>
      <c r="G68" s="734">
        <v>9.32</v>
      </c>
      <c r="H68" s="735">
        <v>11.183999999999999</v>
      </c>
      <c r="I68" s="734">
        <v>10.86</v>
      </c>
      <c r="J68" s="735">
        <v>12.82</v>
      </c>
      <c r="K68" s="736"/>
    </row>
    <row r="69" spans="2:11" ht="15" customHeight="1">
      <c r="B69" s="732"/>
      <c r="C69" s="724"/>
      <c r="D69" s="728"/>
      <c r="E69" s="724" t="s">
        <v>156</v>
      </c>
      <c r="F69" s="733" t="s">
        <v>542</v>
      </c>
      <c r="G69" s="734"/>
      <c r="H69" s="735"/>
      <c r="I69" s="734"/>
      <c r="J69" s="735"/>
      <c r="K69" s="736"/>
    </row>
    <row r="70" spans="2:11" ht="15" customHeight="1">
      <c r="B70" s="732"/>
      <c r="C70" s="724"/>
      <c r="D70" s="728"/>
      <c r="E70" s="724" t="s">
        <v>157</v>
      </c>
      <c r="F70" s="733" t="s">
        <v>542</v>
      </c>
      <c r="G70" s="734"/>
      <c r="H70" s="735"/>
      <c r="I70" s="734"/>
      <c r="J70" s="735"/>
      <c r="K70" s="736"/>
    </row>
    <row r="71" spans="2:11" ht="15" customHeight="1" thickBot="1">
      <c r="B71" s="741"/>
      <c r="C71" s="742"/>
      <c r="D71" s="742"/>
      <c r="E71" s="742"/>
      <c r="F71" s="743"/>
      <c r="G71" s="744"/>
      <c r="H71" s="745"/>
      <c r="I71" s="744"/>
      <c r="J71" s="745"/>
    </row>
    <row r="72" spans="2:11" ht="15" customHeight="1">
      <c r="B72" s="746"/>
      <c r="C72" s="747" t="s">
        <v>158</v>
      </c>
      <c r="D72" s="747"/>
      <c r="E72" s="748"/>
      <c r="F72" s="749"/>
      <c r="G72" s="737"/>
      <c r="H72" s="738"/>
      <c r="I72" s="737"/>
      <c r="J72" s="738"/>
    </row>
    <row r="73" spans="2:11" ht="15" customHeight="1">
      <c r="B73" s="732"/>
      <c r="C73" s="724"/>
      <c r="D73" s="728" t="s">
        <v>454</v>
      </c>
      <c r="E73" s="724"/>
      <c r="F73" s="733"/>
      <c r="G73" s="737"/>
      <c r="H73" s="738"/>
      <c r="I73" s="737"/>
      <c r="J73" s="738"/>
    </row>
    <row r="74" spans="2:11" ht="15" customHeight="1">
      <c r="B74" s="732"/>
      <c r="C74" s="724"/>
      <c r="D74" s="724"/>
      <c r="E74" s="724" t="s">
        <v>159</v>
      </c>
      <c r="F74" s="733" t="s">
        <v>541</v>
      </c>
      <c r="G74" s="734">
        <v>41.59</v>
      </c>
      <c r="H74" s="735">
        <v>49.908000000000001</v>
      </c>
      <c r="I74" s="734">
        <v>23.76</v>
      </c>
      <c r="J74" s="735">
        <v>26.88</v>
      </c>
      <c r="K74" s="736"/>
    </row>
    <row r="75" spans="2:11" ht="15" customHeight="1">
      <c r="B75" s="732"/>
      <c r="C75" s="724"/>
      <c r="D75" s="728"/>
      <c r="E75" s="724" t="s">
        <v>160</v>
      </c>
      <c r="F75" s="733" t="s">
        <v>541</v>
      </c>
      <c r="G75" s="734"/>
      <c r="H75" s="735"/>
      <c r="I75" s="734">
        <v>29.82</v>
      </c>
      <c r="J75" s="735">
        <v>33.67</v>
      </c>
      <c r="K75" s="736"/>
    </row>
    <row r="76" spans="2:11" ht="15" customHeight="1">
      <c r="B76" s="732"/>
      <c r="C76" s="724"/>
      <c r="D76" s="728"/>
      <c r="E76" s="724" t="s">
        <v>161</v>
      </c>
      <c r="F76" s="733" t="s">
        <v>541</v>
      </c>
      <c r="G76" s="734">
        <v>55.8</v>
      </c>
      <c r="H76" s="735">
        <v>66.959999999999994</v>
      </c>
      <c r="I76" s="734">
        <v>36.97</v>
      </c>
      <c r="J76" s="735">
        <v>41.55</v>
      </c>
      <c r="K76" s="736"/>
    </row>
    <row r="77" spans="2:11" ht="15" customHeight="1">
      <c r="B77" s="732"/>
      <c r="C77" s="724"/>
      <c r="D77" s="728"/>
      <c r="E77" s="724" t="s">
        <v>162</v>
      </c>
      <c r="F77" s="733" t="s">
        <v>541</v>
      </c>
      <c r="G77" s="734"/>
      <c r="H77" s="735"/>
      <c r="I77" s="734">
        <v>46.81</v>
      </c>
      <c r="J77" s="735">
        <v>52.49</v>
      </c>
      <c r="K77" s="736"/>
    </row>
    <row r="78" spans="2:11" ht="15" customHeight="1">
      <c r="B78" s="732"/>
      <c r="C78" s="724"/>
      <c r="D78" s="728"/>
      <c r="E78" s="724"/>
      <c r="F78" s="733"/>
      <c r="G78" s="737"/>
      <c r="H78" s="738"/>
      <c r="I78" s="737"/>
      <c r="J78" s="738"/>
    </row>
    <row r="79" spans="2:11" ht="15" customHeight="1">
      <c r="B79" s="732"/>
      <c r="C79" s="724"/>
      <c r="D79" s="728" t="s">
        <v>113</v>
      </c>
      <c r="E79" s="724"/>
      <c r="F79" s="733"/>
      <c r="G79" s="737"/>
      <c r="H79" s="738"/>
      <c r="I79" s="737"/>
      <c r="J79" s="738"/>
    </row>
    <row r="80" spans="2:11" ht="15" customHeight="1">
      <c r="B80" s="732"/>
      <c r="C80" s="724"/>
      <c r="D80" s="724"/>
      <c r="E80" s="724" t="s">
        <v>163</v>
      </c>
      <c r="F80" s="733" t="s">
        <v>542</v>
      </c>
      <c r="G80" s="734"/>
      <c r="H80" s="735"/>
      <c r="I80" s="734">
        <v>1.99</v>
      </c>
      <c r="J80" s="735">
        <v>2.61</v>
      </c>
      <c r="K80" s="736"/>
    </row>
    <row r="81" spans="2:11" ht="15" customHeight="1">
      <c r="B81" s="732"/>
      <c r="C81" s="724"/>
      <c r="D81" s="724"/>
      <c r="E81" s="724" t="s">
        <v>164</v>
      </c>
      <c r="F81" s="733" t="s">
        <v>542</v>
      </c>
      <c r="G81" s="734"/>
      <c r="H81" s="735"/>
      <c r="I81" s="734">
        <v>39.15</v>
      </c>
      <c r="J81" s="735">
        <v>45.36</v>
      </c>
      <c r="K81" s="736"/>
    </row>
    <row r="82" spans="2:11" ht="15" customHeight="1">
      <c r="B82" s="732"/>
      <c r="C82" s="724"/>
      <c r="D82" s="728"/>
      <c r="E82" s="724" t="s">
        <v>165</v>
      </c>
      <c r="F82" s="733" t="s">
        <v>542</v>
      </c>
      <c r="G82" s="734"/>
      <c r="H82" s="735"/>
      <c r="I82" s="734">
        <v>2.74</v>
      </c>
      <c r="J82" s="735">
        <v>3.61</v>
      </c>
      <c r="K82" s="736"/>
    </row>
    <row r="83" spans="2:11" ht="15" customHeight="1">
      <c r="B83" s="732"/>
      <c r="C83" s="724"/>
      <c r="D83" s="728"/>
      <c r="E83" s="724" t="s">
        <v>166</v>
      </c>
      <c r="F83" s="733" t="s">
        <v>542</v>
      </c>
      <c r="G83" s="734"/>
      <c r="H83" s="735"/>
      <c r="I83" s="734">
        <v>64.959999999999994</v>
      </c>
      <c r="J83" s="735">
        <v>74.53</v>
      </c>
      <c r="K83" s="736"/>
    </row>
    <row r="84" spans="2:11" ht="15" customHeight="1">
      <c r="B84" s="732"/>
      <c r="C84" s="724"/>
      <c r="D84" s="724"/>
      <c r="E84" s="724"/>
      <c r="F84" s="733"/>
      <c r="G84" s="737"/>
      <c r="H84" s="738"/>
      <c r="I84" s="737"/>
      <c r="J84" s="738"/>
    </row>
    <row r="85" spans="2:11" ht="15" customHeight="1">
      <c r="B85" s="722"/>
      <c r="C85" s="724"/>
      <c r="D85" s="728" t="s">
        <v>134</v>
      </c>
      <c r="E85" s="724"/>
      <c r="F85" s="733"/>
      <c r="G85" s="737"/>
      <c r="H85" s="738"/>
      <c r="I85" s="737"/>
      <c r="J85" s="738"/>
    </row>
    <row r="86" spans="2:11" ht="15" customHeight="1">
      <c r="B86" s="722"/>
      <c r="C86" s="724"/>
      <c r="D86" s="728"/>
      <c r="E86" s="724" t="s">
        <v>167</v>
      </c>
      <c r="F86" s="733" t="s">
        <v>541</v>
      </c>
      <c r="G86" s="734">
        <v>148.69</v>
      </c>
      <c r="H86" s="735">
        <v>178.428</v>
      </c>
      <c r="I86" s="734">
        <v>152.88999999999999</v>
      </c>
      <c r="J86" s="735">
        <v>173.04</v>
      </c>
      <c r="K86" s="736"/>
    </row>
    <row r="87" spans="2:11" ht="15" customHeight="1">
      <c r="B87" s="722"/>
      <c r="C87" s="724"/>
      <c r="D87" s="728"/>
      <c r="E87" s="724" t="s">
        <v>168</v>
      </c>
      <c r="F87" s="733" t="s">
        <v>541</v>
      </c>
      <c r="G87" s="734"/>
      <c r="H87" s="735"/>
      <c r="I87" s="734">
        <v>152.88999999999999</v>
      </c>
      <c r="J87" s="735">
        <v>152.88999999999999</v>
      </c>
      <c r="K87" s="736"/>
    </row>
    <row r="88" spans="2:11" ht="15" customHeight="1">
      <c r="B88" s="722"/>
      <c r="C88" s="724"/>
      <c r="D88" s="728"/>
      <c r="E88" s="724" t="s">
        <v>169</v>
      </c>
      <c r="F88" s="733" t="s">
        <v>541</v>
      </c>
      <c r="G88" s="734"/>
      <c r="H88" s="735"/>
      <c r="I88" s="734">
        <v>152.88999999999999</v>
      </c>
      <c r="J88" s="735">
        <v>173.42</v>
      </c>
      <c r="K88" s="736"/>
    </row>
    <row r="89" spans="2:11" ht="15" customHeight="1">
      <c r="B89" s="722"/>
      <c r="C89" s="724"/>
      <c r="D89" s="728"/>
      <c r="E89" s="724" t="s">
        <v>170</v>
      </c>
      <c r="F89" s="733" t="s">
        <v>541</v>
      </c>
      <c r="G89" s="734">
        <v>440.09</v>
      </c>
      <c r="H89" s="735">
        <v>528.10799999999995</v>
      </c>
      <c r="I89" s="734">
        <v>444.45</v>
      </c>
      <c r="J89" s="735"/>
      <c r="K89" s="736"/>
    </row>
    <row r="90" spans="2:11" ht="15" customHeight="1">
      <c r="B90" s="722"/>
      <c r="C90" s="724"/>
      <c r="D90" s="728"/>
      <c r="E90" s="724" t="s">
        <v>171</v>
      </c>
      <c r="F90" s="733" t="s">
        <v>541</v>
      </c>
      <c r="G90" s="734"/>
      <c r="H90" s="735"/>
      <c r="I90" s="734">
        <v>444.45</v>
      </c>
      <c r="J90" s="735"/>
      <c r="K90" s="736"/>
    </row>
    <row r="91" spans="2:11" ht="15" customHeight="1">
      <c r="B91" s="722"/>
      <c r="C91" s="724"/>
      <c r="D91" s="728"/>
      <c r="E91" s="724" t="s">
        <v>172</v>
      </c>
      <c r="F91" s="733" t="s">
        <v>541</v>
      </c>
      <c r="G91" s="734"/>
      <c r="H91" s="735"/>
      <c r="I91" s="734">
        <v>444.45</v>
      </c>
      <c r="J91" s="735"/>
      <c r="K91" s="736"/>
    </row>
    <row r="92" spans="2:11" ht="15" customHeight="1">
      <c r="B92" s="722"/>
      <c r="C92" s="724"/>
      <c r="D92" s="724"/>
      <c r="E92" s="724"/>
      <c r="F92" s="733"/>
      <c r="G92" s="737"/>
      <c r="H92" s="738"/>
      <c r="I92" s="737"/>
      <c r="J92" s="738"/>
    </row>
    <row r="93" spans="2:11" ht="15" customHeight="1">
      <c r="B93" s="722"/>
      <c r="C93" s="724"/>
      <c r="D93" s="728" t="s">
        <v>137</v>
      </c>
      <c r="E93" s="724"/>
      <c r="F93" s="733"/>
      <c r="G93" s="737"/>
      <c r="H93" s="738"/>
      <c r="I93" s="737"/>
      <c r="J93" s="738"/>
    </row>
    <row r="94" spans="2:11" ht="15" customHeight="1">
      <c r="B94" s="722"/>
      <c r="C94" s="724"/>
      <c r="D94" s="724"/>
      <c r="E94" s="724" t="s">
        <v>173</v>
      </c>
      <c r="F94" s="733" t="s">
        <v>541</v>
      </c>
      <c r="G94" s="734"/>
      <c r="H94" s="735"/>
      <c r="I94" s="734">
        <v>1020.97</v>
      </c>
      <c r="J94" s="735">
        <v>1134.52</v>
      </c>
      <c r="K94" s="736"/>
    </row>
    <row r="95" spans="2:11" ht="15" customHeight="1">
      <c r="B95" s="722"/>
      <c r="C95" s="724"/>
      <c r="D95" s="728"/>
      <c r="E95" s="724"/>
      <c r="F95" s="733"/>
      <c r="G95" s="737"/>
      <c r="H95" s="738"/>
      <c r="I95" s="737"/>
      <c r="J95" s="738"/>
    </row>
    <row r="96" spans="2:11" ht="15" customHeight="1">
      <c r="B96" s="722"/>
      <c r="C96" s="724"/>
      <c r="D96" s="728" t="s">
        <v>120</v>
      </c>
      <c r="E96" s="724"/>
      <c r="F96" s="733"/>
      <c r="G96" s="737"/>
      <c r="H96" s="738"/>
      <c r="I96" s="737"/>
      <c r="J96" s="738"/>
    </row>
    <row r="97" spans="2:11" ht="15" customHeight="1">
      <c r="B97" s="722"/>
      <c r="C97" s="724"/>
      <c r="D97" s="728"/>
      <c r="E97" s="748" t="s">
        <v>174</v>
      </c>
      <c r="F97" s="733" t="s">
        <v>542</v>
      </c>
      <c r="G97" s="734">
        <v>74.239999999999995</v>
      </c>
      <c r="H97" s="735">
        <v>89.087999999999994</v>
      </c>
      <c r="I97" s="734">
        <v>59.25</v>
      </c>
      <c r="J97" s="735">
        <v>66.58</v>
      </c>
      <c r="K97" s="736"/>
    </row>
    <row r="98" spans="2:11" ht="15" customHeight="1">
      <c r="B98" s="722"/>
      <c r="C98" s="724"/>
      <c r="D98" s="728"/>
      <c r="E98" s="748" t="s">
        <v>175</v>
      </c>
      <c r="F98" s="733" t="s">
        <v>542</v>
      </c>
      <c r="G98" s="734">
        <v>51.24</v>
      </c>
      <c r="H98" s="735">
        <v>61.488</v>
      </c>
      <c r="I98" s="734">
        <v>44.23</v>
      </c>
      <c r="J98" s="735">
        <v>51.4</v>
      </c>
      <c r="K98" s="736"/>
    </row>
    <row r="99" spans="2:11" ht="15" customHeight="1">
      <c r="B99" s="722"/>
      <c r="C99" s="724"/>
      <c r="D99" s="728"/>
      <c r="E99" s="748" t="s">
        <v>176</v>
      </c>
      <c r="F99" s="733" t="s">
        <v>542</v>
      </c>
      <c r="G99" s="734"/>
      <c r="H99" s="735"/>
      <c r="I99" s="734">
        <v>29.05</v>
      </c>
      <c r="J99" s="735">
        <v>33.17</v>
      </c>
      <c r="K99" s="736"/>
    </row>
    <row r="100" spans="2:11" ht="15" customHeight="1">
      <c r="B100" s="722"/>
      <c r="C100" s="724"/>
      <c r="D100" s="728"/>
      <c r="E100" s="748" t="s">
        <v>177</v>
      </c>
      <c r="F100" s="733" t="s">
        <v>542</v>
      </c>
      <c r="G100" s="734"/>
      <c r="H100" s="735"/>
      <c r="I100" s="734"/>
      <c r="J100" s="735"/>
      <c r="K100" s="736"/>
    </row>
    <row r="101" spans="2:11" ht="15" customHeight="1">
      <c r="B101" s="722"/>
      <c r="C101" s="724"/>
      <c r="D101" s="728"/>
      <c r="E101" s="748" t="s">
        <v>178</v>
      </c>
      <c r="F101" s="733" t="s">
        <v>542</v>
      </c>
      <c r="G101" s="734"/>
      <c r="H101" s="735"/>
      <c r="I101" s="734"/>
      <c r="J101" s="735"/>
      <c r="K101" s="736"/>
    </row>
    <row r="102" spans="2:11" ht="15" customHeight="1">
      <c r="B102" s="722"/>
      <c r="C102" s="724"/>
      <c r="D102" s="728"/>
      <c r="E102" s="748" t="s">
        <v>179</v>
      </c>
      <c r="F102" s="733" t="s">
        <v>542</v>
      </c>
      <c r="G102" s="739"/>
      <c r="H102" s="740"/>
      <c r="I102" s="739"/>
      <c r="J102" s="740"/>
    </row>
    <row r="103" spans="2:11" ht="15" customHeight="1">
      <c r="B103" s="722"/>
      <c r="C103" s="724"/>
      <c r="D103" s="728"/>
      <c r="E103" s="748" t="s">
        <v>180</v>
      </c>
      <c r="F103" s="733" t="s">
        <v>542</v>
      </c>
      <c r="G103" s="734">
        <v>77.239999999999995</v>
      </c>
      <c r="H103" s="735">
        <v>92.687999999999988</v>
      </c>
      <c r="I103" s="734">
        <v>77.239999999999995</v>
      </c>
      <c r="J103" s="735">
        <v>88.11</v>
      </c>
      <c r="K103" s="736"/>
    </row>
    <row r="104" spans="2:11" ht="15" customHeight="1">
      <c r="B104" s="722"/>
      <c r="C104" s="724"/>
      <c r="D104" s="728"/>
      <c r="E104" s="748" t="s">
        <v>181</v>
      </c>
      <c r="F104" s="733" t="s">
        <v>542</v>
      </c>
      <c r="G104" s="739"/>
      <c r="H104" s="740"/>
      <c r="I104" s="739"/>
      <c r="J104" s="740"/>
    </row>
    <row r="105" spans="2:11" ht="15" customHeight="1">
      <c r="B105" s="722"/>
      <c r="C105" s="724"/>
      <c r="D105" s="728"/>
      <c r="E105" s="724"/>
      <c r="F105" s="733"/>
      <c r="G105" s="737"/>
      <c r="H105" s="738"/>
      <c r="I105" s="737"/>
      <c r="J105" s="738"/>
    </row>
    <row r="106" spans="2:11" ht="15" customHeight="1">
      <c r="B106" s="722"/>
      <c r="C106" s="724"/>
      <c r="D106" s="728" t="s">
        <v>153</v>
      </c>
      <c r="E106" s="724"/>
      <c r="F106" s="733"/>
      <c r="G106" s="737"/>
      <c r="H106" s="738"/>
      <c r="I106" s="737"/>
      <c r="J106" s="738"/>
    </row>
    <row r="107" spans="2:11" ht="15" customHeight="1">
      <c r="B107" s="722"/>
      <c r="C107" s="724"/>
      <c r="D107" s="724"/>
      <c r="E107" s="748" t="s">
        <v>182</v>
      </c>
      <c r="F107" s="733" t="s">
        <v>542</v>
      </c>
      <c r="G107" s="734"/>
      <c r="H107" s="735"/>
      <c r="I107" s="734"/>
      <c r="J107" s="735"/>
      <c r="K107" s="736"/>
    </row>
    <row r="108" spans="2:11" ht="15" customHeight="1">
      <c r="B108" s="722"/>
      <c r="C108" s="724"/>
      <c r="D108" s="724"/>
      <c r="E108" s="748" t="s">
        <v>183</v>
      </c>
      <c r="F108" s="733" t="s">
        <v>542</v>
      </c>
      <c r="G108" s="734">
        <v>228.25</v>
      </c>
      <c r="H108" s="735">
        <v>273.89999999999998</v>
      </c>
      <c r="I108" s="734">
        <v>223.81</v>
      </c>
      <c r="J108" s="735">
        <v>262.73</v>
      </c>
      <c r="K108" s="736"/>
    </row>
    <row r="109" spans="2:11" ht="15" customHeight="1">
      <c r="B109" s="722"/>
      <c r="C109" s="724"/>
      <c r="D109" s="724"/>
      <c r="E109" s="724" t="s">
        <v>184</v>
      </c>
      <c r="F109" s="733" t="s">
        <v>542</v>
      </c>
      <c r="G109" s="739"/>
      <c r="H109" s="740"/>
      <c r="I109" s="739"/>
      <c r="J109" s="740"/>
      <c r="K109" s="736"/>
    </row>
    <row r="110" spans="2:11" ht="15" customHeight="1">
      <c r="B110" s="722"/>
      <c r="C110" s="724"/>
      <c r="D110" s="724"/>
      <c r="E110" s="748" t="s">
        <v>185</v>
      </c>
      <c r="F110" s="733" t="s">
        <v>542</v>
      </c>
      <c r="G110" s="734">
        <v>411.49</v>
      </c>
      <c r="H110" s="735">
        <v>493.78800000000001</v>
      </c>
      <c r="I110" s="734">
        <v>399.61</v>
      </c>
      <c r="J110" s="735">
        <v>457.92</v>
      </c>
      <c r="K110" s="736"/>
    </row>
    <row r="111" spans="2:11" ht="15" customHeight="1">
      <c r="B111" s="722"/>
      <c r="C111" s="724"/>
      <c r="D111" s="728"/>
      <c r="E111" s="724" t="s">
        <v>186</v>
      </c>
      <c r="F111" s="733" t="s">
        <v>542</v>
      </c>
      <c r="G111" s="739"/>
      <c r="H111" s="740"/>
      <c r="I111" s="739"/>
      <c r="J111" s="740"/>
    </row>
    <row r="112" spans="2:11" ht="15" customHeight="1" thickBot="1">
      <c r="B112" s="741"/>
      <c r="C112" s="742"/>
      <c r="D112" s="742"/>
      <c r="E112" s="742"/>
      <c r="F112" s="743"/>
      <c r="G112" s="750"/>
      <c r="H112" s="751"/>
      <c r="I112" s="750"/>
      <c r="J112" s="751"/>
    </row>
    <row r="113" spans="2:11" ht="15" customHeight="1">
      <c r="B113" s="746"/>
      <c r="C113" s="747" t="s">
        <v>187</v>
      </c>
      <c r="D113" s="747"/>
      <c r="E113" s="748"/>
      <c r="F113" s="749"/>
      <c r="G113" s="737"/>
      <c r="H113" s="738"/>
      <c r="I113" s="737"/>
      <c r="J113" s="738"/>
    </row>
    <row r="114" spans="2:11" ht="15" customHeight="1">
      <c r="B114" s="722"/>
      <c r="C114" s="724"/>
      <c r="D114" s="728" t="s">
        <v>454</v>
      </c>
      <c r="E114" s="724"/>
      <c r="F114" s="733"/>
      <c r="G114" s="737"/>
      <c r="H114" s="738"/>
      <c r="I114" s="737"/>
      <c r="J114" s="738"/>
    </row>
    <row r="115" spans="2:11" ht="15" customHeight="1">
      <c r="B115" s="722"/>
      <c r="C115" s="724"/>
      <c r="D115" s="728"/>
      <c r="E115" s="724" t="s">
        <v>188</v>
      </c>
      <c r="F115" s="733" t="s">
        <v>541</v>
      </c>
      <c r="G115" s="734">
        <v>74.69</v>
      </c>
      <c r="H115" s="735">
        <v>89.628</v>
      </c>
      <c r="I115" s="734">
        <v>52.85</v>
      </c>
      <c r="J115" s="735">
        <v>52.85</v>
      </c>
      <c r="K115" s="736"/>
    </row>
    <row r="116" spans="2:11" ht="15" customHeight="1">
      <c r="B116" s="722"/>
      <c r="C116" s="724"/>
      <c r="D116" s="728"/>
      <c r="E116" s="724" t="s">
        <v>189</v>
      </c>
      <c r="F116" s="733" t="s">
        <v>541</v>
      </c>
      <c r="G116" s="734">
        <v>637</v>
      </c>
      <c r="H116" s="735">
        <v>764.4</v>
      </c>
      <c r="I116" s="734">
        <v>47.77</v>
      </c>
      <c r="J116" s="735">
        <v>53.51</v>
      </c>
      <c r="K116" s="736"/>
    </row>
    <row r="117" spans="2:11" ht="15" customHeight="1">
      <c r="B117" s="722"/>
      <c r="C117" s="724"/>
      <c r="D117" s="728"/>
      <c r="E117" s="748"/>
      <c r="F117" s="733"/>
      <c r="G117" s="737"/>
      <c r="H117" s="738"/>
      <c r="I117" s="737"/>
      <c r="J117" s="738"/>
    </row>
    <row r="118" spans="2:11" ht="15" customHeight="1">
      <c r="B118" s="722"/>
      <c r="C118" s="724"/>
      <c r="D118" s="728" t="s">
        <v>113</v>
      </c>
      <c r="E118" s="724"/>
      <c r="F118" s="749"/>
      <c r="G118" s="737"/>
      <c r="H118" s="738"/>
      <c r="I118" s="737"/>
      <c r="J118" s="738"/>
    </row>
    <row r="119" spans="2:11" ht="15" customHeight="1">
      <c r="B119" s="722"/>
      <c r="C119" s="724"/>
      <c r="D119" s="728"/>
      <c r="E119" s="724" t="s">
        <v>190</v>
      </c>
      <c r="F119" s="733" t="s">
        <v>542</v>
      </c>
      <c r="G119" s="734"/>
      <c r="H119" s="735"/>
      <c r="I119" s="734">
        <v>2.61</v>
      </c>
      <c r="J119" s="735">
        <v>3.64</v>
      </c>
      <c r="K119" s="736"/>
    </row>
    <row r="120" spans="2:11" ht="15" customHeight="1">
      <c r="B120" s="722"/>
      <c r="C120" s="724"/>
      <c r="D120" s="728"/>
      <c r="E120" s="724" t="s">
        <v>191</v>
      </c>
      <c r="F120" s="733" t="s">
        <v>542</v>
      </c>
      <c r="G120" s="734"/>
      <c r="H120" s="735"/>
      <c r="I120" s="734">
        <v>86.15</v>
      </c>
      <c r="J120" s="735">
        <v>98.62</v>
      </c>
      <c r="K120" s="736"/>
    </row>
    <row r="121" spans="2:11" ht="15" customHeight="1">
      <c r="B121" s="722"/>
      <c r="C121" s="724"/>
      <c r="D121" s="728"/>
      <c r="E121" s="748" t="s">
        <v>192</v>
      </c>
      <c r="F121" s="733" t="s">
        <v>542</v>
      </c>
      <c r="G121" s="734"/>
      <c r="H121" s="735"/>
      <c r="I121" s="734">
        <v>2.98</v>
      </c>
      <c r="J121" s="735">
        <v>3.8</v>
      </c>
      <c r="K121" s="736"/>
    </row>
    <row r="122" spans="2:11" ht="15" customHeight="1">
      <c r="B122" s="722"/>
      <c r="C122" s="724"/>
      <c r="D122" s="724"/>
      <c r="E122" s="724"/>
      <c r="F122" s="733"/>
      <c r="G122" s="737"/>
      <c r="H122" s="738"/>
      <c r="I122" s="737"/>
      <c r="J122" s="738"/>
    </row>
    <row r="123" spans="2:11" ht="15" customHeight="1">
      <c r="B123" s="722"/>
      <c r="C123" s="724"/>
      <c r="D123" s="728" t="s">
        <v>134</v>
      </c>
      <c r="E123" s="724"/>
      <c r="F123" s="749"/>
      <c r="G123" s="737"/>
      <c r="H123" s="738"/>
      <c r="I123" s="737"/>
      <c r="J123" s="738"/>
    </row>
    <row r="124" spans="2:11" ht="15" customHeight="1">
      <c r="B124" s="722"/>
      <c r="C124" s="724"/>
      <c r="D124" s="724"/>
      <c r="E124" s="724" t="s">
        <v>193</v>
      </c>
      <c r="F124" s="733" t="s">
        <v>541</v>
      </c>
      <c r="G124" s="734">
        <v>1170.8800000000001</v>
      </c>
      <c r="H124" s="735">
        <v>1405.056</v>
      </c>
      <c r="I124" s="734">
        <v>1191.4000000000001</v>
      </c>
      <c r="J124" s="735">
        <v>0</v>
      </c>
      <c r="K124" s="736"/>
    </row>
    <row r="125" spans="2:11" ht="15" customHeight="1">
      <c r="B125" s="722"/>
      <c r="C125" s="724"/>
      <c r="D125" s="724"/>
      <c r="E125" s="724" t="s">
        <v>194</v>
      </c>
      <c r="F125" s="733" t="s">
        <v>541</v>
      </c>
      <c r="G125" s="734"/>
      <c r="H125" s="735"/>
      <c r="I125" s="734">
        <v>1191.4000000000001</v>
      </c>
      <c r="J125" s="735">
        <v>1323.44</v>
      </c>
      <c r="K125" s="736"/>
    </row>
    <row r="126" spans="2:11" ht="15" customHeight="1">
      <c r="B126" s="722"/>
      <c r="C126" s="724"/>
      <c r="D126" s="724"/>
      <c r="E126" s="724" t="s">
        <v>195</v>
      </c>
      <c r="F126" s="733" t="s">
        <v>541</v>
      </c>
      <c r="G126" s="734"/>
      <c r="H126" s="735"/>
      <c r="I126" s="734"/>
      <c r="J126" s="735"/>
      <c r="K126" s="736"/>
    </row>
    <row r="127" spans="2:11" ht="15" customHeight="1">
      <c r="B127" s="722"/>
      <c r="C127" s="724"/>
      <c r="D127" s="724"/>
      <c r="E127" s="724"/>
      <c r="F127" s="729"/>
      <c r="G127" s="737"/>
      <c r="H127" s="738"/>
      <c r="I127" s="737"/>
      <c r="J127" s="738"/>
    </row>
    <row r="128" spans="2:11" ht="15" customHeight="1">
      <c r="B128" s="722"/>
      <c r="C128" s="724"/>
      <c r="D128" s="728" t="s">
        <v>137</v>
      </c>
      <c r="E128" s="724"/>
      <c r="F128" s="729"/>
      <c r="G128" s="737"/>
      <c r="H128" s="738"/>
      <c r="I128" s="737"/>
      <c r="J128" s="738"/>
    </row>
    <row r="129" spans="2:11" ht="15" customHeight="1">
      <c r="B129" s="722"/>
      <c r="C129" s="724"/>
      <c r="D129" s="724"/>
      <c r="E129" s="748" t="s">
        <v>196</v>
      </c>
      <c r="F129" s="733" t="s">
        <v>541</v>
      </c>
      <c r="G129" s="734"/>
      <c r="H129" s="735"/>
      <c r="I129" s="734"/>
      <c r="J129" s="735"/>
      <c r="K129" s="736"/>
    </row>
    <row r="130" spans="2:11" ht="15" customHeight="1">
      <c r="B130" s="722"/>
      <c r="C130" s="724"/>
      <c r="D130" s="724"/>
      <c r="E130" s="724"/>
      <c r="F130" s="729"/>
      <c r="G130" s="737"/>
      <c r="H130" s="738"/>
      <c r="I130" s="737"/>
      <c r="J130" s="738"/>
    </row>
    <row r="131" spans="2:11" ht="15" customHeight="1">
      <c r="B131" s="722"/>
      <c r="C131" s="724"/>
      <c r="D131" s="728" t="s">
        <v>120</v>
      </c>
      <c r="E131" s="724"/>
      <c r="F131" s="729"/>
      <c r="G131" s="737"/>
      <c r="H131" s="738"/>
      <c r="I131" s="737"/>
      <c r="J131" s="738"/>
    </row>
    <row r="132" spans="2:11" ht="15" customHeight="1">
      <c r="B132" s="722"/>
      <c r="C132" s="724"/>
      <c r="D132" s="724"/>
      <c r="E132" s="724" t="s">
        <v>197</v>
      </c>
      <c r="F132" s="733" t="s">
        <v>542</v>
      </c>
      <c r="G132" s="734">
        <v>120.95</v>
      </c>
      <c r="H132" s="735">
        <v>145.13999999999999</v>
      </c>
      <c r="I132" s="734">
        <v>131.08000000000001</v>
      </c>
      <c r="J132" s="735">
        <v>146.88</v>
      </c>
      <c r="K132" s="736"/>
    </row>
    <row r="133" spans="2:11" ht="15" customHeight="1">
      <c r="B133" s="722"/>
      <c r="C133" s="724"/>
      <c r="D133" s="724"/>
      <c r="E133" s="724" t="s">
        <v>198</v>
      </c>
      <c r="F133" s="733" t="s">
        <v>542</v>
      </c>
      <c r="G133" s="739"/>
      <c r="H133" s="740"/>
      <c r="I133" s="739"/>
      <c r="J133" s="740"/>
    </row>
    <row r="134" spans="2:11" ht="15" customHeight="1">
      <c r="B134" s="722"/>
      <c r="C134" s="724"/>
      <c r="D134" s="724"/>
      <c r="E134" s="724"/>
      <c r="F134" s="729"/>
      <c r="G134" s="737"/>
      <c r="H134" s="738"/>
      <c r="I134" s="737"/>
      <c r="J134" s="738"/>
    </row>
    <row r="135" spans="2:11" ht="15" customHeight="1">
      <c r="B135" s="722"/>
      <c r="C135" s="724"/>
      <c r="D135" s="728" t="s">
        <v>153</v>
      </c>
      <c r="E135" s="724"/>
      <c r="F135" s="733"/>
      <c r="G135" s="737"/>
      <c r="H135" s="738"/>
      <c r="I135" s="737"/>
      <c r="J135" s="738"/>
    </row>
    <row r="136" spans="2:11" ht="15" customHeight="1">
      <c r="B136" s="722"/>
      <c r="C136" s="724"/>
      <c r="D136" s="724"/>
      <c r="E136" s="748" t="s">
        <v>199</v>
      </c>
      <c r="F136" s="733" t="s">
        <v>542</v>
      </c>
      <c r="G136" s="734">
        <v>975.14</v>
      </c>
      <c r="H136" s="735">
        <v>1170.1679999999999</v>
      </c>
      <c r="I136" s="734">
        <v>1018.69</v>
      </c>
      <c r="J136" s="735">
        <v>1139.95</v>
      </c>
      <c r="K136" s="736"/>
    </row>
    <row r="137" spans="2:11" ht="15" customHeight="1">
      <c r="B137" s="722"/>
      <c r="C137" s="724"/>
      <c r="D137" s="724"/>
      <c r="E137" s="748" t="s">
        <v>200</v>
      </c>
      <c r="F137" s="733" t="s">
        <v>542</v>
      </c>
      <c r="G137" s="739"/>
      <c r="H137" s="740"/>
      <c r="I137" s="739"/>
      <c r="J137" s="740"/>
    </row>
    <row r="138" spans="2:11" ht="15" customHeight="1" thickBot="1">
      <c r="B138" s="741"/>
      <c r="C138" s="742"/>
      <c r="D138" s="742"/>
      <c r="E138" s="742"/>
      <c r="F138" s="743"/>
      <c r="G138" s="750"/>
      <c r="H138" s="751"/>
      <c r="I138" s="750"/>
      <c r="J138" s="751"/>
    </row>
    <row r="139" spans="2:11" ht="15" customHeight="1">
      <c r="B139" s="746"/>
      <c r="C139" s="747" t="s">
        <v>201</v>
      </c>
      <c r="D139" s="747"/>
      <c r="E139" s="748"/>
      <c r="F139" s="749"/>
      <c r="G139" s="737"/>
      <c r="H139" s="738"/>
      <c r="I139" s="737"/>
      <c r="J139" s="738"/>
    </row>
    <row r="140" spans="2:11" ht="15" customHeight="1">
      <c r="B140" s="722"/>
      <c r="C140" s="724"/>
      <c r="D140" s="728" t="s">
        <v>202</v>
      </c>
      <c r="E140" s="724"/>
      <c r="F140" s="733"/>
      <c r="G140" s="737"/>
      <c r="H140" s="738"/>
      <c r="I140" s="737"/>
      <c r="J140" s="738"/>
    </row>
    <row r="141" spans="2:11" ht="15" customHeight="1">
      <c r="B141" s="722"/>
      <c r="C141" s="724"/>
      <c r="D141" s="724"/>
      <c r="E141" s="748" t="s">
        <v>203</v>
      </c>
      <c r="F141" s="733" t="s">
        <v>542</v>
      </c>
      <c r="G141" s="739"/>
      <c r="H141" s="740"/>
      <c r="I141" s="739"/>
      <c r="J141" s="740"/>
    </row>
    <row r="142" spans="2:11" ht="15" customHeight="1">
      <c r="B142" s="722"/>
      <c r="C142" s="724"/>
      <c r="D142" s="724"/>
      <c r="E142" s="748" t="s">
        <v>204</v>
      </c>
      <c r="F142" s="733" t="s">
        <v>542</v>
      </c>
      <c r="G142" s="739"/>
      <c r="H142" s="740"/>
      <c r="I142" s="739"/>
      <c r="J142" s="740"/>
    </row>
    <row r="143" spans="2:11" ht="15" customHeight="1">
      <c r="B143" s="722"/>
      <c r="C143" s="748"/>
      <c r="D143" s="728"/>
      <c r="E143" s="724"/>
      <c r="F143" s="733"/>
      <c r="G143" s="737"/>
      <c r="H143" s="738"/>
      <c r="I143" s="737"/>
      <c r="J143" s="738"/>
    </row>
    <row r="144" spans="2:11" ht="15" customHeight="1">
      <c r="B144" s="722"/>
      <c r="C144" s="724"/>
      <c r="D144" s="728" t="s">
        <v>205</v>
      </c>
      <c r="E144" s="724"/>
      <c r="F144" s="733"/>
      <c r="G144" s="737"/>
      <c r="H144" s="738"/>
      <c r="I144" s="737"/>
      <c r="J144" s="738"/>
    </row>
    <row r="145" spans="2:11" ht="15" customHeight="1">
      <c r="B145" s="722"/>
      <c r="C145" s="724"/>
      <c r="D145" s="724"/>
      <c r="E145" s="748" t="s">
        <v>206</v>
      </c>
      <c r="F145" s="733" t="s">
        <v>542</v>
      </c>
      <c r="G145" s="739"/>
      <c r="H145" s="740"/>
      <c r="I145" s="739"/>
      <c r="J145" s="740"/>
    </row>
    <row r="146" spans="2:11" ht="15" customHeight="1">
      <c r="B146" s="722"/>
      <c r="C146" s="724"/>
      <c r="D146" s="724"/>
      <c r="E146" s="748" t="s">
        <v>207</v>
      </c>
      <c r="F146" s="733" t="s">
        <v>542</v>
      </c>
      <c r="G146" s="739"/>
      <c r="H146" s="740"/>
      <c r="I146" s="739"/>
      <c r="J146" s="740"/>
    </row>
    <row r="147" spans="2:11" ht="15" customHeight="1" thickBot="1">
      <c r="B147" s="741"/>
      <c r="C147" s="742"/>
      <c r="D147" s="742"/>
      <c r="E147" s="742"/>
      <c r="F147" s="743"/>
      <c r="G147" s="752"/>
      <c r="H147" s="753"/>
      <c r="I147" s="752"/>
      <c r="J147" s="753"/>
    </row>
    <row r="148" spans="2:11" ht="15" customHeight="1" thickBot="1">
      <c r="B148" s="748"/>
      <c r="C148" s="748"/>
      <c r="D148" s="748"/>
      <c r="E148" s="748"/>
      <c r="F148" s="748"/>
      <c r="G148" s="448"/>
      <c r="H148" s="448"/>
      <c r="I148" s="448"/>
      <c r="J148" s="448"/>
    </row>
    <row r="149" spans="2:11" ht="15" customHeight="1">
      <c r="B149" s="754"/>
      <c r="C149" s="755" t="s">
        <v>543</v>
      </c>
      <c r="D149" s="755"/>
      <c r="E149" s="756"/>
      <c r="F149" s="757"/>
      <c r="G149" s="758"/>
      <c r="H149" s="759"/>
      <c r="I149" s="758"/>
      <c r="J149" s="759"/>
    </row>
    <row r="150" spans="2:11" ht="15" customHeight="1">
      <c r="B150" s="732"/>
      <c r="C150" s="724"/>
      <c r="D150" s="728"/>
      <c r="E150" s="728" t="s">
        <v>140</v>
      </c>
      <c r="F150" s="733"/>
      <c r="G150" s="760"/>
      <c r="H150" s="761"/>
      <c r="I150" s="760"/>
      <c r="J150" s="761"/>
    </row>
    <row r="151" spans="2:11" ht="15" customHeight="1">
      <c r="B151" s="732"/>
      <c r="C151" s="724"/>
      <c r="D151" s="728"/>
      <c r="E151" s="762" t="s">
        <v>544</v>
      </c>
      <c r="F151" s="733" t="s">
        <v>542</v>
      </c>
      <c r="G151" s="734">
        <v>20.49</v>
      </c>
      <c r="H151" s="735">
        <v>24.587999999999997</v>
      </c>
      <c r="I151" s="734">
        <v>21.37</v>
      </c>
      <c r="J151" s="735">
        <v>24.52</v>
      </c>
      <c r="K151" s="736"/>
    </row>
    <row r="152" spans="2:11" ht="15" customHeight="1">
      <c r="B152" s="732"/>
      <c r="C152" s="724"/>
      <c r="D152" s="728"/>
      <c r="E152" s="762" t="s">
        <v>545</v>
      </c>
      <c r="F152" s="733" t="s">
        <v>542</v>
      </c>
      <c r="G152" s="734">
        <v>20.49</v>
      </c>
      <c r="H152" s="735">
        <v>24.587999999999997</v>
      </c>
      <c r="I152" s="734">
        <v>21.37</v>
      </c>
      <c r="J152" s="735">
        <v>24.52</v>
      </c>
      <c r="K152" s="736"/>
    </row>
    <row r="153" spans="2:11" ht="15" customHeight="1">
      <c r="B153" s="732"/>
      <c r="C153" s="724"/>
      <c r="D153" s="728"/>
      <c r="E153" s="728" t="s">
        <v>149</v>
      </c>
      <c r="F153" s="733"/>
      <c r="G153" s="760"/>
      <c r="H153" s="761"/>
      <c r="I153" s="760"/>
      <c r="J153" s="761"/>
    </row>
    <row r="154" spans="2:11" ht="15" customHeight="1">
      <c r="B154" s="732"/>
      <c r="C154" s="724"/>
      <c r="D154" s="728"/>
      <c r="E154" s="762" t="s">
        <v>544</v>
      </c>
      <c r="F154" s="733" t="s">
        <v>542</v>
      </c>
      <c r="G154" s="734"/>
      <c r="H154" s="735"/>
      <c r="I154" s="734"/>
      <c r="J154" s="735"/>
      <c r="K154" s="736"/>
    </row>
    <row r="155" spans="2:11" ht="15" customHeight="1" thickBot="1">
      <c r="B155" s="763"/>
      <c r="C155" s="764"/>
      <c r="D155" s="765"/>
      <c r="E155" s="766" t="s">
        <v>545</v>
      </c>
      <c r="F155" s="767" t="s">
        <v>542</v>
      </c>
      <c r="G155" s="768"/>
      <c r="H155" s="769"/>
      <c r="I155" s="768"/>
      <c r="J155" s="769"/>
      <c r="K155" s="736"/>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326" t="s">
        <v>546</v>
      </c>
      <c r="K3" s="1327"/>
      <c r="L3" s="1328"/>
      <c r="N3" s="1326" t="s">
        <v>547</v>
      </c>
      <c r="O3" s="1327"/>
      <c r="P3" s="1328"/>
    </row>
    <row r="4" spans="10:16">
      <c r="J4" s="1329" t="s">
        <v>548</v>
      </c>
      <c r="K4" s="1330"/>
      <c r="L4" s="1331"/>
      <c r="N4" s="1329" t="s">
        <v>549</v>
      </c>
      <c r="O4" s="1330"/>
      <c r="P4" s="1331"/>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47" t="s">
        <v>551</v>
      </c>
      <c r="F1" s="48" t="s">
        <v>1022</v>
      </c>
      <c r="H1" t="s">
        <v>1059</v>
      </c>
    </row>
    <row r="3" spans="1:38">
      <c r="A3" s="47" t="s">
        <v>101</v>
      </c>
    </row>
    <row r="5" spans="1:38">
      <c r="C5" s="770" t="s">
        <v>552</v>
      </c>
      <c r="D5" s="771"/>
      <c r="E5" s="771"/>
      <c r="F5" s="771"/>
      <c r="G5" s="771"/>
      <c r="H5" s="771"/>
      <c r="I5" s="770"/>
      <c r="J5" s="771"/>
      <c r="K5" s="771"/>
      <c r="L5" s="771"/>
      <c r="M5" s="771"/>
      <c r="N5" s="771"/>
      <c r="O5" s="771"/>
      <c r="P5" s="771"/>
      <c r="Q5" s="771"/>
      <c r="R5" s="771"/>
      <c r="S5" s="771"/>
      <c r="T5" s="771"/>
      <c r="U5" s="771"/>
      <c r="V5" s="771"/>
      <c r="W5" s="771"/>
      <c r="X5" s="771"/>
      <c r="Y5" s="771"/>
      <c r="Z5" s="771"/>
      <c r="AA5" s="771"/>
      <c r="AB5" s="771"/>
      <c r="AC5" s="771"/>
      <c r="AD5" s="771"/>
      <c r="AE5" s="771"/>
      <c r="AF5" s="771"/>
      <c r="AG5" s="771"/>
      <c r="AH5" s="771"/>
      <c r="AI5" s="771"/>
      <c r="AJ5" s="771"/>
      <c r="AK5" s="771"/>
      <c r="AL5" s="772"/>
    </row>
    <row r="6" spans="1:38">
      <c r="C6" s="773"/>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4"/>
      <c r="AL6" s="775"/>
    </row>
    <row r="7" spans="1:38" ht="12.75" customHeight="1">
      <c r="C7" s="773"/>
      <c r="D7" s="1345" t="s">
        <v>553</v>
      </c>
      <c r="E7" s="1346"/>
      <c r="F7" s="1346"/>
      <c r="G7" s="1346"/>
      <c r="H7" s="1346"/>
      <c r="I7" s="1346"/>
      <c r="J7" s="1346"/>
      <c r="K7" s="1346"/>
      <c r="L7" s="1346"/>
      <c r="M7" s="1346"/>
      <c r="N7" s="1346"/>
      <c r="O7" s="1346"/>
      <c r="P7" s="1346"/>
      <c r="Q7" s="1346"/>
      <c r="R7" s="1346"/>
      <c r="S7" s="1346"/>
      <c r="T7" s="1346"/>
      <c r="U7" s="1346"/>
      <c r="V7" s="1346"/>
      <c r="W7" s="1346"/>
      <c r="X7" s="1347"/>
      <c r="Y7" s="1332" t="s">
        <v>554</v>
      </c>
      <c r="Z7" s="1332" t="s">
        <v>555</v>
      </c>
      <c r="AA7" s="1332" t="s">
        <v>556</v>
      </c>
      <c r="AB7" s="1332" t="s">
        <v>557</v>
      </c>
      <c r="AC7" s="1332" t="s">
        <v>558</v>
      </c>
      <c r="AD7" s="1332" t="s">
        <v>559</v>
      </c>
      <c r="AE7" s="1332" t="s">
        <v>560</v>
      </c>
      <c r="AF7" s="1332" t="s">
        <v>561</v>
      </c>
      <c r="AG7" s="1332" t="s">
        <v>562</v>
      </c>
      <c r="AH7" s="1332" t="s">
        <v>563</v>
      </c>
      <c r="AI7" s="1332" t="s">
        <v>564</v>
      </c>
      <c r="AJ7" s="1332" t="s">
        <v>565</v>
      </c>
      <c r="AK7" s="1336" t="s">
        <v>566</v>
      </c>
      <c r="AL7" s="776"/>
    </row>
    <row r="8" spans="1:38">
      <c r="C8" s="773"/>
      <c r="D8" s="1339" t="s">
        <v>567</v>
      </c>
      <c r="E8" s="1340"/>
      <c r="F8" s="1340"/>
      <c r="G8" s="1340"/>
      <c r="H8" s="1340"/>
      <c r="I8" s="1341"/>
      <c r="J8" s="1342" t="s">
        <v>568</v>
      </c>
      <c r="K8" s="1343"/>
      <c r="L8" s="1343"/>
      <c r="M8" s="1343"/>
      <c r="N8" s="1343"/>
      <c r="O8" s="1343"/>
      <c r="P8" s="1343"/>
      <c r="Q8" s="1343"/>
      <c r="R8" s="1343"/>
      <c r="S8" s="1343"/>
      <c r="T8" s="1343"/>
      <c r="U8" s="1343"/>
      <c r="V8" s="1343"/>
      <c r="W8" s="1343"/>
      <c r="X8" s="1344"/>
      <c r="Y8" s="1333"/>
      <c r="Z8" s="1333"/>
      <c r="AA8" s="1333"/>
      <c r="AB8" s="1333"/>
      <c r="AC8" s="1333"/>
      <c r="AD8" s="1333"/>
      <c r="AE8" s="1333"/>
      <c r="AF8" s="1333"/>
      <c r="AG8" s="1333"/>
      <c r="AH8" s="1333"/>
      <c r="AI8" s="1333"/>
      <c r="AJ8" s="1333"/>
      <c r="AK8" s="1337"/>
      <c r="AL8" s="776"/>
    </row>
    <row r="9" spans="1:38" s="777" customFormat="1" ht="151.5">
      <c r="C9" s="778" t="s">
        <v>569</v>
      </c>
      <c r="D9" s="779" t="s">
        <v>570</v>
      </c>
      <c r="E9" s="779" t="s">
        <v>571</v>
      </c>
      <c r="F9" s="779" t="s">
        <v>572</v>
      </c>
      <c r="G9" s="779" t="s">
        <v>573</v>
      </c>
      <c r="H9" s="779" t="s">
        <v>574</v>
      </c>
      <c r="I9" s="779" t="s">
        <v>575</v>
      </c>
      <c r="J9" s="779" t="s">
        <v>576</v>
      </c>
      <c r="K9" s="780" t="s">
        <v>577</v>
      </c>
      <c r="L9" s="780" t="s">
        <v>578</v>
      </c>
      <c r="M9" s="780" t="s">
        <v>579</v>
      </c>
      <c r="N9" s="780" t="s">
        <v>580</v>
      </c>
      <c r="O9" s="780" t="s">
        <v>581</v>
      </c>
      <c r="P9" s="780" t="s">
        <v>582</v>
      </c>
      <c r="Q9" s="780" t="s">
        <v>583</v>
      </c>
      <c r="R9" s="780" t="s">
        <v>584</v>
      </c>
      <c r="S9" s="780" t="s">
        <v>585</v>
      </c>
      <c r="T9" s="780" t="s">
        <v>586</v>
      </c>
      <c r="U9" s="780" t="s">
        <v>587</v>
      </c>
      <c r="V9" s="780" t="s">
        <v>588</v>
      </c>
      <c r="W9" s="780" t="s">
        <v>589</v>
      </c>
      <c r="X9" s="780" t="s">
        <v>590</v>
      </c>
      <c r="Y9" s="1334"/>
      <c r="Z9" s="1334"/>
      <c r="AA9" s="1334"/>
      <c r="AB9" s="1334"/>
      <c r="AC9" s="1334"/>
      <c r="AD9" s="1334"/>
      <c r="AE9" s="1334"/>
      <c r="AF9" s="1334"/>
      <c r="AG9" s="1334"/>
      <c r="AH9" s="1334"/>
      <c r="AI9" s="1334"/>
      <c r="AJ9" s="1334"/>
      <c r="AK9" s="1338"/>
      <c r="AL9" s="781"/>
    </row>
    <row r="10" spans="1:38">
      <c r="C10" s="782"/>
      <c r="D10" s="783" t="s">
        <v>591</v>
      </c>
      <c r="E10" s="783" t="s">
        <v>591</v>
      </c>
      <c r="F10" s="783" t="s">
        <v>591</v>
      </c>
      <c r="G10" s="783" t="s">
        <v>591</v>
      </c>
      <c r="H10" s="783" t="s">
        <v>591</v>
      </c>
      <c r="I10" s="783" t="s">
        <v>591</v>
      </c>
      <c r="J10" s="783" t="s">
        <v>591</v>
      </c>
      <c r="K10" s="783" t="s">
        <v>591</v>
      </c>
      <c r="L10" s="783" t="s">
        <v>591</v>
      </c>
      <c r="M10" s="783" t="s">
        <v>591</v>
      </c>
      <c r="N10" s="783" t="s">
        <v>591</v>
      </c>
      <c r="O10" s="783" t="s">
        <v>591</v>
      </c>
      <c r="P10" s="783" t="s">
        <v>591</v>
      </c>
      <c r="Q10" s="783" t="s">
        <v>591</v>
      </c>
      <c r="R10" s="783" t="s">
        <v>591</v>
      </c>
      <c r="S10" s="783" t="s">
        <v>591</v>
      </c>
      <c r="T10" s="783" t="s">
        <v>591</v>
      </c>
      <c r="U10" s="783" t="s">
        <v>591</v>
      </c>
      <c r="V10" s="783" t="s">
        <v>591</v>
      </c>
      <c r="W10" s="783" t="s">
        <v>591</v>
      </c>
      <c r="X10" s="783" t="s">
        <v>591</v>
      </c>
      <c r="Y10" s="783" t="s">
        <v>591</v>
      </c>
      <c r="Z10" s="783" t="s">
        <v>591</v>
      </c>
      <c r="AA10" s="783" t="s">
        <v>591</v>
      </c>
      <c r="AB10" s="783" t="s">
        <v>591</v>
      </c>
      <c r="AC10" s="783" t="s">
        <v>591</v>
      </c>
      <c r="AD10" s="783" t="s">
        <v>591</v>
      </c>
      <c r="AE10" s="783" t="s">
        <v>591</v>
      </c>
      <c r="AF10" s="783" t="s">
        <v>591</v>
      </c>
      <c r="AG10" s="783" t="s">
        <v>591</v>
      </c>
      <c r="AH10" s="783" t="s">
        <v>591</v>
      </c>
      <c r="AI10" s="783" t="s">
        <v>591</v>
      </c>
      <c r="AJ10" s="783" t="s">
        <v>591</v>
      </c>
      <c r="AK10" s="783" t="s">
        <v>591</v>
      </c>
      <c r="AL10" s="775"/>
    </row>
    <row r="11" spans="1:38">
      <c r="C11" s="784"/>
      <c r="D11" s="785"/>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L11" s="775"/>
    </row>
    <row r="12" spans="1:38">
      <c r="C12" s="786" t="s">
        <v>592</v>
      </c>
      <c r="D12" s="787">
        <v>-0.50000000000000178</v>
      </c>
      <c r="E12" s="787">
        <v>32.299999999999997</v>
      </c>
      <c r="F12" s="787">
        <v>3</v>
      </c>
      <c r="G12" s="787">
        <v>8.3000000000000007</v>
      </c>
      <c r="H12" s="787">
        <v>5.5</v>
      </c>
      <c r="I12" s="787">
        <v>4.0999999999999996</v>
      </c>
      <c r="J12" s="787">
        <v>0.6</v>
      </c>
      <c r="K12" s="787">
        <v>3.5</v>
      </c>
      <c r="L12" s="787">
        <v>2.9</v>
      </c>
      <c r="M12" s="787">
        <v>7.2</v>
      </c>
      <c r="N12" s="787">
        <v>1.9</v>
      </c>
      <c r="O12" s="787">
        <v>1</v>
      </c>
      <c r="P12" s="787">
        <v>0.7</v>
      </c>
      <c r="Q12" s="787">
        <v>0.9</v>
      </c>
      <c r="R12" s="787">
        <v>2.7</v>
      </c>
      <c r="S12" s="787">
        <v>6.8</v>
      </c>
      <c r="T12" s="787">
        <v>2.1</v>
      </c>
      <c r="U12" s="787">
        <v>0.9</v>
      </c>
      <c r="V12" s="787">
        <v>1.1000000000000001</v>
      </c>
      <c r="W12" s="787">
        <v>5.8</v>
      </c>
      <c r="X12" s="787">
        <v>1.8</v>
      </c>
      <c r="Y12" s="787">
        <v>4.3</v>
      </c>
      <c r="Z12" s="787">
        <v>13.4</v>
      </c>
      <c r="AA12" s="787">
        <v>1.8</v>
      </c>
      <c r="AB12" s="787">
        <v>8.9</v>
      </c>
      <c r="AC12" s="787">
        <v>-0.1</v>
      </c>
      <c r="AD12" s="787">
        <v>0.1</v>
      </c>
      <c r="AE12" s="787">
        <v>-2.7755575615628914E-17</v>
      </c>
      <c r="AF12" s="787">
        <v>25.3</v>
      </c>
      <c r="AG12" s="787">
        <v>15.1</v>
      </c>
      <c r="AH12" s="787">
        <v>4.2</v>
      </c>
      <c r="AI12" s="787">
        <v>0</v>
      </c>
      <c r="AJ12" s="787">
        <v>-2.9000000000000057</v>
      </c>
      <c r="AK12" s="787">
        <v>162.69999999999999</v>
      </c>
      <c r="AL12" s="788"/>
    </row>
    <row r="13" spans="1:38">
      <c r="C13" s="786" t="s">
        <v>593</v>
      </c>
      <c r="D13" s="789"/>
      <c r="E13" s="789"/>
      <c r="F13" s="789"/>
      <c r="G13" s="789"/>
      <c r="H13" s="789"/>
      <c r="I13" s="789"/>
      <c r="J13" s="789"/>
      <c r="K13" s="789"/>
      <c r="L13" s="789"/>
      <c r="M13" s="789"/>
      <c r="N13" s="789"/>
      <c r="O13" s="789"/>
      <c r="P13" s="789"/>
      <c r="Q13" s="789"/>
      <c r="R13" s="789"/>
      <c r="S13" s="789"/>
      <c r="T13" s="789"/>
      <c r="U13" s="789"/>
      <c r="V13" s="789"/>
      <c r="W13" s="789"/>
      <c r="X13" s="789"/>
      <c r="Y13" s="789"/>
      <c r="Z13" s="789"/>
      <c r="AA13" s="789"/>
      <c r="AB13" s="789"/>
      <c r="AC13" s="789"/>
      <c r="AD13" s="789"/>
      <c r="AE13" s="789"/>
      <c r="AF13" s="789"/>
      <c r="AG13" s="789"/>
      <c r="AH13" s="789"/>
      <c r="AI13" s="789"/>
      <c r="AJ13" s="789"/>
      <c r="AK13" s="790">
        <v>0</v>
      </c>
      <c r="AL13" s="788"/>
    </row>
    <row r="14" spans="1:38">
      <c r="C14" s="786" t="s">
        <v>592</v>
      </c>
      <c r="D14" s="787">
        <v>-0.50000000000000178</v>
      </c>
      <c r="E14" s="787">
        <v>32.299999999999997</v>
      </c>
      <c r="F14" s="787">
        <v>3</v>
      </c>
      <c r="G14" s="787">
        <v>8.3000000000000007</v>
      </c>
      <c r="H14" s="787">
        <v>5.5</v>
      </c>
      <c r="I14" s="787">
        <v>4.0999999999999996</v>
      </c>
      <c r="J14" s="787">
        <v>0.6</v>
      </c>
      <c r="K14" s="787">
        <v>3.5</v>
      </c>
      <c r="L14" s="787">
        <v>2.9</v>
      </c>
      <c r="M14" s="787">
        <v>7.2</v>
      </c>
      <c r="N14" s="787">
        <v>1.9</v>
      </c>
      <c r="O14" s="787">
        <v>1</v>
      </c>
      <c r="P14" s="787">
        <v>0.7</v>
      </c>
      <c r="Q14" s="787">
        <v>0.9</v>
      </c>
      <c r="R14" s="787">
        <v>2.7</v>
      </c>
      <c r="S14" s="787">
        <v>6.8</v>
      </c>
      <c r="T14" s="787">
        <v>2.1</v>
      </c>
      <c r="U14" s="787">
        <v>0.9</v>
      </c>
      <c r="V14" s="787">
        <v>1.1000000000000001</v>
      </c>
      <c r="W14" s="787">
        <v>5.8</v>
      </c>
      <c r="X14" s="787">
        <v>1.8</v>
      </c>
      <c r="Y14" s="787">
        <v>4.3</v>
      </c>
      <c r="Z14" s="787">
        <v>13.4</v>
      </c>
      <c r="AA14" s="787">
        <v>1.8</v>
      </c>
      <c r="AB14" s="787">
        <v>8.9</v>
      </c>
      <c r="AC14" s="787">
        <v>-0.1</v>
      </c>
      <c r="AD14" s="787">
        <v>0.1</v>
      </c>
      <c r="AE14" s="787">
        <v>-2.7755575615628914E-17</v>
      </c>
      <c r="AF14" s="787">
        <v>25.3</v>
      </c>
      <c r="AG14" s="787">
        <v>15.1</v>
      </c>
      <c r="AH14" s="787">
        <v>4.2</v>
      </c>
      <c r="AI14" s="787">
        <v>0</v>
      </c>
      <c r="AJ14" s="787">
        <v>-2.9000000000000057</v>
      </c>
      <c r="AK14" s="787">
        <v>162.69999999999999</v>
      </c>
      <c r="AL14" s="788"/>
    </row>
    <row r="15" spans="1:38">
      <c r="C15" s="786"/>
      <c r="D15" s="787"/>
      <c r="E15" s="787"/>
      <c r="F15" s="787"/>
      <c r="G15" s="787"/>
      <c r="H15" s="787"/>
      <c r="I15" s="787"/>
      <c r="J15" s="787"/>
      <c r="K15" s="787"/>
      <c r="L15" s="787"/>
      <c r="M15" s="787"/>
      <c r="N15" s="787"/>
      <c r="O15" s="787"/>
      <c r="P15" s="787"/>
      <c r="Q15" s="787"/>
      <c r="R15" s="787"/>
      <c r="S15" s="787"/>
      <c r="T15" s="787"/>
      <c r="U15" s="787"/>
      <c r="V15" s="787"/>
      <c r="W15" s="787"/>
      <c r="X15" s="787"/>
      <c r="Y15" s="787"/>
      <c r="Z15" s="787"/>
      <c r="AA15" s="787"/>
      <c r="AB15" s="787"/>
      <c r="AC15" s="787"/>
      <c r="AD15" s="787"/>
      <c r="AE15" s="787"/>
      <c r="AF15" s="787"/>
      <c r="AG15" s="787"/>
      <c r="AH15" s="787"/>
      <c r="AI15" s="787"/>
      <c r="AJ15" s="787"/>
      <c r="AK15" s="787"/>
      <c r="AL15" s="788"/>
    </row>
    <row r="16" spans="1:38">
      <c r="C16" s="786" t="s">
        <v>594</v>
      </c>
      <c r="D16" s="787">
        <v>2.8</v>
      </c>
      <c r="E16" s="787">
        <v>25.5</v>
      </c>
      <c r="F16" s="787">
        <v>4.3</v>
      </c>
      <c r="G16" s="787">
        <v>8.6</v>
      </c>
      <c r="H16" s="787">
        <v>5.3</v>
      </c>
      <c r="I16" s="787">
        <v>2.9</v>
      </c>
      <c r="J16" s="787">
        <v>0.6</v>
      </c>
      <c r="K16" s="787">
        <v>3</v>
      </c>
      <c r="L16" s="787">
        <v>2.2000000000000002</v>
      </c>
      <c r="M16" s="787">
        <v>5.2</v>
      </c>
      <c r="N16" s="787">
        <v>1.9</v>
      </c>
      <c r="O16" s="787">
        <v>0.8</v>
      </c>
      <c r="P16" s="787">
        <v>0.6</v>
      </c>
      <c r="Q16" s="787">
        <v>1.6</v>
      </c>
      <c r="R16" s="787">
        <v>2.8</v>
      </c>
      <c r="S16" s="787">
        <v>6.3</v>
      </c>
      <c r="T16" s="787">
        <v>2.1</v>
      </c>
      <c r="U16" s="787">
        <v>1</v>
      </c>
      <c r="V16" s="787">
        <v>0.9</v>
      </c>
      <c r="W16" s="787">
        <v>4.8</v>
      </c>
      <c r="X16" s="787">
        <v>1.5</v>
      </c>
      <c r="Y16" s="787">
        <v>4.9000000000000004</v>
      </c>
      <c r="Z16" s="787">
        <v>6.9</v>
      </c>
      <c r="AA16" s="787">
        <v>5.9</v>
      </c>
      <c r="AB16" s="787">
        <v>13.7</v>
      </c>
      <c r="AC16" s="787">
        <v>0.2</v>
      </c>
      <c r="AD16" s="787">
        <v>0</v>
      </c>
      <c r="AE16" s="787">
        <v>0</v>
      </c>
      <c r="AF16" s="787">
        <v>33.9</v>
      </c>
      <c r="AG16" s="787">
        <v>14.6</v>
      </c>
      <c r="AH16" s="787">
        <v>4.2</v>
      </c>
      <c r="AI16" s="787">
        <v>0</v>
      </c>
      <c r="AJ16" s="787">
        <v>-8.8000000000000114</v>
      </c>
      <c r="AK16" s="787">
        <v>160.19999999999999</v>
      </c>
      <c r="AL16" s="791"/>
    </row>
    <row r="17" spans="3:38">
      <c r="C17" s="786"/>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787"/>
      <c r="AG17" s="787"/>
      <c r="AH17" s="787"/>
      <c r="AI17" s="787"/>
      <c r="AJ17" s="787"/>
      <c r="AK17" s="787"/>
      <c r="AL17" s="791"/>
    </row>
    <row r="18" spans="3:38">
      <c r="C18" s="786" t="s">
        <v>595</v>
      </c>
      <c r="D18" s="787">
        <v>5.5</v>
      </c>
      <c r="E18" s="787">
        <v>17.3</v>
      </c>
      <c r="F18" s="787">
        <v>2.4</v>
      </c>
      <c r="G18" s="787">
        <v>8.1</v>
      </c>
      <c r="H18" s="787">
        <v>6.8</v>
      </c>
      <c r="I18" s="787">
        <v>3.3</v>
      </c>
      <c r="J18" s="787">
        <v>0.6</v>
      </c>
      <c r="K18" s="787">
        <v>3.2</v>
      </c>
      <c r="L18" s="787">
        <v>2.2999999999999998</v>
      </c>
      <c r="M18" s="787">
        <v>6.5</v>
      </c>
      <c r="N18" s="787">
        <v>2.5</v>
      </c>
      <c r="O18" s="787">
        <v>0.8</v>
      </c>
      <c r="P18" s="787">
        <v>0.9</v>
      </c>
      <c r="Q18" s="787">
        <v>1.5</v>
      </c>
      <c r="R18" s="787">
        <v>2.9</v>
      </c>
      <c r="S18" s="787">
        <v>6.2</v>
      </c>
      <c r="T18" s="787">
        <v>2.2000000000000002</v>
      </c>
      <c r="U18" s="787">
        <v>0.8</v>
      </c>
      <c r="V18" s="787">
        <v>0.7</v>
      </c>
      <c r="W18" s="787">
        <v>4</v>
      </c>
      <c r="X18" s="787">
        <v>1.9</v>
      </c>
      <c r="Y18" s="787">
        <v>1.6</v>
      </c>
      <c r="Z18" s="787">
        <v>4.3</v>
      </c>
      <c r="AA18" s="787">
        <v>5.0999999999999996</v>
      </c>
      <c r="AB18" s="787">
        <v>5</v>
      </c>
      <c r="AC18" s="787">
        <v>0</v>
      </c>
      <c r="AD18" s="787">
        <v>0</v>
      </c>
      <c r="AE18" s="787">
        <v>0</v>
      </c>
      <c r="AF18" s="787">
        <v>31.395595999999998</v>
      </c>
      <c r="AG18" s="787">
        <v>14.3</v>
      </c>
      <c r="AH18" s="787">
        <v>3.9</v>
      </c>
      <c r="AI18" s="787">
        <v>-0.9</v>
      </c>
      <c r="AJ18" s="787">
        <v>-4.8955959999999834</v>
      </c>
      <c r="AK18" s="787">
        <v>140.19999999999999</v>
      </c>
      <c r="AL18" s="791"/>
    </row>
    <row r="19" spans="3:38">
      <c r="C19" s="792"/>
      <c r="D19" s="793"/>
      <c r="E19" s="793"/>
      <c r="F19" s="793"/>
      <c r="G19" s="793"/>
      <c r="H19" s="793"/>
      <c r="I19" s="793"/>
      <c r="J19" s="793"/>
      <c r="K19" s="793"/>
      <c r="L19" s="793"/>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3"/>
      <c r="AL19" s="788"/>
    </row>
    <row r="20" spans="3:38">
      <c r="C20" s="774"/>
      <c r="D20" s="794"/>
      <c r="E20" s="794"/>
      <c r="F20" s="794"/>
      <c r="G20" s="794"/>
      <c r="H20" s="794"/>
      <c r="I20" s="794"/>
      <c r="J20" s="794"/>
      <c r="K20" s="794"/>
      <c r="L20" s="794"/>
      <c r="M20" s="794"/>
      <c r="N20" s="794"/>
      <c r="O20" s="794"/>
      <c r="P20" s="794"/>
      <c r="Q20" s="794"/>
      <c r="R20" s="794"/>
      <c r="S20" s="794"/>
      <c r="T20" s="794"/>
      <c r="U20" s="794"/>
      <c r="V20" s="794"/>
      <c r="W20" s="794"/>
      <c r="X20" s="794"/>
      <c r="Y20" s="794"/>
      <c r="Z20" s="794"/>
      <c r="AA20" s="794"/>
      <c r="AB20" s="794"/>
      <c r="AC20" s="794"/>
      <c r="AD20" s="794"/>
      <c r="AE20" s="794"/>
      <c r="AF20" s="794"/>
      <c r="AG20" s="794"/>
      <c r="AH20" s="794"/>
      <c r="AI20" s="794"/>
      <c r="AJ20" s="794"/>
      <c r="AK20" s="794"/>
      <c r="AL20" s="788"/>
    </row>
    <row r="21" spans="3:38">
      <c r="C21" s="795" t="s">
        <v>596</v>
      </c>
      <c r="D21" s="795"/>
      <c r="E21" s="795"/>
      <c r="F21" s="796"/>
      <c r="G21" s="797"/>
      <c r="H21" s="797"/>
      <c r="I21" s="797"/>
      <c r="J21" s="797"/>
      <c r="K21" s="797"/>
      <c r="L21" s="797"/>
      <c r="M21" s="797"/>
      <c r="N21" s="797"/>
      <c r="O21" s="797"/>
      <c r="P21" s="797"/>
      <c r="Q21" s="797"/>
      <c r="R21" s="798"/>
      <c r="S21" s="795"/>
      <c r="T21" s="795"/>
      <c r="U21" s="795"/>
      <c r="V21" s="795"/>
      <c r="W21" s="795"/>
      <c r="X21" s="795"/>
      <c r="Y21" s="795"/>
      <c r="Z21" s="795"/>
      <c r="AA21" s="795"/>
      <c r="AB21" s="794"/>
      <c r="AC21" s="794"/>
      <c r="AD21" s="794"/>
      <c r="AE21" s="794"/>
      <c r="AF21" s="794"/>
      <c r="AG21" s="794"/>
      <c r="AH21" s="794"/>
      <c r="AI21" s="794"/>
      <c r="AJ21" s="794"/>
      <c r="AK21" s="794"/>
      <c r="AL21" s="788"/>
    </row>
    <row r="22" spans="3:38" ht="12.75" customHeight="1">
      <c r="C22" s="795">
        <v>1</v>
      </c>
      <c r="D22" s="1335" t="s">
        <v>597</v>
      </c>
      <c r="E22" s="1335"/>
      <c r="F22" s="1335"/>
      <c r="G22" s="1335"/>
      <c r="H22" s="1335"/>
      <c r="I22" s="1335"/>
      <c r="J22" s="1335"/>
      <c r="K22" s="1335"/>
      <c r="L22" s="1335"/>
      <c r="M22" s="1335"/>
      <c r="N22" s="1335"/>
      <c r="O22" s="1335"/>
      <c r="P22" s="1335"/>
      <c r="Q22" s="1335"/>
      <c r="R22" s="1335"/>
      <c r="S22" s="1335"/>
      <c r="T22" s="1335"/>
      <c r="U22" s="1335"/>
      <c r="V22" s="1335"/>
      <c r="W22" s="1335"/>
      <c r="X22" s="1335"/>
      <c r="Y22" s="1335"/>
      <c r="Z22" s="1335"/>
      <c r="AA22" s="1335"/>
      <c r="AB22" s="794"/>
      <c r="AC22" s="794"/>
      <c r="AD22" s="794"/>
      <c r="AE22" s="794"/>
      <c r="AF22" s="794"/>
      <c r="AG22" s="794"/>
      <c r="AH22" s="794"/>
      <c r="AI22" s="794"/>
      <c r="AJ22" s="794"/>
      <c r="AK22" s="794"/>
      <c r="AL22" s="788"/>
    </row>
    <row r="23" spans="3:38" ht="12.75" customHeight="1">
      <c r="C23" s="795">
        <v>2</v>
      </c>
      <c r="D23" s="1335" t="s">
        <v>598</v>
      </c>
      <c r="E23" s="1335"/>
      <c r="F23" s="1335"/>
      <c r="G23" s="1335"/>
      <c r="H23" s="1335"/>
      <c r="I23" s="1335"/>
      <c r="J23" s="1335"/>
      <c r="K23" s="1335"/>
      <c r="L23" s="1335"/>
      <c r="M23" s="1335"/>
      <c r="N23" s="1335"/>
      <c r="O23" s="1335"/>
      <c r="P23" s="1335"/>
      <c r="Q23" s="1335"/>
      <c r="R23" s="1335"/>
      <c r="S23" s="1335"/>
      <c r="T23" s="1335"/>
      <c r="U23" s="1335"/>
      <c r="V23" s="1335"/>
      <c r="W23" s="1335"/>
      <c r="X23" s="1335"/>
      <c r="Y23" s="1335"/>
      <c r="Z23" s="1335"/>
      <c r="AA23" s="1335"/>
      <c r="AB23" s="794"/>
      <c r="AC23" s="794"/>
      <c r="AD23" s="794"/>
      <c r="AE23" s="794"/>
      <c r="AF23" s="794"/>
      <c r="AG23" s="794"/>
      <c r="AH23" s="794"/>
      <c r="AI23" s="794"/>
      <c r="AJ23" s="794"/>
      <c r="AK23" s="794"/>
      <c r="AL23" s="788"/>
    </row>
    <row r="24" spans="3:38" ht="12.75" customHeight="1">
      <c r="C24" s="795">
        <v>3</v>
      </c>
      <c r="D24" s="1335" t="s">
        <v>599</v>
      </c>
      <c r="E24" s="1335"/>
      <c r="F24" s="1335"/>
      <c r="G24" s="1335"/>
      <c r="H24" s="1335"/>
      <c r="I24" s="1335"/>
      <c r="J24" s="1335"/>
      <c r="K24" s="1335"/>
      <c r="L24" s="1335"/>
      <c r="M24" s="1335"/>
      <c r="N24" s="1335"/>
      <c r="O24" s="1335"/>
      <c r="P24" s="1335"/>
      <c r="Q24" s="1335"/>
      <c r="R24" s="1335"/>
      <c r="S24" s="1335"/>
      <c r="T24" s="1335"/>
      <c r="U24" s="1335"/>
      <c r="V24" s="1335"/>
      <c r="W24" s="1335"/>
      <c r="X24" s="1335"/>
      <c r="Y24" s="1335"/>
      <c r="Z24" s="1335"/>
      <c r="AA24" s="1335"/>
      <c r="AB24" s="794"/>
      <c r="AC24" s="794"/>
      <c r="AD24" s="794"/>
      <c r="AE24" s="794"/>
      <c r="AF24" s="794"/>
      <c r="AG24" s="794"/>
      <c r="AH24" s="794"/>
      <c r="AI24" s="794"/>
      <c r="AJ24" s="794"/>
      <c r="AK24" s="794"/>
      <c r="AL24" s="788"/>
    </row>
    <row r="25" spans="3:38" ht="12.75" customHeight="1">
      <c r="C25" s="795">
        <v>4</v>
      </c>
      <c r="D25" s="1335" t="s">
        <v>600</v>
      </c>
      <c r="E25" s="1335"/>
      <c r="F25" s="1335"/>
      <c r="G25" s="1335"/>
      <c r="H25" s="1335"/>
      <c r="I25" s="1335"/>
      <c r="J25" s="1335"/>
      <c r="K25" s="1335"/>
      <c r="L25" s="1335"/>
      <c r="M25" s="1335"/>
      <c r="N25" s="1335"/>
      <c r="O25" s="1335"/>
      <c r="P25" s="1335"/>
      <c r="Q25" s="1335"/>
      <c r="R25" s="1335"/>
      <c r="S25" s="1335"/>
      <c r="T25" s="1335"/>
      <c r="U25" s="1335"/>
      <c r="V25" s="1335"/>
      <c r="W25" s="1335"/>
      <c r="X25" s="1335"/>
      <c r="Y25" s="1335"/>
      <c r="Z25" s="1335"/>
      <c r="AA25" s="1335"/>
      <c r="AB25" s="794"/>
      <c r="AC25" s="794"/>
      <c r="AD25" s="794"/>
      <c r="AE25" s="794"/>
      <c r="AF25" s="794"/>
      <c r="AG25" s="794"/>
      <c r="AH25" s="794"/>
      <c r="AI25" s="794"/>
      <c r="AJ25" s="794"/>
      <c r="AK25" s="794"/>
      <c r="AL25" s="788"/>
    </row>
    <row r="26" spans="3:38" ht="12.75" customHeight="1">
      <c r="C26" s="795">
        <v>5</v>
      </c>
      <c r="D26" s="1335" t="s">
        <v>601</v>
      </c>
      <c r="E26" s="1335"/>
      <c r="F26" s="1335"/>
      <c r="G26" s="1335"/>
      <c r="H26" s="1335"/>
      <c r="I26" s="1335"/>
      <c r="J26" s="1335"/>
      <c r="K26" s="1335"/>
      <c r="L26" s="1335"/>
      <c r="M26" s="1335"/>
      <c r="N26" s="1335"/>
      <c r="O26" s="1335"/>
      <c r="P26" s="1335"/>
      <c r="Q26" s="1335"/>
      <c r="R26" s="1335"/>
      <c r="S26" s="1335"/>
      <c r="T26" s="1335"/>
      <c r="U26" s="1335"/>
      <c r="V26" s="1335"/>
      <c r="W26" s="1335"/>
      <c r="X26" s="1335"/>
      <c r="Y26" s="1335"/>
      <c r="Z26" s="1335"/>
      <c r="AA26" s="1335"/>
      <c r="AB26" s="794"/>
      <c r="AC26" s="794"/>
      <c r="AD26" s="794"/>
      <c r="AE26" s="794"/>
      <c r="AF26" s="794"/>
      <c r="AG26" s="794"/>
      <c r="AH26" s="794"/>
      <c r="AI26" s="794"/>
      <c r="AJ26" s="794"/>
      <c r="AK26" s="794"/>
      <c r="AL26" s="788"/>
    </row>
    <row r="27" spans="3:38">
      <c r="C27" s="799"/>
      <c r="D27" s="800"/>
      <c r="E27" s="800"/>
      <c r="F27" s="800"/>
      <c r="G27" s="800"/>
      <c r="H27" s="800"/>
      <c r="I27" s="800"/>
      <c r="J27" s="800"/>
      <c r="K27" s="800"/>
      <c r="L27" s="800"/>
      <c r="M27" s="800"/>
      <c r="N27" s="800"/>
      <c r="O27" s="800"/>
      <c r="P27" s="800"/>
      <c r="Q27" s="800"/>
      <c r="R27" s="800"/>
      <c r="S27" s="800"/>
      <c r="T27" s="800"/>
      <c r="U27" s="800"/>
      <c r="V27" s="800"/>
      <c r="W27" s="800"/>
      <c r="X27" s="800"/>
      <c r="Y27" s="800"/>
      <c r="Z27" s="800"/>
      <c r="AA27" s="800"/>
      <c r="AB27" s="800"/>
      <c r="AC27" s="800"/>
      <c r="AD27" s="800"/>
      <c r="AE27" s="800"/>
      <c r="AF27" s="800"/>
      <c r="AG27" s="800"/>
      <c r="AH27" s="800"/>
      <c r="AI27" s="800"/>
      <c r="AJ27" s="800"/>
      <c r="AK27" s="800"/>
      <c r="AL27" s="801"/>
    </row>
  </sheetData>
  <mergeCells count="21">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 ref="Y7:Y9"/>
    <mergeCell ref="Z7:Z9"/>
    <mergeCell ref="AA7:AA9"/>
    <mergeCell ref="AB7:AB9"/>
    <mergeCell ref="AC7:AC9"/>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05" customWidth="1"/>
    <col min="2" max="2" width="8.85546875" style="105" customWidth="1"/>
    <col min="3" max="3" width="29.85546875" style="105" customWidth="1"/>
    <col min="4" max="4" width="8.85546875" style="105" customWidth="1"/>
    <col min="5" max="5" width="25.42578125" style="105" customWidth="1"/>
    <col min="6" max="6" width="13.42578125" style="105" customWidth="1"/>
    <col min="7" max="10" width="8.85546875" style="105"/>
    <col min="11" max="11" width="9.5703125" style="105" customWidth="1"/>
    <col min="12" max="12" width="8.85546875" style="105"/>
    <col min="13" max="17" width="12.5703125" style="105" customWidth="1"/>
    <col min="18" max="16384" width="8.85546875" style="105"/>
  </cols>
  <sheetData>
    <row r="1" spans="1:18" ht="18" customHeight="1">
      <c r="A1" s="802" t="s">
        <v>551</v>
      </c>
      <c r="E1" s="803" t="s">
        <v>1022</v>
      </c>
    </row>
    <row r="2" spans="1:18">
      <c r="A2" s="802"/>
    </row>
    <row r="3" spans="1:18" ht="18" customHeight="1">
      <c r="A3" s="802" t="s">
        <v>101</v>
      </c>
    </row>
    <row r="5" spans="1:18" ht="17.25" customHeight="1">
      <c r="A5" s="804" t="s">
        <v>602</v>
      </c>
      <c r="B5" s="805"/>
      <c r="C5" s="805"/>
      <c r="D5" s="806"/>
      <c r="E5" s="805"/>
      <c r="F5" s="805"/>
      <c r="G5" s="805"/>
      <c r="H5" s="805"/>
      <c r="I5" s="805"/>
      <c r="J5" s="805"/>
      <c r="K5" s="805"/>
      <c r="L5" s="805"/>
      <c r="M5" s="805"/>
      <c r="N5" s="805"/>
      <c r="O5" s="805"/>
      <c r="P5" s="805"/>
      <c r="Q5" s="805"/>
      <c r="R5" s="805"/>
    </row>
    <row r="6" spans="1:18" ht="18" customHeight="1" thickBot="1">
      <c r="A6" s="805"/>
      <c r="B6" s="805"/>
      <c r="C6" s="805"/>
      <c r="D6" s="806"/>
      <c r="E6" s="805"/>
      <c r="F6" s="805"/>
      <c r="G6" s="805"/>
      <c r="H6" s="805"/>
      <c r="I6" s="805"/>
      <c r="J6" s="805"/>
      <c r="K6" s="805"/>
      <c r="L6" s="805"/>
      <c r="R6" s="805"/>
    </row>
    <row r="7" spans="1:18" s="810" customFormat="1" ht="18" customHeight="1" thickBot="1">
      <c r="A7" s="807"/>
      <c r="B7" s="807"/>
      <c r="C7" s="807"/>
      <c r="D7" s="808"/>
      <c r="E7" s="1354" t="s">
        <v>603</v>
      </c>
      <c r="F7" s="1355"/>
      <c r="G7" s="1356"/>
      <c r="H7" s="809"/>
      <c r="I7" s="1357" t="s">
        <v>604</v>
      </c>
      <c r="J7" s="1358"/>
      <c r="K7" s="1359"/>
      <c r="L7" s="807"/>
      <c r="M7" s="1360" t="s">
        <v>605</v>
      </c>
      <c r="N7" s="1361"/>
      <c r="O7" s="1361"/>
      <c r="P7" s="1361"/>
      <c r="Q7" s="1362"/>
      <c r="R7" s="808"/>
    </row>
    <row r="8" spans="1:18" ht="27.75" customHeight="1" thickBot="1">
      <c r="A8" s="811"/>
      <c r="B8" s="811"/>
      <c r="C8" s="811"/>
      <c r="D8" s="812"/>
      <c r="E8" s="1363" t="s">
        <v>606</v>
      </c>
      <c r="F8" s="1364"/>
      <c r="G8" s="1365"/>
      <c r="H8" s="809"/>
      <c r="I8" s="813" t="s">
        <v>606</v>
      </c>
      <c r="J8" s="814"/>
      <c r="K8" s="815" t="s">
        <v>607</v>
      </c>
      <c r="L8" s="816"/>
      <c r="M8" s="1366" t="s">
        <v>603</v>
      </c>
      <c r="N8" s="1367"/>
      <c r="O8" s="1368"/>
      <c r="P8" s="816"/>
      <c r="Q8" s="817" t="s">
        <v>573</v>
      </c>
      <c r="R8" s="818"/>
    </row>
    <row r="9" spans="1:18" ht="16.5" thickBot="1">
      <c r="A9" s="1348" t="s">
        <v>608</v>
      </c>
      <c r="B9" s="1349"/>
      <c r="C9" s="1350"/>
      <c r="D9" s="819"/>
      <c r="E9" s="820" t="s">
        <v>609</v>
      </c>
      <c r="F9" s="821" t="s">
        <v>610</v>
      </c>
      <c r="G9" s="822" t="s">
        <v>611</v>
      </c>
      <c r="H9" s="823"/>
      <c r="I9" s="824" t="s">
        <v>611</v>
      </c>
      <c r="J9" s="825"/>
      <c r="K9" s="826" t="s">
        <v>611</v>
      </c>
      <c r="L9" s="816"/>
      <c r="M9" s="827" t="s">
        <v>609</v>
      </c>
      <c r="N9" s="828" t="s">
        <v>610</v>
      </c>
      <c r="O9" s="829" t="s">
        <v>611</v>
      </c>
      <c r="P9" s="816"/>
      <c r="Q9" s="826" t="s">
        <v>611</v>
      </c>
      <c r="R9" s="818"/>
    </row>
    <row r="10" spans="1:18" ht="16.5" thickBot="1">
      <c r="A10" s="1351"/>
      <c r="B10" s="1352"/>
      <c r="C10" s="1353"/>
      <c r="D10" s="819"/>
      <c r="E10" s="830" t="s">
        <v>591</v>
      </c>
      <c r="F10" s="831" t="s">
        <v>591</v>
      </c>
      <c r="G10" s="832" t="s">
        <v>591</v>
      </c>
      <c r="H10" s="809"/>
      <c r="I10" s="833"/>
      <c r="J10" s="825"/>
      <c r="K10" s="833"/>
      <c r="L10" s="816"/>
      <c r="M10" s="834" t="s">
        <v>591</v>
      </c>
      <c r="N10" s="835" t="s">
        <v>591</v>
      </c>
      <c r="O10" s="833" t="s">
        <v>591</v>
      </c>
      <c r="P10" s="816"/>
      <c r="Q10" s="833" t="s">
        <v>591</v>
      </c>
      <c r="R10" s="818"/>
    </row>
    <row r="11" spans="1:18" ht="18" customHeight="1">
      <c r="A11" s="1376" t="s">
        <v>612</v>
      </c>
      <c r="B11" s="1378" t="s">
        <v>448</v>
      </c>
      <c r="C11" s="1379"/>
      <c r="D11" s="836"/>
      <c r="E11" s="1380">
        <v>0.1</v>
      </c>
      <c r="F11" s="1380">
        <v>0.3</v>
      </c>
      <c r="G11" s="1382">
        <v>0.4</v>
      </c>
      <c r="H11" s="837"/>
      <c r="I11" s="838">
        <v>0.6</v>
      </c>
      <c r="J11" s="812"/>
      <c r="K11" s="839"/>
      <c r="L11" s="818"/>
      <c r="M11" s="818"/>
      <c r="N11" s="818"/>
      <c r="O11" s="818"/>
      <c r="P11" s="818"/>
      <c r="Q11" s="818"/>
      <c r="R11" s="818"/>
    </row>
    <row r="12" spans="1:18" ht="18" customHeight="1">
      <c r="A12" s="1377"/>
      <c r="B12" s="1383" t="s">
        <v>449</v>
      </c>
      <c r="C12" s="1384"/>
      <c r="D12" s="836"/>
      <c r="E12" s="1381"/>
      <c r="F12" s="1381"/>
      <c r="G12" s="1371"/>
      <c r="H12" s="837"/>
      <c r="I12" s="840">
        <v>1.4</v>
      </c>
      <c r="J12" s="812"/>
      <c r="K12" s="841"/>
      <c r="L12" s="818"/>
      <c r="M12" s="818"/>
      <c r="N12" s="818"/>
      <c r="O12" s="818"/>
      <c r="P12" s="818"/>
      <c r="Q12" s="818"/>
      <c r="R12" s="818"/>
    </row>
    <row r="13" spans="1:18" ht="18" customHeight="1">
      <c r="A13" s="1376" t="s">
        <v>368</v>
      </c>
      <c r="B13" s="1386" t="s">
        <v>613</v>
      </c>
      <c r="C13" s="1387"/>
      <c r="D13" s="836"/>
      <c r="E13" s="842">
        <v>0.1</v>
      </c>
      <c r="F13" s="842">
        <v>0.1</v>
      </c>
      <c r="G13" s="843">
        <v>0.2</v>
      </c>
      <c r="H13" s="837"/>
      <c r="I13" s="840">
        <v>0.5</v>
      </c>
      <c r="J13" s="812"/>
      <c r="K13" s="841"/>
      <c r="L13" s="818"/>
      <c r="M13" s="818"/>
      <c r="N13" s="818"/>
      <c r="O13" s="818"/>
      <c r="P13" s="818"/>
      <c r="Q13" s="818"/>
      <c r="R13" s="818"/>
    </row>
    <row r="14" spans="1:18" ht="18" customHeight="1">
      <c r="A14" s="1377"/>
      <c r="B14" s="1372" t="s">
        <v>614</v>
      </c>
      <c r="C14" s="1373"/>
      <c r="D14" s="836"/>
      <c r="E14" s="1388"/>
      <c r="F14" s="1388">
        <v>0.1</v>
      </c>
      <c r="G14" s="1369">
        <v>0.1</v>
      </c>
      <c r="H14" s="837"/>
      <c r="I14" s="840"/>
      <c r="J14" s="812"/>
      <c r="K14" s="841"/>
      <c r="L14" s="818"/>
      <c r="M14" s="818"/>
      <c r="N14" s="818"/>
      <c r="O14" s="818"/>
      <c r="P14" s="818"/>
      <c r="Q14" s="818"/>
      <c r="R14" s="818"/>
    </row>
    <row r="15" spans="1:18" ht="18" customHeight="1">
      <c r="A15" s="1377"/>
      <c r="B15" s="1372" t="s">
        <v>615</v>
      </c>
      <c r="C15" s="1373"/>
      <c r="D15" s="836"/>
      <c r="E15" s="1389"/>
      <c r="F15" s="1389"/>
      <c r="G15" s="1370"/>
      <c r="H15" s="837"/>
      <c r="I15" s="840">
        <v>2.1</v>
      </c>
      <c r="J15" s="812"/>
      <c r="K15" s="841"/>
      <c r="L15" s="818"/>
      <c r="M15" s="818"/>
      <c r="N15" s="818"/>
      <c r="O15" s="818"/>
      <c r="P15" s="818"/>
      <c r="Q15" s="818"/>
      <c r="R15" s="818"/>
    </row>
    <row r="16" spans="1:18" ht="18" customHeight="1" thickBot="1">
      <c r="A16" s="1385"/>
      <c r="B16" s="1374" t="s">
        <v>453</v>
      </c>
      <c r="C16" s="1375"/>
      <c r="D16" s="836"/>
      <c r="E16" s="1381"/>
      <c r="F16" s="1381"/>
      <c r="G16" s="1371"/>
      <c r="H16" s="837"/>
      <c r="I16" s="844">
        <v>0.3</v>
      </c>
      <c r="J16" s="812"/>
      <c r="K16" s="845"/>
      <c r="L16" s="818"/>
      <c r="M16" s="818"/>
      <c r="N16" s="818"/>
      <c r="O16" s="818"/>
      <c r="P16" s="818"/>
      <c r="Q16" s="818"/>
      <c r="R16" s="818"/>
    </row>
    <row r="17" spans="1:18" ht="18" customHeight="1">
      <c r="A17" s="1393" t="s">
        <v>616</v>
      </c>
      <c r="B17" s="1378" t="s">
        <v>454</v>
      </c>
      <c r="C17" s="1379"/>
      <c r="D17" s="846"/>
      <c r="E17" s="842">
        <v>0.5</v>
      </c>
      <c r="F17" s="842">
        <v>0.1</v>
      </c>
      <c r="G17" s="843">
        <v>0.6</v>
      </c>
      <c r="H17" s="837"/>
      <c r="I17" s="847">
        <v>0.8</v>
      </c>
      <c r="J17" s="812"/>
      <c r="K17" s="848"/>
      <c r="L17" s="818"/>
      <c r="M17" s="818"/>
      <c r="N17" s="818"/>
      <c r="O17" s="818"/>
      <c r="P17" s="818"/>
      <c r="Q17" s="818"/>
      <c r="R17" s="818"/>
    </row>
    <row r="18" spans="1:18" ht="18" customHeight="1">
      <c r="A18" s="1394"/>
      <c r="B18" s="1396" t="s">
        <v>617</v>
      </c>
      <c r="C18" s="1397"/>
      <c r="D18" s="849"/>
      <c r="E18" s="842"/>
      <c r="F18" s="842"/>
      <c r="G18" s="850">
        <v>0</v>
      </c>
      <c r="H18" s="837"/>
      <c r="I18" s="840">
        <v>1.5</v>
      </c>
      <c r="J18" s="812"/>
      <c r="K18" s="841"/>
      <c r="L18" s="818"/>
      <c r="M18" s="818"/>
      <c r="N18" s="818"/>
      <c r="O18" s="818"/>
      <c r="P18" s="818"/>
      <c r="Q18" s="818"/>
      <c r="R18" s="818"/>
    </row>
    <row r="19" spans="1:18" ht="18" customHeight="1" thickBot="1">
      <c r="A19" s="1395"/>
      <c r="B19" s="1398" t="s">
        <v>618</v>
      </c>
      <c r="C19" s="1399"/>
      <c r="D19" s="846"/>
      <c r="E19" s="851">
        <v>0.1</v>
      </c>
      <c r="F19" s="852">
        <v>1.5</v>
      </c>
      <c r="G19" s="853">
        <v>1.6</v>
      </c>
      <c r="H19" s="837"/>
      <c r="I19" s="854">
        <v>0.2</v>
      </c>
      <c r="J19" s="812"/>
      <c r="K19" s="855"/>
      <c r="L19" s="818"/>
      <c r="M19" s="818"/>
      <c r="N19" s="818"/>
      <c r="O19" s="818"/>
      <c r="P19" s="818"/>
      <c r="Q19" s="818"/>
      <c r="R19" s="818"/>
    </row>
    <row r="20" spans="1:18" ht="18" customHeight="1">
      <c r="A20" s="1400" t="s">
        <v>427</v>
      </c>
      <c r="B20" s="1402" t="s">
        <v>454</v>
      </c>
      <c r="C20" s="1403"/>
      <c r="D20" s="846"/>
      <c r="E20" s="842">
        <v>0.1</v>
      </c>
      <c r="F20" s="842"/>
      <c r="G20" s="856">
        <v>0.1</v>
      </c>
      <c r="H20" s="837"/>
      <c r="I20" s="838">
        <v>0.1</v>
      </c>
      <c r="J20" s="812"/>
      <c r="K20" s="839"/>
      <c r="L20" s="818"/>
      <c r="M20" s="818"/>
      <c r="N20" s="818"/>
      <c r="O20" s="818"/>
      <c r="P20" s="818"/>
      <c r="Q20" s="818"/>
      <c r="R20" s="818"/>
    </row>
    <row r="21" spans="1:18" ht="18" customHeight="1">
      <c r="A21" s="1393"/>
      <c r="B21" s="857" t="s">
        <v>619</v>
      </c>
      <c r="C21" s="858"/>
      <c r="D21" s="836"/>
      <c r="E21" s="842"/>
      <c r="F21" s="842"/>
      <c r="G21" s="843">
        <v>0</v>
      </c>
      <c r="H21" s="837"/>
      <c r="I21" s="847"/>
      <c r="J21" s="812"/>
      <c r="K21" s="848"/>
      <c r="L21" s="818"/>
      <c r="M21" s="818"/>
      <c r="N21" s="818"/>
      <c r="O21" s="818"/>
      <c r="P21" s="818"/>
      <c r="Q21" s="818"/>
      <c r="R21" s="818"/>
    </row>
    <row r="22" spans="1:18" ht="18" customHeight="1">
      <c r="A22" s="1394"/>
      <c r="B22" s="857" t="s">
        <v>620</v>
      </c>
      <c r="C22" s="858"/>
      <c r="D22" s="836"/>
      <c r="E22" s="842"/>
      <c r="F22" s="842"/>
      <c r="G22" s="850">
        <v>0</v>
      </c>
      <c r="H22" s="837"/>
      <c r="I22" s="840">
        <v>0.3</v>
      </c>
      <c r="J22" s="812"/>
      <c r="K22" s="841"/>
      <c r="L22" s="818"/>
      <c r="M22" s="818"/>
      <c r="N22" s="818"/>
      <c r="O22" s="818"/>
      <c r="P22" s="818"/>
      <c r="Q22" s="818"/>
      <c r="R22" s="818"/>
    </row>
    <row r="23" spans="1:18" ht="18" customHeight="1" thickBot="1">
      <c r="A23" s="1401"/>
      <c r="B23" s="1398" t="s">
        <v>618</v>
      </c>
      <c r="C23" s="1399"/>
      <c r="D23" s="836"/>
      <c r="E23" s="851">
        <v>0.1</v>
      </c>
      <c r="F23" s="852">
        <v>0.7</v>
      </c>
      <c r="G23" s="859">
        <v>0.8</v>
      </c>
      <c r="H23" s="837"/>
      <c r="I23" s="844">
        <v>0.2</v>
      </c>
      <c r="J23" s="812"/>
      <c r="K23" s="845"/>
      <c r="L23" s="818"/>
      <c r="M23" s="818"/>
      <c r="N23" s="818"/>
      <c r="O23" s="818"/>
      <c r="P23" s="818"/>
      <c r="Q23" s="818"/>
      <c r="R23" s="818"/>
    </row>
    <row r="24" spans="1:18" ht="18" customHeight="1">
      <c r="A24" s="1404" t="s">
        <v>426</v>
      </c>
      <c r="B24" s="1402" t="s">
        <v>454</v>
      </c>
      <c r="C24" s="1403"/>
      <c r="D24" s="846"/>
      <c r="E24" s="842">
        <v>0.2</v>
      </c>
      <c r="F24" s="842">
        <v>0.6</v>
      </c>
      <c r="G24" s="843">
        <v>0.8</v>
      </c>
      <c r="H24" s="837"/>
      <c r="I24" s="847"/>
      <c r="J24" s="812"/>
      <c r="K24" s="848"/>
      <c r="L24" s="818"/>
      <c r="M24" s="860"/>
      <c r="N24" s="860"/>
      <c r="O24" s="861">
        <v>0</v>
      </c>
      <c r="P24" s="818"/>
      <c r="Q24" s="839"/>
      <c r="R24" s="818"/>
    </row>
    <row r="25" spans="1:18" ht="18" customHeight="1">
      <c r="A25" s="1405"/>
      <c r="B25" s="857" t="s">
        <v>619</v>
      </c>
      <c r="C25" s="862"/>
      <c r="D25" s="836"/>
      <c r="E25" s="842"/>
      <c r="F25" s="842"/>
      <c r="G25" s="850">
        <v>0</v>
      </c>
      <c r="H25" s="837"/>
      <c r="I25" s="840"/>
      <c r="J25" s="812"/>
      <c r="K25" s="841"/>
      <c r="L25" s="818"/>
      <c r="M25" s="863"/>
      <c r="N25" s="863"/>
      <c r="O25" s="864">
        <v>0</v>
      </c>
      <c r="P25" s="818"/>
      <c r="Q25" s="841"/>
      <c r="R25" s="818"/>
    </row>
    <row r="26" spans="1:18" ht="18" customHeight="1">
      <c r="A26" s="1405"/>
      <c r="B26" s="857" t="s">
        <v>620</v>
      </c>
      <c r="C26" s="862"/>
      <c r="D26" s="836"/>
      <c r="E26" s="842"/>
      <c r="F26" s="842"/>
      <c r="G26" s="850">
        <v>0</v>
      </c>
      <c r="H26" s="837"/>
      <c r="I26" s="840"/>
      <c r="J26" s="812"/>
      <c r="K26" s="841"/>
      <c r="L26" s="818"/>
      <c r="M26" s="863"/>
      <c r="N26" s="863"/>
      <c r="O26" s="864">
        <v>0</v>
      </c>
      <c r="P26" s="818"/>
      <c r="Q26" s="841"/>
      <c r="R26" s="818"/>
    </row>
    <row r="27" spans="1:18" ht="18" customHeight="1" thickBot="1">
      <c r="A27" s="1405"/>
      <c r="B27" s="1398" t="s">
        <v>618</v>
      </c>
      <c r="C27" s="1399"/>
      <c r="D27" s="836"/>
      <c r="E27" s="842">
        <v>0.1</v>
      </c>
      <c r="F27" s="842">
        <v>0.5</v>
      </c>
      <c r="G27" s="853">
        <v>0.6</v>
      </c>
      <c r="H27" s="837"/>
      <c r="I27" s="854"/>
      <c r="J27" s="812"/>
      <c r="K27" s="855"/>
      <c r="L27" s="818"/>
      <c r="M27" s="865"/>
      <c r="N27" s="865"/>
      <c r="O27" s="866">
        <v>0</v>
      </c>
      <c r="P27" s="818"/>
      <c r="Q27" s="845"/>
      <c r="R27" s="818"/>
    </row>
    <row r="28" spans="1:18" ht="18" customHeight="1" thickBot="1">
      <c r="A28" s="1390" t="s">
        <v>621</v>
      </c>
      <c r="B28" s="1391"/>
      <c r="C28" s="1392"/>
      <c r="D28" s="836"/>
      <c r="E28" s="842"/>
      <c r="F28" s="842"/>
      <c r="G28" s="867"/>
      <c r="H28" s="837"/>
      <c r="I28" s="868"/>
      <c r="J28" s="812"/>
      <c r="K28" s="869"/>
      <c r="L28" s="818"/>
      <c r="M28" s="870"/>
      <c r="N28" s="870"/>
      <c r="O28" s="871">
        <v>0</v>
      </c>
      <c r="P28" s="818"/>
      <c r="Q28" s="869"/>
      <c r="R28" s="818"/>
    </row>
    <row r="29" spans="1:18" ht="18" customHeight="1" thickBot="1">
      <c r="A29" s="1390" t="s">
        <v>622</v>
      </c>
      <c r="B29" s="1391"/>
      <c r="C29" s="1392"/>
      <c r="D29" s="872"/>
      <c r="E29" s="873"/>
      <c r="F29" s="874"/>
      <c r="G29" s="875"/>
      <c r="H29" s="876"/>
      <c r="I29" s="877">
        <v>1</v>
      </c>
      <c r="J29" s="812"/>
      <c r="K29" s="878"/>
      <c r="L29" s="879"/>
      <c r="M29" s="880"/>
      <c r="N29" s="881"/>
      <c r="O29" s="882"/>
      <c r="P29" s="879"/>
      <c r="Q29" s="883"/>
      <c r="R29" s="879"/>
    </row>
    <row r="30" spans="1:18" ht="18" customHeight="1" thickBot="1">
      <c r="A30" s="1390" t="s">
        <v>623</v>
      </c>
      <c r="B30" s="1391"/>
      <c r="C30" s="1392"/>
      <c r="D30" s="872"/>
      <c r="E30" s="873"/>
      <c r="F30" s="842">
        <v>0.6</v>
      </c>
      <c r="G30" s="853">
        <v>0.6</v>
      </c>
      <c r="H30" s="876"/>
      <c r="I30" s="884"/>
      <c r="J30" s="812"/>
      <c r="K30" s="885"/>
      <c r="L30" s="879"/>
      <c r="M30" s="886"/>
      <c r="N30" s="887"/>
      <c r="O30" s="882"/>
      <c r="P30" s="879"/>
      <c r="Q30" s="888"/>
      <c r="R30" s="879"/>
    </row>
    <row r="31" spans="1:18" ht="18" customHeight="1" thickBot="1">
      <c r="A31" s="1390" t="s">
        <v>624</v>
      </c>
      <c r="B31" s="1391"/>
      <c r="C31" s="1392"/>
      <c r="D31" s="872"/>
      <c r="E31" s="873"/>
      <c r="F31" s="842">
        <v>0.1</v>
      </c>
      <c r="G31" s="867">
        <v>0.1</v>
      </c>
      <c r="H31" s="876"/>
      <c r="I31" s="884"/>
      <c r="J31" s="812"/>
      <c r="K31" s="885"/>
      <c r="L31" s="879"/>
      <c r="M31" s="886"/>
      <c r="N31" s="887"/>
      <c r="O31" s="882"/>
      <c r="P31" s="879"/>
      <c r="Q31" s="888"/>
      <c r="R31" s="879"/>
    </row>
    <row r="32" spans="1:18" ht="18" customHeight="1" thickBot="1">
      <c r="A32" s="1390" t="s">
        <v>625</v>
      </c>
      <c r="B32" s="1391"/>
      <c r="C32" s="1392"/>
      <c r="D32" s="872"/>
      <c r="E32" s="873"/>
      <c r="F32" s="874"/>
      <c r="G32" s="875"/>
      <c r="H32" s="876"/>
      <c r="I32" s="877">
        <v>-0.6</v>
      </c>
      <c r="J32" s="812"/>
      <c r="K32" s="885"/>
      <c r="L32" s="879"/>
      <c r="M32" s="886"/>
      <c r="N32" s="887"/>
      <c r="O32" s="882"/>
      <c r="P32" s="879"/>
      <c r="Q32" s="888"/>
      <c r="R32" s="879"/>
    </row>
    <row r="33" spans="1:18" ht="18" customHeight="1" thickBot="1">
      <c r="A33" s="1390" t="s">
        <v>626</v>
      </c>
      <c r="B33" s="1391"/>
      <c r="C33" s="1392"/>
      <c r="D33" s="872"/>
      <c r="E33" s="873"/>
      <c r="F33" s="842"/>
      <c r="G33" s="867">
        <v>0</v>
      </c>
      <c r="H33" s="876"/>
      <c r="I33" s="889"/>
      <c r="J33" s="812"/>
      <c r="K33" s="885"/>
      <c r="L33" s="879"/>
      <c r="M33" s="886"/>
      <c r="N33" s="887"/>
      <c r="O33" s="882"/>
      <c r="P33" s="879"/>
      <c r="Q33" s="888"/>
      <c r="R33" s="879"/>
    </row>
    <row r="34" spans="1:18" ht="18" customHeight="1" thickBot="1">
      <c r="A34" s="1408" t="s">
        <v>220</v>
      </c>
      <c r="B34" s="1409"/>
      <c r="C34" s="1410"/>
      <c r="D34" s="890"/>
      <c r="E34" s="891">
        <v>1.3</v>
      </c>
      <c r="F34" s="891">
        <v>4.5999999999999996</v>
      </c>
      <c r="G34" s="891">
        <v>5.9</v>
      </c>
      <c r="H34" s="892"/>
      <c r="I34" s="891">
        <v>8.4</v>
      </c>
      <c r="J34" s="890"/>
      <c r="K34" s="893">
        <f>SUM(K11:K33)</f>
        <v>0</v>
      </c>
      <c r="L34" s="894"/>
      <c r="M34" s="893">
        <v>0</v>
      </c>
      <c r="N34" s="893">
        <v>0</v>
      </c>
      <c r="O34" s="893">
        <v>0</v>
      </c>
      <c r="P34" s="894"/>
      <c r="Q34" s="893">
        <v>0</v>
      </c>
      <c r="R34" s="894"/>
    </row>
    <row r="35" spans="1:18" ht="15" thickBot="1">
      <c r="A35" s="818"/>
      <c r="B35" s="818"/>
      <c r="C35" s="818"/>
      <c r="D35" s="895"/>
      <c r="E35" s="818"/>
      <c r="F35" s="818"/>
      <c r="G35" s="896"/>
      <c r="H35" s="818"/>
      <c r="I35" s="896"/>
      <c r="J35" s="816"/>
      <c r="K35" s="896"/>
      <c r="L35" s="818"/>
      <c r="M35" s="818"/>
      <c r="N35" s="818"/>
      <c r="O35" s="818"/>
      <c r="P35" s="818"/>
      <c r="Q35" s="818"/>
      <c r="R35" s="818"/>
    </row>
    <row r="36" spans="1:18" ht="30.75" thickBot="1">
      <c r="A36" s="897"/>
      <c r="B36" s="897"/>
      <c r="C36" s="898"/>
      <c r="D36" s="899"/>
      <c r="E36" s="900" t="s">
        <v>627</v>
      </c>
      <c r="F36" s="901"/>
      <c r="G36" s="901"/>
      <c r="H36" s="901"/>
      <c r="I36" s="902" t="s">
        <v>606</v>
      </c>
      <c r="J36" s="890"/>
      <c r="K36" s="903" t="s">
        <v>607</v>
      </c>
      <c r="L36" s="904"/>
      <c r="M36" s="894"/>
      <c r="N36" s="894"/>
      <c r="O36" s="894"/>
      <c r="P36" s="894"/>
      <c r="Q36" s="894"/>
      <c r="R36" s="894"/>
    </row>
    <row r="37" spans="1:18" ht="17.25" customHeight="1" thickBot="1">
      <c r="A37" s="894"/>
      <c r="B37" s="904"/>
      <c r="C37" s="904"/>
      <c r="D37" s="904"/>
      <c r="E37" s="1411"/>
      <c r="F37" s="1412"/>
      <c r="G37" s="1412"/>
      <c r="H37" s="1413"/>
      <c r="I37" s="905" t="s">
        <v>591</v>
      </c>
      <c r="J37" s="890"/>
      <c r="K37" s="906" t="s">
        <v>591</v>
      </c>
      <c r="L37" s="894"/>
      <c r="M37" s="894"/>
      <c r="N37" s="894"/>
      <c r="O37" s="894"/>
      <c r="P37" s="894"/>
      <c r="Q37" s="894"/>
      <c r="R37" s="894"/>
    </row>
    <row r="38" spans="1:18" ht="17.25" customHeight="1">
      <c r="A38" s="818"/>
      <c r="B38" s="895"/>
      <c r="C38" s="895"/>
      <c r="D38" s="895"/>
      <c r="E38" s="1414" t="s">
        <v>628</v>
      </c>
      <c r="F38" s="1415"/>
      <c r="G38" s="1415"/>
      <c r="H38" s="1416"/>
      <c r="I38" s="907">
        <v>2.4</v>
      </c>
      <c r="J38" s="812"/>
      <c r="K38" s="848"/>
      <c r="L38" s="818"/>
      <c r="M38" s="818"/>
      <c r="N38" s="818"/>
      <c r="O38" s="818"/>
      <c r="P38" s="818"/>
      <c r="Q38" s="818"/>
      <c r="R38" s="818"/>
    </row>
    <row r="39" spans="1:18" ht="17.25" customHeight="1" thickBot="1">
      <c r="A39" s="818"/>
      <c r="B39" s="895"/>
      <c r="C39" s="895"/>
      <c r="D39" s="895"/>
      <c r="E39" s="1417" t="s">
        <v>629</v>
      </c>
      <c r="F39" s="1418"/>
      <c r="G39" s="1418"/>
      <c r="H39" s="1419"/>
      <c r="I39" s="908">
        <v>6</v>
      </c>
      <c r="J39" s="812"/>
      <c r="K39" s="855"/>
      <c r="L39" s="818"/>
      <c r="M39" s="818"/>
      <c r="N39" s="818"/>
      <c r="O39" s="818"/>
      <c r="P39" s="818"/>
      <c r="Q39" s="818"/>
      <c r="R39" s="818"/>
    </row>
    <row r="40" spans="1:18" ht="17.25" customHeight="1" thickBot="1">
      <c r="A40" s="818"/>
      <c r="B40" s="890"/>
      <c r="C40" s="890"/>
      <c r="D40" s="890"/>
      <c r="E40" s="1420" t="s">
        <v>630</v>
      </c>
      <c r="F40" s="1421"/>
      <c r="G40" s="1421"/>
      <c r="H40" s="1422"/>
      <c r="I40" s="867">
        <v>8.4</v>
      </c>
      <c r="J40" s="812"/>
      <c r="K40" s="871">
        <f>SUM(K38:K39)</f>
        <v>0</v>
      </c>
      <c r="L40" s="818"/>
      <c r="M40" s="818"/>
      <c r="N40" s="818"/>
      <c r="O40" s="818"/>
      <c r="P40" s="818"/>
      <c r="Q40" s="818"/>
      <c r="R40" s="818"/>
    </row>
    <row r="41" spans="1:18" ht="15" thickBot="1">
      <c r="A41" s="818"/>
      <c r="B41" s="818"/>
      <c r="C41" s="818"/>
      <c r="D41" s="895"/>
      <c r="E41" s="818"/>
      <c r="F41" s="818"/>
      <c r="G41" s="818"/>
      <c r="H41" s="818"/>
      <c r="I41" s="896"/>
      <c r="J41" s="909"/>
      <c r="K41" s="896"/>
      <c r="L41" s="818"/>
      <c r="M41" s="818"/>
      <c r="N41" s="818"/>
      <c r="O41" s="818"/>
      <c r="P41" s="818"/>
      <c r="Q41" s="818"/>
      <c r="R41" s="818"/>
    </row>
    <row r="42" spans="1:18" ht="20.25">
      <c r="A42" s="816"/>
      <c r="B42" s="910"/>
      <c r="C42" s="1423" t="s">
        <v>575</v>
      </c>
      <c r="D42" s="1424"/>
      <c r="E42" s="1424"/>
      <c r="F42" s="1425"/>
      <c r="G42" s="1406" t="s">
        <v>591</v>
      </c>
      <c r="H42" s="812"/>
      <c r="I42" s="816"/>
      <c r="J42" s="816"/>
      <c r="K42" s="816"/>
      <c r="L42" s="816"/>
      <c r="M42" s="1423" t="s">
        <v>575</v>
      </c>
      <c r="N42" s="1424"/>
      <c r="O42" s="1406" t="s">
        <v>591</v>
      </c>
      <c r="P42" s="816"/>
      <c r="Q42" s="816"/>
      <c r="R42" s="816"/>
    </row>
    <row r="43" spans="1:18" ht="21" thickBot="1">
      <c r="A43" s="816"/>
      <c r="B43" s="910"/>
      <c r="C43" s="1426"/>
      <c r="D43" s="1427"/>
      <c r="E43" s="1427"/>
      <c r="F43" s="1428"/>
      <c r="G43" s="1407"/>
      <c r="H43" s="812"/>
      <c r="I43" s="816"/>
      <c r="J43" s="816"/>
      <c r="K43" s="816"/>
      <c r="L43" s="816"/>
      <c r="M43" s="1426"/>
      <c r="N43" s="1427"/>
      <c r="O43" s="1407"/>
      <c r="P43" s="816"/>
      <c r="Q43" s="816"/>
      <c r="R43" s="816"/>
    </row>
    <row r="44" spans="1:18" ht="18" customHeight="1" thickBot="1">
      <c r="A44" s="816"/>
      <c r="B44" s="911"/>
      <c r="C44" s="1429" t="s">
        <v>244</v>
      </c>
      <c r="D44" s="1430"/>
      <c r="E44" s="1430"/>
      <c r="F44" s="1431"/>
      <c r="G44" s="907">
        <v>1.1655181170566711</v>
      </c>
      <c r="H44" s="812"/>
      <c r="I44" s="816"/>
      <c r="J44" s="816"/>
      <c r="K44" s="816"/>
      <c r="L44" s="816"/>
      <c r="M44" s="1432" t="s">
        <v>426</v>
      </c>
      <c r="N44" s="1433"/>
      <c r="O44" s="912">
        <v>0.1</v>
      </c>
      <c r="P44" s="816"/>
      <c r="Q44" s="816"/>
      <c r="R44" s="816"/>
    </row>
    <row r="45" spans="1:18" ht="18" customHeight="1" thickBot="1">
      <c r="A45" s="816"/>
      <c r="B45" s="911"/>
      <c r="C45" s="1429" t="s">
        <v>245</v>
      </c>
      <c r="D45" s="1430"/>
      <c r="E45" s="1430"/>
      <c r="F45" s="1431"/>
      <c r="G45" s="907">
        <v>2.3630693363750601</v>
      </c>
      <c r="H45" s="812"/>
      <c r="I45" s="816"/>
      <c r="J45" s="816"/>
      <c r="K45" s="816"/>
      <c r="L45" s="816"/>
      <c r="M45" s="816"/>
      <c r="N45" s="816"/>
      <c r="O45" s="816"/>
      <c r="P45" s="816"/>
      <c r="Q45" s="816"/>
      <c r="R45" s="816"/>
    </row>
    <row r="46" spans="1:18" ht="18" customHeight="1" thickBot="1">
      <c r="A46" s="816"/>
      <c r="B46" s="911"/>
      <c r="C46" s="1429" t="s">
        <v>427</v>
      </c>
      <c r="D46" s="1430"/>
      <c r="E46" s="1430"/>
      <c r="F46" s="1431"/>
      <c r="G46" s="907">
        <v>0.48131015744404471</v>
      </c>
      <c r="H46" s="812"/>
      <c r="I46" s="816"/>
      <c r="J46" s="816"/>
      <c r="K46" s="816"/>
      <c r="L46" s="816"/>
      <c r="M46" s="816"/>
      <c r="N46" s="816"/>
      <c r="O46" s="816"/>
      <c r="P46" s="816"/>
      <c r="Q46" s="816"/>
      <c r="R46" s="816"/>
    </row>
    <row r="47" spans="1:18" ht="18" customHeight="1" thickBot="1">
      <c r="A47" s="816"/>
      <c r="B47" s="911"/>
      <c r="C47" s="1429" t="s">
        <v>426</v>
      </c>
      <c r="D47" s="1430"/>
      <c r="E47" s="1430"/>
      <c r="F47" s="1431"/>
      <c r="G47" s="907">
        <v>0.14846693171693162</v>
      </c>
      <c r="H47" s="812"/>
      <c r="I47" s="816"/>
      <c r="J47" s="816"/>
      <c r="K47" s="816"/>
      <c r="L47" s="816"/>
      <c r="M47" s="816"/>
      <c r="N47" s="816"/>
      <c r="O47" s="816"/>
      <c r="P47" s="816"/>
      <c r="Q47" s="816"/>
      <c r="R47" s="816"/>
    </row>
    <row r="48" spans="1:18" ht="18" customHeight="1" thickBot="1">
      <c r="A48" s="816"/>
      <c r="B48" s="913"/>
      <c r="C48" s="1434" t="s">
        <v>631</v>
      </c>
      <c r="D48" s="1435"/>
      <c r="E48" s="1435"/>
      <c r="F48" s="1436"/>
      <c r="G48" s="914">
        <v>4.1583645425927083</v>
      </c>
      <c r="H48" s="812"/>
      <c r="I48" s="816"/>
      <c r="J48" s="816"/>
      <c r="K48" s="816"/>
      <c r="L48" s="816"/>
      <c r="M48" s="816"/>
      <c r="N48" s="816"/>
      <c r="O48" s="816"/>
      <c r="P48" s="816"/>
      <c r="Q48" s="816"/>
      <c r="R48" s="816"/>
    </row>
    <row r="49" spans="1:18" ht="15">
      <c r="A49" s="915"/>
      <c r="B49" s="915"/>
      <c r="C49" s="915"/>
      <c r="D49" s="915"/>
      <c r="E49" s="915"/>
      <c r="F49" s="915"/>
      <c r="G49" s="896"/>
      <c r="H49" s="916"/>
      <c r="I49" s="917"/>
      <c r="J49" s="917"/>
      <c r="K49" s="917"/>
      <c r="L49" s="918"/>
      <c r="M49" s="818"/>
      <c r="N49" s="818"/>
      <c r="O49" s="818"/>
      <c r="P49" s="818"/>
      <c r="Q49" s="818"/>
      <c r="R49" s="818"/>
    </row>
    <row r="50" spans="1:18" ht="13.5" thickBot="1"/>
    <row r="51" spans="1:18" ht="14.25">
      <c r="E51" s="1429"/>
      <c r="F51" s="1430"/>
      <c r="G51" s="1430"/>
      <c r="H51" s="1431"/>
    </row>
  </sheetData>
  <mergeCells count="52">
    <mergeCell ref="E51:H51"/>
    <mergeCell ref="C44:F44"/>
    <mergeCell ref="M44:N44"/>
    <mergeCell ref="C45:F45"/>
    <mergeCell ref="C46:F46"/>
    <mergeCell ref="C47:F47"/>
    <mergeCell ref="C48:F48"/>
    <mergeCell ref="O42:O43"/>
    <mergeCell ref="A31:C31"/>
    <mergeCell ref="A32:C32"/>
    <mergeCell ref="A33:C33"/>
    <mergeCell ref="A34:C34"/>
    <mergeCell ref="E37:H37"/>
    <mergeCell ref="E38:H38"/>
    <mergeCell ref="E39:H39"/>
    <mergeCell ref="E40:H40"/>
    <mergeCell ref="C42:F43"/>
    <mergeCell ref="G42:G43"/>
    <mergeCell ref="M42:N43"/>
    <mergeCell ref="A30:C30"/>
    <mergeCell ref="A17:A19"/>
    <mergeCell ref="B17:C17"/>
    <mergeCell ref="B18:C18"/>
    <mergeCell ref="B19:C19"/>
    <mergeCell ref="A20:A23"/>
    <mergeCell ref="B20:C20"/>
    <mergeCell ref="B23:C23"/>
    <mergeCell ref="A24:A27"/>
    <mergeCell ref="B24:C24"/>
    <mergeCell ref="B27:C27"/>
    <mergeCell ref="A28:C28"/>
    <mergeCell ref="A29:C29"/>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9:C10"/>
    <mergeCell ref="E7:G7"/>
    <mergeCell ref="I7:K7"/>
    <mergeCell ref="M7:Q7"/>
    <mergeCell ref="E8:G8"/>
    <mergeCell ref="M8:O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05" customFormat="1">
      <c r="A1" s="802" t="s">
        <v>551</v>
      </c>
      <c r="E1" s="803" t="s">
        <v>1022</v>
      </c>
    </row>
    <row r="2" spans="1:14">
      <c r="A2" s="47"/>
    </row>
    <row r="3" spans="1:14">
      <c r="A3" s="47" t="s">
        <v>101</v>
      </c>
    </row>
    <row r="5" spans="1:14" ht="20.25">
      <c r="A5" s="919" t="s">
        <v>632</v>
      </c>
      <c r="B5" s="920"/>
      <c r="C5" s="920"/>
      <c r="D5" s="921"/>
      <c r="E5" s="920"/>
      <c r="F5" s="920"/>
      <c r="G5" s="920"/>
      <c r="H5" s="920"/>
      <c r="I5" s="920"/>
      <c r="J5" s="920"/>
      <c r="K5" s="920"/>
      <c r="L5" s="920"/>
      <c r="M5" s="922"/>
      <c r="N5" s="922"/>
    </row>
    <row r="6" spans="1:14" ht="21" thickBot="1">
      <c r="A6" s="919"/>
      <c r="B6" s="920"/>
      <c r="C6" s="920"/>
      <c r="D6" s="921"/>
      <c r="E6" s="920"/>
      <c r="F6" s="920"/>
      <c r="G6" s="920"/>
      <c r="H6" s="920"/>
      <c r="I6" s="920"/>
      <c r="J6" s="920"/>
      <c r="K6" s="920"/>
      <c r="L6" s="920"/>
      <c r="M6" s="922"/>
      <c r="N6" s="922"/>
    </row>
    <row r="7" spans="1:14" ht="18.75" thickBot="1">
      <c r="A7" s="923"/>
      <c r="B7" s="923"/>
      <c r="C7" s="1445" t="s">
        <v>633</v>
      </c>
      <c r="D7" s="1446"/>
      <c r="E7" s="924"/>
      <c r="F7" s="924"/>
      <c r="G7" s="924"/>
      <c r="H7" s="924"/>
      <c r="I7" s="924"/>
      <c r="J7" s="924"/>
      <c r="K7" s="924"/>
      <c r="L7" s="925"/>
      <c r="M7" s="923"/>
      <c r="N7" s="923"/>
    </row>
    <row r="8" spans="1:14" ht="108.75" thickBot="1">
      <c r="A8" s="923"/>
      <c r="B8" s="923"/>
      <c r="C8" s="1348" t="s">
        <v>634</v>
      </c>
      <c r="D8" s="1350"/>
      <c r="E8" s="926" t="s">
        <v>635</v>
      </c>
      <c r="F8" s="927" t="s">
        <v>636</v>
      </c>
      <c r="G8" s="927" t="s">
        <v>637</v>
      </c>
      <c r="H8" s="926" t="s">
        <v>638</v>
      </c>
      <c r="I8" s="927" t="s">
        <v>639</v>
      </c>
      <c r="J8" s="928" t="s">
        <v>640</v>
      </c>
      <c r="K8" s="929" t="s">
        <v>641</v>
      </c>
      <c r="L8" s="930" t="s">
        <v>220</v>
      </c>
      <c r="M8" s="923"/>
      <c r="N8" s="923"/>
    </row>
    <row r="9" spans="1:14" ht="15.75" customHeight="1" thickBot="1">
      <c r="A9" s="923"/>
      <c r="B9" s="923"/>
      <c r="C9" s="1351"/>
      <c r="D9" s="1353"/>
      <c r="E9" s="931" t="s">
        <v>591</v>
      </c>
      <c r="F9" s="932" t="s">
        <v>591</v>
      </c>
      <c r="G9" s="932" t="s">
        <v>591</v>
      </c>
      <c r="H9" s="931" t="s">
        <v>591</v>
      </c>
      <c r="I9" s="932" t="s">
        <v>591</v>
      </c>
      <c r="J9" s="932" t="s">
        <v>591</v>
      </c>
      <c r="K9" s="933" t="s">
        <v>591</v>
      </c>
      <c r="L9" s="934" t="s">
        <v>591</v>
      </c>
      <c r="M9" s="923"/>
      <c r="N9" s="923"/>
    </row>
    <row r="10" spans="1:14" ht="15">
      <c r="A10" s="923"/>
      <c r="B10" s="923"/>
      <c r="C10" s="1447" t="s">
        <v>642</v>
      </c>
      <c r="D10" s="1448"/>
      <c r="E10" s="935"/>
      <c r="F10" s="936"/>
      <c r="G10" s="936"/>
      <c r="H10" s="935"/>
      <c r="I10" s="936"/>
      <c r="J10" s="937"/>
      <c r="K10" s="937"/>
      <c r="L10" s="938"/>
      <c r="M10" s="923"/>
      <c r="N10" s="923"/>
    </row>
    <row r="11" spans="1:14" ht="14.25">
      <c r="A11" s="923"/>
      <c r="B11" s="923"/>
      <c r="C11" s="1443" t="s">
        <v>265</v>
      </c>
      <c r="D11" s="1444"/>
      <c r="E11" s="939">
        <v>13.8</v>
      </c>
      <c r="F11" s="939"/>
      <c r="G11" s="939">
        <v>0.9</v>
      </c>
      <c r="H11" s="939">
        <v>0.8</v>
      </c>
      <c r="I11" s="940"/>
      <c r="J11" s="941"/>
      <c r="K11" s="942"/>
      <c r="L11" s="943">
        <v>15.5</v>
      </c>
      <c r="M11" s="923"/>
      <c r="N11" s="923"/>
    </row>
    <row r="12" spans="1:14" ht="14.25">
      <c r="A12" s="923"/>
      <c r="B12" s="923"/>
      <c r="C12" s="1443" t="s">
        <v>269</v>
      </c>
      <c r="D12" s="1444"/>
      <c r="E12" s="939">
        <v>2.4</v>
      </c>
      <c r="F12" s="939"/>
      <c r="G12" s="939">
        <v>0.2</v>
      </c>
      <c r="H12" s="939">
        <v>0.3</v>
      </c>
      <c r="I12" s="940"/>
      <c r="J12" s="941"/>
      <c r="K12" s="942"/>
      <c r="L12" s="943">
        <v>2.9</v>
      </c>
      <c r="M12" s="923"/>
      <c r="N12" s="923"/>
    </row>
    <row r="13" spans="1:14" ht="14.25">
      <c r="A13" s="923"/>
      <c r="B13" s="923"/>
      <c r="C13" s="1443" t="s">
        <v>271</v>
      </c>
      <c r="D13" s="1444"/>
      <c r="E13" s="939">
        <v>0.5</v>
      </c>
      <c r="F13" s="939"/>
      <c r="G13" s="939">
        <v>1.1000000000000001</v>
      </c>
      <c r="H13" s="939">
        <v>0.6</v>
      </c>
      <c r="I13" s="940"/>
      <c r="J13" s="941"/>
      <c r="K13" s="942"/>
      <c r="L13" s="943">
        <v>2.2000000000000002</v>
      </c>
      <c r="M13" s="923"/>
      <c r="N13" s="923"/>
    </row>
    <row r="14" spans="1:14" ht="14.25">
      <c r="A14" s="923"/>
      <c r="B14" s="923"/>
      <c r="C14" s="1443" t="s">
        <v>273</v>
      </c>
      <c r="D14" s="1444"/>
      <c r="E14" s="939">
        <v>0</v>
      </c>
      <c r="F14" s="939"/>
      <c r="G14" s="939">
        <v>0</v>
      </c>
      <c r="H14" s="939">
        <v>0</v>
      </c>
      <c r="I14" s="940"/>
      <c r="J14" s="941"/>
      <c r="K14" s="942"/>
      <c r="L14" s="943">
        <v>0</v>
      </c>
      <c r="M14" s="923"/>
      <c r="N14" s="923"/>
    </row>
    <row r="15" spans="1:14" ht="15">
      <c r="A15" s="923"/>
      <c r="B15" s="923"/>
      <c r="C15" s="1437" t="s">
        <v>643</v>
      </c>
      <c r="D15" s="1438"/>
      <c r="E15" s="944"/>
      <c r="F15" s="945"/>
      <c r="G15" s="945"/>
      <c r="H15" s="944"/>
      <c r="I15" s="940"/>
      <c r="J15" s="941"/>
      <c r="K15" s="942"/>
      <c r="L15" s="946">
        <v>0</v>
      </c>
      <c r="M15" s="923"/>
      <c r="N15" s="923"/>
    </row>
    <row r="16" spans="1:14" ht="14.25">
      <c r="A16" s="923"/>
      <c r="B16" s="923"/>
      <c r="C16" s="1443" t="s">
        <v>368</v>
      </c>
      <c r="D16" s="1444"/>
      <c r="E16" s="947"/>
      <c r="F16" s="940"/>
      <c r="G16" s="940"/>
      <c r="H16" s="940"/>
      <c r="I16" s="939">
        <v>0.3</v>
      </c>
      <c r="J16" s="939"/>
      <c r="K16" s="942"/>
      <c r="L16" s="943">
        <v>0.3</v>
      </c>
      <c r="M16" s="923"/>
      <c r="N16" s="923"/>
    </row>
    <row r="17" spans="1:14" ht="14.25">
      <c r="A17" s="923"/>
      <c r="B17" s="923"/>
      <c r="C17" s="1443" t="s">
        <v>369</v>
      </c>
      <c r="D17" s="1444"/>
      <c r="E17" s="947"/>
      <c r="F17" s="940"/>
      <c r="G17" s="940"/>
      <c r="H17" s="940"/>
      <c r="I17" s="939">
        <v>0.9</v>
      </c>
      <c r="J17" s="939"/>
      <c r="K17" s="942"/>
      <c r="L17" s="943">
        <v>0.9</v>
      </c>
      <c r="M17" s="923"/>
      <c r="N17" s="923"/>
    </row>
    <row r="18" spans="1:14" ht="14.25">
      <c r="A18" s="923"/>
      <c r="B18" s="923"/>
      <c r="C18" s="1443" t="s">
        <v>370</v>
      </c>
      <c r="D18" s="1444"/>
      <c r="E18" s="947"/>
      <c r="F18" s="940"/>
      <c r="G18" s="940"/>
      <c r="H18" s="940"/>
      <c r="I18" s="939">
        <v>1.4</v>
      </c>
      <c r="J18" s="939"/>
      <c r="K18" s="942"/>
      <c r="L18" s="943">
        <v>1.4</v>
      </c>
      <c r="M18" s="923"/>
      <c r="N18" s="923"/>
    </row>
    <row r="19" spans="1:14" ht="14.25">
      <c r="A19" s="923"/>
      <c r="B19" s="923"/>
      <c r="C19" s="1443" t="s">
        <v>371</v>
      </c>
      <c r="D19" s="1444"/>
      <c r="E19" s="947"/>
      <c r="F19" s="940"/>
      <c r="G19" s="940"/>
      <c r="H19" s="940"/>
      <c r="I19" s="939">
        <v>1.1000000000000001</v>
      </c>
      <c r="J19" s="939"/>
      <c r="K19" s="942"/>
      <c r="L19" s="943">
        <v>1.1000000000000001</v>
      </c>
      <c r="M19" s="923"/>
      <c r="N19" s="923"/>
    </row>
    <row r="20" spans="1:14" ht="15">
      <c r="A20" s="923"/>
      <c r="B20" s="923"/>
      <c r="C20" s="1437" t="s">
        <v>641</v>
      </c>
      <c r="D20" s="1438"/>
      <c r="E20" s="948"/>
      <c r="F20" s="949"/>
      <c r="G20" s="949"/>
      <c r="H20" s="949"/>
      <c r="I20" s="949"/>
      <c r="J20" s="942"/>
      <c r="K20" s="939"/>
      <c r="L20" s="943">
        <v>0</v>
      </c>
      <c r="M20" s="923"/>
      <c r="N20" s="923"/>
    </row>
    <row r="21" spans="1:14" ht="15">
      <c r="A21" s="923"/>
      <c r="B21" s="923"/>
      <c r="C21" s="1437" t="s">
        <v>644</v>
      </c>
      <c r="D21" s="1438"/>
      <c r="E21" s="950">
        <v>16.7</v>
      </c>
      <c r="F21" s="950">
        <v>0</v>
      </c>
      <c r="G21" s="950">
        <v>2.2000000000000002</v>
      </c>
      <c r="H21" s="950">
        <v>1.7</v>
      </c>
      <c r="I21" s="950">
        <v>3.7</v>
      </c>
      <c r="J21" s="950">
        <v>0</v>
      </c>
      <c r="K21" s="951">
        <v>0</v>
      </c>
      <c r="L21" s="952">
        <v>24.3</v>
      </c>
      <c r="M21" s="953"/>
      <c r="N21" s="923"/>
    </row>
    <row r="22" spans="1:14" ht="15" customHeight="1">
      <c r="A22" s="923"/>
      <c r="B22" s="923"/>
      <c r="C22" s="1443" t="s">
        <v>645</v>
      </c>
      <c r="D22" s="1444"/>
      <c r="E22" s="939"/>
      <c r="F22" s="940"/>
      <c r="G22" s="939"/>
      <c r="H22" s="939"/>
      <c r="I22" s="939"/>
      <c r="J22" s="939"/>
      <c r="K22" s="939"/>
      <c r="L22" s="943">
        <v>0</v>
      </c>
      <c r="M22" s="953"/>
      <c r="N22" s="923"/>
    </row>
    <row r="23" spans="1:14" ht="15">
      <c r="A23" s="923"/>
      <c r="B23" s="923"/>
      <c r="C23" s="1437" t="s">
        <v>646</v>
      </c>
      <c r="D23" s="1438"/>
      <c r="E23" s="950">
        <v>16.7</v>
      </c>
      <c r="F23" s="954">
        <v>0</v>
      </c>
      <c r="G23" s="954">
        <v>2.2000000000000002</v>
      </c>
      <c r="H23" s="954">
        <v>1.7</v>
      </c>
      <c r="I23" s="954">
        <v>3.7</v>
      </c>
      <c r="J23" s="954">
        <v>0</v>
      </c>
      <c r="K23" s="955">
        <v>0</v>
      </c>
      <c r="L23" s="952">
        <v>24.3</v>
      </c>
      <c r="M23" s="956"/>
      <c r="N23" s="923"/>
    </row>
    <row r="24" spans="1:14" ht="15.75" thickBot="1">
      <c r="A24" s="923"/>
      <c r="B24" s="923"/>
      <c r="C24" s="1443" t="s">
        <v>647</v>
      </c>
      <c r="D24" s="1444"/>
      <c r="E24" s="939">
        <v>-22</v>
      </c>
      <c r="F24" s="939"/>
      <c r="G24" s="939">
        <v>-2.8</v>
      </c>
      <c r="H24" s="957"/>
      <c r="I24" s="958"/>
      <c r="J24" s="958"/>
      <c r="K24" s="939"/>
      <c r="L24" s="959">
        <v>-24.8</v>
      </c>
      <c r="M24" s="960"/>
      <c r="N24" s="923"/>
    </row>
    <row r="25" spans="1:14" ht="15.75" thickBot="1">
      <c r="A25" s="923"/>
      <c r="B25" s="923"/>
      <c r="C25" s="1437" t="s">
        <v>648</v>
      </c>
      <c r="D25" s="1438"/>
      <c r="E25" s="961">
        <v>-5.3</v>
      </c>
      <c r="F25" s="962">
        <v>0</v>
      </c>
      <c r="G25" s="962">
        <v>-0.6</v>
      </c>
      <c r="H25" s="962">
        <v>1.7</v>
      </c>
      <c r="I25" s="962">
        <v>3.7</v>
      </c>
      <c r="J25" s="962">
        <v>0</v>
      </c>
      <c r="K25" s="963">
        <v>0</v>
      </c>
      <c r="L25" s="964">
        <v>-0.5</v>
      </c>
      <c r="M25" s="956"/>
      <c r="N25" s="923"/>
    </row>
    <row r="26" spans="1:14" ht="15.75" thickBot="1">
      <c r="A26" s="923"/>
      <c r="B26" s="923"/>
      <c r="C26" s="915"/>
      <c r="D26" s="915"/>
      <c r="E26" s="965"/>
      <c r="F26" s="965"/>
      <c r="G26" s="966"/>
      <c r="H26" s="967"/>
      <c r="I26" s="923"/>
      <c r="J26" s="923"/>
      <c r="K26" s="923"/>
      <c r="L26" s="923"/>
      <c r="M26" s="923"/>
      <c r="N26" s="923"/>
    </row>
    <row r="27" spans="1:14" ht="18.75" thickBot="1">
      <c r="A27" s="923"/>
      <c r="B27" s="923"/>
      <c r="C27" s="1439" t="s">
        <v>649</v>
      </c>
      <c r="D27" s="1440"/>
      <c r="E27" s="968"/>
      <c r="F27" s="968"/>
      <c r="G27" s="969"/>
      <c r="H27" s="923"/>
      <c r="I27" s="923"/>
      <c r="J27" s="923"/>
      <c r="K27" s="923"/>
      <c r="L27" s="970"/>
      <c r="M27" s="923"/>
      <c r="N27" s="923"/>
    </row>
    <row r="28" spans="1:14" ht="18" customHeight="1" thickBot="1">
      <c r="A28" s="923"/>
      <c r="B28" s="923"/>
      <c r="C28" s="1348" t="s">
        <v>634</v>
      </c>
      <c r="D28" s="1350"/>
      <c r="E28" s="1449" t="s">
        <v>650</v>
      </c>
      <c r="F28" s="1450"/>
      <c r="G28" s="971"/>
      <c r="H28" s="923"/>
      <c r="I28" s="923"/>
      <c r="J28" s="923"/>
      <c r="K28" s="923"/>
      <c r="L28" s="970"/>
      <c r="M28" s="923"/>
      <c r="N28" s="923"/>
    </row>
    <row r="29" spans="1:14" ht="45.75" thickBot="1">
      <c r="A29" s="923"/>
      <c r="B29" s="923"/>
      <c r="C29" s="1441"/>
      <c r="D29" s="1442"/>
      <c r="E29" s="972" t="s">
        <v>651</v>
      </c>
      <c r="F29" s="972" t="s">
        <v>652</v>
      </c>
      <c r="G29" s="972" t="s">
        <v>653</v>
      </c>
      <c r="H29" s="923"/>
      <c r="I29" s="923"/>
      <c r="J29" s="923"/>
      <c r="K29" s="923"/>
      <c r="L29" s="970"/>
      <c r="M29" s="923"/>
      <c r="N29" s="923"/>
    </row>
    <row r="30" spans="1:14" ht="15.75" customHeight="1" thickBot="1">
      <c r="A30" s="923"/>
      <c r="B30" s="923"/>
      <c r="C30" s="1351"/>
      <c r="D30" s="1353"/>
      <c r="E30" s="973" t="s">
        <v>591</v>
      </c>
      <c r="F30" s="973" t="s">
        <v>591</v>
      </c>
      <c r="G30" s="973" t="s">
        <v>591</v>
      </c>
      <c r="H30" s="923"/>
      <c r="I30" s="923"/>
      <c r="J30" s="923"/>
      <c r="K30" s="923"/>
      <c r="L30" s="970"/>
      <c r="M30" s="923"/>
      <c r="N30" s="923"/>
    </row>
    <row r="31" spans="1:14" s="105" customFormat="1" ht="18" customHeight="1">
      <c r="A31" s="818"/>
      <c r="B31" s="818"/>
      <c r="C31" s="1451" t="s">
        <v>447</v>
      </c>
      <c r="D31" s="974" t="s">
        <v>448</v>
      </c>
      <c r="E31" s="975">
        <v>1.5</v>
      </c>
      <c r="F31" s="939">
        <v>0</v>
      </c>
      <c r="G31" s="976">
        <v>1.5</v>
      </c>
      <c r="H31" s="818"/>
      <c r="I31" s="818"/>
      <c r="J31" s="818"/>
      <c r="K31" s="818"/>
      <c r="L31" s="894"/>
      <c r="M31" s="818"/>
      <c r="N31" s="818"/>
    </row>
    <row r="32" spans="1:14" s="105" customFormat="1" ht="18" customHeight="1" thickBot="1">
      <c r="A32" s="818"/>
      <c r="B32" s="818"/>
      <c r="C32" s="1452"/>
      <c r="D32" s="977" t="s">
        <v>449</v>
      </c>
      <c r="E32" s="978">
        <v>0.6</v>
      </c>
      <c r="F32" s="978">
        <v>0</v>
      </c>
      <c r="G32" s="979">
        <v>0.6</v>
      </c>
      <c r="H32" s="818"/>
      <c r="I32" s="818"/>
      <c r="J32" s="818"/>
      <c r="K32" s="818"/>
      <c r="L32" s="894"/>
      <c r="M32" s="818"/>
      <c r="N32" s="818"/>
    </row>
    <row r="33" spans="1:14" s="105" customFormat="1" ht="18" customHeight="1">
      <c r="A33" s="818"/>
      <c r="B33" s="818"/>
      <c r="C33" s="1451" t="s">
        <v>450</v>
      </c>
      <c r="D33" s="974" t="s">
        <v>448</v>
      </c>
      <c r="E33" s="975">
        <v>0</v>
      </c>
      <c r="F33" s="939">
        <v>0</v>
      </c>
      <c r="G33" s="976">
        <v>0</v>
      </c>
      <c r="H33" s="818"/>
      <c r="I33" s="818"/>
      <c r="J33" s="818"/>
      <c r="K33" s="818"/>
      <c r="L33" s="894"/>
      <c r="M33" s="818"/>
      <c r="N33" s="818"/>
    </row>
    <row r="34" spans="1:14" s="105" customFormat="1" ht="18" customHeight="1" thickBot="1">
      <c r="A34" s="818"/>
      <c r="B34" s="818"/>
      <c r="C34" s="1452"/>
      <c r="D34" s="977" t="s">
        <v>449</v>
      </c>
      <c r="E34" s="978">
        <v>0.1</v>
      </c>
      <c r="F34" s="978">
        <v>0</v>
      </c>
      <c r="G34" s="979">
        <v>0.1</v>
      </c>
      <c r="H34" s="818"/>
      <c r="I34" s="818"/>
      <c r="J34" s="818"/>
      <c r="K34" s="818"/>
      <c r="L34" s="894"/>
      <c r="M34" s="818"/>
      <c r="N34" s="818"/>
    </row>
    <row r="35" spans="1:14" s="105" customFormat="1" ht="18" customHeight="1">
      <c r="A35" s="818"/>
      <c r="B35" s="818"/>
      <c r="C35" s="1455" t="s">
        <v>368</v>
      </c>
      <c r="D35" s="974" t="s">
        <v>613</v>
      </c>
      <c r="E35" s="975">
        <v>2</v>
      </c>
      <c r="F35" s="939">
        <v>0</v>
      </c>
      <c r="G35" s="976">
        <v>2</v>
      </c>
      <c r="H35" s="818"/>
      <c r="I35" s="818"/>
      <c r="J35" s="818"/>
      <c r="K35" s="818"/>
      <c r="L35" s="894"/>
      <c r="M35" s="818"/>
      <c r="N35" s="818"/>
    </row>
    <row r="36" spans="1:14" s="105" customFormat="1" ht="18" customHeight="1">
      <c r="A36" s="818"/>
      <c r="B36" s="818"/>
      <c r="C36" s="1456"/>
      <c r="D36" s="980" t="s">
        <v>654</v>
      </c>
      <c r="E36" s="975">
        <v>0.2</v>
      </c>
      <c r="F36" s="939">
        <v>0.1</v>
      </c>
      <c r="G36" s="943">
        <v>0.3</v>
      </c>
      <c r="H36" s="818"/>
      <c r="I36" s="818"/>
      <c r="J36" s="818"/>
      <c r="K36" s="818"/>
      <c r="L36" s="894"/>
      <c r="M36" s="818"/>
      <c r="N36" s="818"/>
    </row>
    <row r="37" spans="1:14" s="105" customFormat="1" ht="18" customHeight="1" thickBot="1">
      <c r="A37" s="818"/>
      <c r="B37" s="818"/>
      <c r="C37" s="1457"/>
      <c r="D37" s="981" t="s">
        <v>453</v>
      </c>
      <c r="E37" s="978">
        <v>0.1</v>
      </c>
      <c r="F37" s="978">
        <v>0</v>
      </c>
      <c r="G37" s="979">
        <v>0.1</v>
      </c>
      <c r="H37" s="818"/>
      <c r="I37" s="818"/>
      <c r="J37" s="818"/>
      <c r="K37" s="818"/>
      <c r="L37" s="894"/>
      <c r="M37" s="818"/>
      <c r="N37" s="818"/>
    </row>
    <row r="38" spans="1:14" s="105" customFormat="1" ht="18" customHeight="1">
      <c r="A38" s="818"/>
      <c r="B38" s="818"/>
      <c r="C38" s="1455" t="s">
        <v>245</v>
      </c>
      <c r="D38" s="974" t="s">
        <v>454</v>
      </c>
      <c r="E38" s="975">
        <v>5.6</v>
      </c>
      <c r="F38" s="939">
        <v>0</v>
      </c>
      <c r="G38" s="976">
        <v>5.6</v>
      </c>
      <c r="H38" s="818"/>
      <c r="I38" s="818"/>
      <c r="J38" s="818"/>
      <c r="K38" s="818"/>
      <c r="L38" s="894"/>
      <c r="M38" s="818"/>
      <c r="N38" s="818"/>
    </row>
    <row r="39" spans="1:14" s="105" customFormat="1" ht="18" customHeight="1">
      <c r="A39" s="818"/>
      <c r="B39" s="818"/>
      <c r="C39" s="1456"/>
      <c r="D39" s="980" t="s">
        <v>617</v>
      </c>
      <c r="E39" s="975">
        <v>1.1000000000000001</v>
      </c>
      <c r="F39" s="939">
        <v>0</v>
      </c>
      <c r="G39" s="943">
        <v>1.1000000000000001</v>
      </c>
      <c r="H39" s="818"/>
      <c r="I39" s="818"/>
      <c r="J39" s="818"/>
      <c r="K39" s="818"/>
      <c r="L39" s="894"/>
      <c r="M39" s="818"/>
      <c r="N39" s="818"/>
    </row>
    <row r="40" spans="1:14" s="105" customFormat="1" ht="18" customHeight="1">
      <c r="A40" s="818"/>
      <c r="B40" s="818"/>
      <c r="C40" s="1456"/>
      <c r="D40" s="982" t="s">
        <v>455</v>
      </c>
      <c r="E40" s="975">
        <v>0</v>
      </c>
      <c r="F40" s="939">
        <v>0</v>
      </c>
      <c r="G40" s="943">
        <v>0</v>
      </c>
      <c r="H40" s="818"/>
      <c r="I40" s="818"/>
      <c r="J40" s="818"/>
      <c r="K40" s="818"/>
      <c r="L40" s="894"/>
      <c r="M40" s="818"/>
      <c r="N40" s="818"/>
    </row>
    <row r="41" spans="1:14" s="105" customFormat="1" ht="18" customHeight="1">
      <c r="A41" s="818"/>
      <c r="B41" s="818"/>
      <c r="C41" s="1456"/>
      <c r="D41" s="982" t="s">
        <v>453</v>
      </c>
      <c r="E41" s="975">
        <v>2.5</v>
      </c>
      <c r="F41" s="939">
        <v>0.1</v>
      </c>
      <c r="G41" s="943">
        <v>2.6</v>
      </c>
      <c r="H41" s="818"/>
      <c r="I41" s="818"/>
      <c r="J41" s="818"/>
      <c r="K41" s="818"/>
      <c r="L41" s="894"/>
      <c r="M41" s="818"/>
      <c r="N41" s="818"/>
    </row>
    <row r="42" spans="1:14" s="105" customFormat="1" ht="18" customHeight="1">
      <c r="A42" s="818"/>
      <c r="B42" s="818"/>
      <c r="C42" s="1456"/>
      <c r="D42" s="980" t="s">
        <v>456</v>
      </c>
      <c r="E42" s="975">
        <v>0.7</v>
      </c>
      <c r="F42" s="939">
        <v>0.1</v>
      </c>
      <c r="G42" s="943">
        <v>0.8</v>
      </c>
      <c r="H42" s="818"/>
      <c r="I42" s="818"/>
      <c r="J42" s="818"/>
      <c r="K42" s="818"/>
      <c r="L42" s="894"/>
      <c r="M42" s="818"/>
      <c r="N42" s="818"/>
    </row>
    <row r="43" spans="1:14" s="105" customFormat="1" ht="18" customHeight="1" thickBot="1">
      <c r="A43" s="818"/>
      <c r="B43" s="818"/>
      <c r="C43" s="1457"/>
      <c r="D43" s="977" t="s">
        <v>457</v>
      </c>
      <c r="E43" s="978">
        <v>0.8</v>
      </c>
      <c r="F43" s="978">
        <v>0</v>
      </c>
      <c r="G43" s="979">
        <v>0.8</v>
      </c>
      <c r="H43" s="818"/>
      <c r="I43" s="818"/>
      <c r="J43" s="818"/>
      <c r="K43" s="818"/>
      <c r="L43" s="894"/>
      <c r="M43" s="818"/>
      <c r="N43" s="818"/>
    </row>
    <row r="44" spans="1:14" s="105" customFormat="1" ht="18" customHeight="1">
      <c r="A44" s="818"/>
      <c r="B44" s="818"/>
      <c r="C44" s="1455" t="s">
        <v>427</v>
      </c>
      <c r="D44" s="974" t="s">
        <v>454</v>
      </c>
      <c r="E44" s="975">
        <v>1</v>
      </c>
      <c r="F44" s="939">
        <v>0</v>
      </c>
      <c r="G44" s="976">
        <v>1</v>
      </c>
      <c r="H44" s="818"/>
      <c r="I44" s="818"/>
      <c r="J44" s="818"/>
      <c r="K44" s="818"/>
      <c r="L44" s="894"/>
      <c r="M44" s="818"/>
      <c r="N44" s="818"/>
    </row>
    <row r="45" spans="1:14" s="105" customFormat="1" ht="18" customHeight="1">
      <c r="A45" s="818"/>
      <c r="B45" s="818"/>
      <c r="C45" s="1456"/>
      <c r="D45" s="980" t="s">
        <v>617</v>
      </c>
      <c r="E45" s="975">
        <v>0</v>
      </c>
      <c r="F45" s="939">
        <v>0</v>
      </c>
      <c r="G45" s="943">
        <v>0</v>
      </c>
      <c r="H45" s="818"/>
      <c r="I45" s="818"/>
      <c r="J45" s="818"/>
      <c r="K45" s="818"/>
      <c r="L45" s="894"/>
      <c r="M45" s="818"/>
      <c r="N45" s="818"/>
    </row>
    <row r="46" spans="1:14" s="105" customFormat="1" ht="18" customHeight="1">
      <c r="A46" s="818"/>
      <c r="B46" s="818"/>
      <c r="C46" s="1456"/>
      <c r="D46" s="980" t="s">
        <v>455</v>
      </c>
      <c r="E46" s="975">
        <v>0</v>
      </c>
      <c r="F46" s="939">
        <v>0</v>
      </c>
      <c r="G46" s="943">
        <v>0</v>
      </c>
      <c r="H46" s="818"/>
      <c r="I46" s="818"/>
      <c r="J46" s="818"/>
      <c r="K46" s="818"/>
      <c r="L46" s="894"/>
      <c r="M46" s="818"/>
      <c r="N46" s="818"/>
    </row>
    <row r="47" spans="1:14" s="105" customFormat="1" ht="18" customHeight="1">
      <c r="A47" s="818"/>
      <c r="B47" s="818"/>
      <c r="C47" s="1456"/>
      <c r="D47" s="980" t="s">
        <v>453</v>
      </c>
      <c r="E47" s="975">
        <v>1.9</v>
      </c>
      <c r="F47" s="939">
        <v>0</v>
      </c>
      <c r="G47" s="943">
        <v>1.9</v>
      </c>
      <c r="H47" s="818"/>
      <c r="I47" s="818"/>
      <c r="J47" s="818"/>
      <c r="K47" s="818"/>
      <c r="L47" s="894"/>
      <c r="M47" s="818"/>
      <c r="N47" s="818"/>
    </row>
    <row r="48" spans="1:14" s="105" customFormat="1" ht="18" customHeight="1">
      <c r="A48" s="818"/>
      <c r="B48" s="818"/>
      <c r="C48" s="1456"/>
      <c r="D48" s="980" t="s">
        <v>456</v>
      </c>
      <c r="E48" s="975">
        <v>0.8</v>
      </c>
      <c r="F48" s="939">
        <v>0.2</v>
      </c>
      <c r="G48" s="943">
        <v>1</v>
      </c>
      <c r="H48" s="818"/>
      <c r="I48" s="818"/>
      <c r="J48" s="818"/>
      <c r="K48" s="818"/>
      <c r="L48" s="894"/>
      <c r="M48" s="818"/>
      <c r="N48" s="818"/>
    </row>
    <row r="49" spans="1:14" s="105" customFormat="1" ht="18" customHeight="1" thickBot="1">
      <c r="A49" s="818"/>
      <c r="B49" s="818"/>
      <c r="C49" s="1457"/>
      <c r="D49" s="981" t="s">
        <v>457</v>
      </c>
      <c r="E49" s="978">
        <v>0.3</v>
      </c>
      <c r="F49" s="978">
        <v>0</v>
      </c>
      <c r="G49" s="979">
        <v>0.3</v>
      </c>
      <c r="H49" s="818"/>
      <c r="I49" s="818"/>
      <c r="J49" s="818"/>
      <c r="K49" s="818"/>
      <c r="L49" s="894"/>
      <c r="M49" s="818"/>
      <c r="N49" s="818"/>
    </row>
    <row r="50" spans="1:14" s="105" customFormat="1" ht="18" customHeight="1">
      <c r="A50" s="818"/>
      <c r="B50" s="818"/>
      <c r="C50" s="1455" t="s">
        <v>426</v>
      </c>
      <c r="D50" s="974" t="s">
        <v>454</v>
      </c>
      <c r="E50" s="975">
        <v>2</v>
      </c>
      <c r="F50" s="939">
        <v>0</v>
      </c>
      <c r="G50" s="976">
        <v>2</v>
      </c>
      <c r="H50" s="818"/>
      <c r="I50" s="818"/>
      <c r="J50" s="818"/>
      <c r="K50" s="818"/>
      <c r="L50" s="894"/>
      <c r="M50" s="818"/>
      <c r="N50" s="818"/>
    </row>
    <row r="51" spans="1:14" s="105" customFormat="1" ht="18" customHeight="1">
      <c r="A51" s="818"/>
      <c r="B51" s="818"/>
      <c r="C51" s="1456"/>
      <c r="D51" s="980" t="s">
        <v>617</v>
      </c>
      <c r="E51" s="975">
        <v>0.4</v>
      </c>
      <c r="F51" s="939">
        <v>0</v>
      </c>
      <c r="G51" s="943">
        <v>0.4</v>
      </c>
      <c r="H51" s="818"/>
      <c r="I51" s="818"/>
      <c r="J51" s="818"/>
      <c r="K51" s="818"/>
      <c r="L51" s="894"/>
      <c r="M51" s="818"/>
      <c r="N51" s="818"/>
    </row>
    <row r="52" spans="1:14" s="105" customFormat="1" ht="18" customHeight="1">
      <c r="A52" s="818"/>
      <c r="B52" s="818"/>
      <c r="C52" s="1456"/>
      <c r="D52" s="982" t="s">
        <v>655</v>
      </c>
      <c r="E52" s="975">
        <v>0</v>
      </c>
      <c r="F52" s="939">
        <v>0</v>
      </c>
      <c r="G52" s="943">
        <v>0</v>
      </c>
      <c r="H52" s="818"/>
      <c r="I52" s="818"/>
      <c r="J52" s="818"/>
      <c r="K52" s="818"/>
      <c r="L52" s="894"/>
      <c r="M52" s="818"/>
      <c r="N52" s="818"/>
    </row>
    <row r="53" spans="1:14" s="105" customFormat="1" ht="18" customHeight="1">
      <c r="A53" s="818"/>
      <c r="B53" s="818"/>
      <c r="C53" s="1456"/>
      <c r="D53" s="982" t="s">
        <v>453</v>
      </c>
      <c r="E53" s="975">
        <v>0.1</v>
      </c>
      <c r="F53" s="939">
        <v>0</v>
      </c>
      <c r="G53" s="943">
        <v>0.1</v>
      </c>
      <c r="H53" s="818"/>
      <c r="I53" s="818"/>
      <c r="J53" s="818"/>
      <c r="K53" s="818"/>
      <c r="L53" s="894"/>
      <c r="M53" s="818"/>
      <c r="N53" s="818"/>
    </row>
    <row r="54" spans="1:14" s="105" customFormat="1" ht="18" customHeight="1">
      <c r="A54" s="818"/>
      <c r="B54" s="818"/>
      <c r="C54" s="1456"/>
      <c r="D54" s="982" t="s">
        <v>456</v>
      </c>
      <c r="E54" s="975">
        <v>0.8</v>
      </c>
      <c r="F54" s="939">
        <v>0</v>
      </c>
      <c r="G54" s="943">
        <v>0.8</v>
      </c>
      <c r="H54" s="818"/>
      <c r="I54" s="818"/>
      <c r="J54" s="818"/>
      <c r="K54" s="818"/>
      <c r="L54" s="894"/>
      <c r="M54" s="818"/>
      <c r="N54" s="818"/>
    </row>
    <row r="55" spans="1:14" s="105" customFormat="1" ht="18" customHeight="1" thickBot="1">
      <c r="A55" s="818"/>
      <c r="B55" s="818"/>
      <c r="C55" s="1457"/>
      <c r="D55" s="981" t="s">
        <v>457</v>
      </c>
      <c r="E55" s="975">
        <v>0.9</v>
      </c>
      <c r="F55" s="939">
        <v>0</v>
      </c>
      <c r="G55" s="943">
        <v>0.9</v>
      </c>
      <c r="H55" s="818"/>
      <c r="I55" s="818"/>
      <c r="J55" s="818"/>
      <c r="K55" s="818"/>
      <c r="L55" s="894"/>
      <c r="M55" s="818"/>
      <c r="N55" s="818"/>
    </row>
    <row r="56" spans="1:14" s="105" customFormat="1" ht="18" customHeight="1" thickBot="1">
      <c r="A56" s="818"/>
      <c r="B56" s="818"/>
      <c r="C56" s="1408" t="s">
        <v>656</v>
      </c>
      <c r="D56" s="1410"/>
      <c r="E56" s="983">
        <v>23.4</v>
      </c>
      <c r="F56" s="983">
        <v>0.5</v>
      </c>
      <c r="G56" s="983">
        <v>23.9</v>
      </c>
      <c r="H56" s="984"/>
      <c r="I56" s="818"/>
      <c r="J56" s="818"/>
      <c r="K56" s="818"/>
      <c r="L56" s="818"/>
      <c r="M56" s="894"/>
      <c r="N56" s="818"/>
    </row>
    <row r="57" spans="1:14" s="105" customFormat="1" ht="18" customHeight="1" thickBot="1">
      <c r="A57" s="818"/>
      <c r="B57" s="818"/>
      <c r="C57" s="1458" t="s">
        <v>647</v>
      </c>
      <c r="D57" s="1459"/>
      <c r="E57" s="975">
        <v>-0.3</v>
      </c>
      <c r="F57" s="939"/>
      <c r="G57" s="943">
        <v>-0.3</v>
      </c>
      <c r="H57" s="984"/>
      <c r="I57" s="984"/>
      <c r="J57" s="984"/>
      <c r="K57" s="818"/>
      <c r="L57" s="818"/>
      <c r="M57" s="894"/>
      <c r="N57" s="818"/>
    </row>
    <row r="58" spans="1:14" s="105" customFormat="1" ht="18" customHeight="1" thickBot="1">
      <c r="A58" s="818"/>
      <c r="B58" s="818"/>
      <c r="C58" s="1408" t="s">
        <v>657</v>
      </c>
      <c r="D58" s="1410"/>
      <c r="E58" s="983">
        <v>23.1</v>
      </c>
      <c r="F58" s="983">
        <v>0.5</v>
      </c>
      <c r="G58" s="983">
        <v>23.6</v>
      </c>
      <c r="H58" s="818"/>
      <c r="I58" s="818"/>
      <c r="J58" s="818"/>
      <c r="K58" s="818"/>
      <c r="L58" s="894"/>
      <c r="M58" s="818"/>
      <c r="N58" s="818"/>
    </row>
    <row r="59" spans="1:14" s="105" customFormat="1" ht="18" customHeight="1" thickBot="1">
      <c r="C59" s="1460"/>
      <c r="D59" s="1460"/>
    </row>
    <row r="60" spans="1:14" s="105" customFormat="1" ht="18" customHeight="1" thickBot="1">
      <c r="A60" s="818"/>
      <c r="B60" s="818"/>
      <c r="C60" s="1461" t="s">
        <v>658</v>
      </c>
      <c r="D60" s="1462"/>
      <c r="E60" s="985" t="s">
        <v>244</v>
      </c>
      <c r="F60" s="985" t="s">
        <v>245</v>
      </c>
      <c r="G60" s="985" t="s">
        <v>427</v>
      </c>
      <c r="H60" s="985" t="s">
        <v>426</v>
      </c>
      <c r="I60" s="985" t="s">
        <v>220</v>
      </c>
      <c r="J60" s="818"/>
      <c r="K60" s="818"/>
      <c r="L60" s="818"/>
      <c r="M60" s="894"/>
      <c r="N60" s="818"/>
    </row>
    <row r="61" spans="1:14" s="105" customFormat="1" ht="18" customHeight="1" thickBot="1">
      <c r="A61" s="818"/>
      <c r="B61" s="818"/>
      <c r="C61" s="1463" t="s">
        <v>634</v>
      </c>
      <c r="D61" s="1464"/>
      <c r="E61" s="906" t="s">
        <v>591</v>
      </c>
      <c r="F61" s="906" t="s">
        <v>591</v>
      </c>
      <c r="G61" s="906" t="s">
        <v>591</v>
      </c>
      <c r="H61" s="906" t="s">
        <v>591</v>
      </c>
      <c r="I61" s="906" t="s">
        <v>591</v>
      </c>
      <c r="J61" s="818"/>
      <c r="K61" s="818"/>
      <c r="L61" s="818"/>
      <c r="M61" s="818"/>
      <c r="N61" s="894"/>
    </row>
    <row r="62" spans="1:14" s="105" customFormat="1" ht="18" customHeight="1">
      <c r="A62" s="818"/>
      <c r="B62" s="818"/>
      <c r="C62" s="1465" t="s">
        <v>659</v>
      </c>
      <c r="D62" s="1466"/>
      <c r="E62" s="975">
        <v>0.2</v>
      </c>
      <c r="F62" s="939">
        <v>3.4</v>
      </c>
      <c r="G62" s="939">
        <v>0</v>
      </c>
      <c r="H62" s="939">
        <v>0</v>
      </c>
      <c r="I62" s="986">
        <v>3.6</v>
      </c>
      <c r="J62" s="818"/>
      <c r="K62" s="818"/>
      <c r="L62" s="818"/>
      <c r="M62" s="818"/>
      <c r="N62" s="894"/>
    </row>
    <row r="63" spans="1:14" s="105" customFormat="1" ht="18" customHeight="1">
      <c r="A63" s="818"/>
      <c r="B63" s="818"/>
      <c r="C63" s="1453" t="s">
        <v>660</v>
      </c>
      <c r="D63" s="1454"/>
      <c r="E63" s="975">
        <v>0</v>
      </c>
      <c r="F63" s="939">
        <v>0</v>
      </c>
      <c r="G63" s="939">
        <v>0</v>
      </c>
      <c r="H63" s="939">
        <v>0</v>
      </c>
      <c r="I63" s="952">
        <v>0</v>
      </c>
      <c r="J63" s="818"/>
      <c r="K63" s="818"/>
      <c r="L63" s="818"/>
      <c r="M63" s="818"/>
      <c r="N63" s="894"/>
    </row>
    <row r="64" spans="1:14" s="105" customFormat="1" ht="18" customHeight="1">
      <c r="A64" s="818"/>
      <c r="B64" s="818"/>
      <c r="C64" s="1453" t="s">
        <v>661</v>
      </c>
      <c r="D64" s="1454"/>
      <c r="E64" s="975">
        <v>0</v>
      </c>
      <c r="F64" s="939">
        <v>0</v>
      </c>
      <c r="G64" s="939">
        <v>0</v>
      </c>
      <c r="H64" s="939">
        <v>0</v>
      </c>
      <c r="I64" s="952">
        <v>0</v>
      </c>
      <c r="J64" s="818"/>
      <c r="K64" s="818"/>
      <c r="L64" s="818"/>
      <c r="M64" s="818"/>
      <c r="N64" s="894"/>
    </row>
    <row r="65" spans="1:14" s="105" customFormat="1" ht="18" customHeight="1">
      <c r="A65" s="818"/>
      <c r="B65" s="818"/>
      <c r="C65" s="1453" t="s">
        <v>662</v>
      </c>
      <c r="D65" s="1454"/>
      <c r="E65" s="975">
        <v>0</v>
      </c>
      <c r="F65" s="939">
        <v>0</v>
      </c>
      <c r="G65" s="939">
        <v>0</v>
      </c>
      <c r="H65" s="939">
        <v>0</v>
      </c>
      <c r="I65" s="952">
        <v>0</v>
      </c>
      <c r="J65" s="818"/>
      <c r="K65" s="818"/>
      <c r="L65" s="818"/>
      <c r="M65" s="818"/>
      <c r="N65" s="894"/>
    </row>
    <row r="66" spans="1:14" s="105" customFormat="1" ht="18" customHeight="1">
      <c r="A66" s="818"/>
      <c r="B66" s="818"/>
      <c r="C66" s="1453" t="s">
        <v>490</v>
      </c>
      <c r="D66" s="1454"/>
      <c r="E66" s="975">
        <v>0</v>
      </c>
      <c r="F66" s="939">
        <v>0</v>
      </c>
      <c r="G66" s="939">
        <v>0</v>
      </c>
      <c r="H66" s="939">
        <v>0</v>
      </c>
      <c r="I66" s="952">
        <v>0</v>
      </c>
      <c r="J66" s="818"/>
      <c r="K66" s="818"/>
      <c r="L66" s="818"/>
      <c r="M66" s="818"/>
      <c r="N66" s="894"/>
    </row>
    <row r="67" spans="1:14" s="105" customFormat="1" ht="18" customHeight="1">
      <c r="A67" s="818"/>
      <c r="B67" s="818"/>
      <c r="C67" s="1453" t="s">
        <v>663</v>
      </c>
      <c r="D67" s="1454"/>
      <c r="E67" s="975">
        <v>0</v>
      </c>
      <c r="F67" s="939">
        <v>0</v>
      </c>
      <c r="G67" s="939">
        <v>0</v>
      </c>
      <c r="H67" s="939">
        <v>0</v>
      </c>
      <c r="I67" s="952">
        <v>0</v>
      </c>
      <c r="J67" s="818"/>
      <c r="K67" s="818"/>
      <c r="L67" s="818"/>
      <c r="M67" s="818"/>
      <c r="N67" s="894"/>
    </row>
    <row r="68" spans="1:14" s="105" customFormat="1" ht="18" customHeight="1">
      <c r="A68" s="818"/>
      <c r="B68" s="818"/>
      <c r="C68" s="1453" t="s">
        <v>664</v>
      </c>
      <c r="D68" s="1454"/>
      <c r="E68" s="975">
        <v>0</v>
      </c>
      <c r="F68" s="939">
        <v>0</v>
      </c>
      <c r="G68" s="939">
        <v>0</v>
      </c>
      <c r="H68" s="939">
        <v>0</v>
      </c>
      <c r="I68" s="952">
        <v>0</v>
      </c>
      <c r="J68" s="818"/>
      <c r="K68" s="818"/>
      <c r="L68" s="818"/>
      <c r="M68" s="818"/>
      <c r="N68" s="894"/>
    </row>
    <row r="69" spans="1:14" s="105" customFormat="1" ht="18" customHeight="1">
      <c r="A69" s="818"/>
      <c r="B69" s="818"/>
      <c r="C69" s="1453" t="s">
        <v>665</v>
      </c>
      <c r="D69" s="1454"/>
      <c r="E69" s="975">
        <v>0</v>
      </c>
      <c r="F69" s="939">
        <v>3.4</v>
      </c>
      <c r="G69" s="939">
        <v>0</v>
      </c>
      <c r="H69" s="939">
        <v>0</v>
      </c>
      <c r="I69" s="959">
        <v>3.4</v>
      </c>
      <c r="J69" s="818"/>
      <c r="K69" s="818"/>
      <c r="L69" s="818"/>
      <c r="M69" s="818"/>
      <c r="N69" s="894"/>
    </row>
    <row r="70" spans="1:14" s="105" customFormat="1" ht="18" customHeight="1" thickBot="1">
      <c r="A70" s="818"/>
      <c r="B70" s="818"/>
      <c r="C70" s="1469" t="s">
        <v>666</v>
      </c>
      <c r="D70" s="1470"/>
      <c r="E70" s="975">
        <v>0.4</v>
      </c>
      <c r="F70" s="939">
        <v>0.8</v>
      </c>
      <c r="G70" s="939">
        <v>0.1</v>
      </c>
      <c r="H70" s="939">
        <v>0</v>
      </c>
      <c r="I70" s="987">
        <v>1.3</v>
      </c>
      <c r="J70" s="818"/>
      <c r="K70" s="818"/>
      <c r="L70" s="818"/>
      <c r="M70" s="818"/>
      <c r="N70" s="894"/>
    </row>
    <row r="71" spans="1:14" s="105" customFormat="1" ht="18" customHeight="1" thickBot="1">
      <c r="A71" s="818"/>
      <c r="B71" s="818"/>
      <c r="C71" s="1467" t="s">
        <v>667</v>
      </c>
      <c r="D71" s="1468"/>
      <c r="E71" s="964">
        <v>0.6</v>
      </c>
      <c r="F71" s="964">
        <v>7.6</v>
      </c>
      <c r="G71" s="964">
        <v>0.1</v>
      </c>
      <c r="H71" s="964">
        <v>0</v>
      </c>
      <c r="I71" s="964">
        <v>8.3000000000000007</v>
      </c>
      <c r="J71" s="818"/>
      <c r="K71" s="818"/>
      <c r="L71" s="818"/>
      <c r="M71" s="818"/>
      <c r="N71" s="894"/>
    </row>
    <row r="72" spans="1:14" s="105" customFormat="1" ht="18" customHeight="1" thickBot="1">
      <c r="A72" s="818"/>
      <c r="B72" s="818"/>
      <c r="C72" s="1471" t="s">
        <v>647</v>
      </c>
      <c r="D72" s="1472"/>
      <c r="E72" s="975"/>
      <c r="F72" s="939"/>
      <c r="G72" s="939"/>
      <c r="H72" s="939"/>
      <c r="I72" s="964">
        <v>0</v>
      </c>
      <c r="J72" s="818"/>
      <c r="K72" s="818"/>
      <c r="L72" s="818"/>
      <c r="M72" s="894"/>
      <c r="N72" s="818"/>
    </row>
    <row r="73" spans="1:14" s="105" customFormat="1" ht="18" customHeight="1" thickBot="1">
      <c r="A73" s="818"/>
      <c r="B73" s="818"/>
      <c r="C73" s="1467" t="s">
        <v>668</v>
      </c>
      <c r="D73" s="1468"/>
      <c r="E73" s="988">
        <v>0.6</v>
      </c>
      <c r="F73" s="988">
        <v>7.6</v>
      </c>
      <c r="G73" s="988">
        <v>0.1</v>
      </c>
      <c r="H73" s="988">
        <v>0</v>
      </c>
      <c r="I73" s="988">
        <v>8.3000000000000007</v>
      </c>
      <c r="J73" s="818"/>
      <c r="K73" s="818"/>
      <c r="L73" s="818"/>
      <c r="M73" s="894"/>
      <c r="N73" s="818"/>
    </row>
    <row r="74" spans="1:14" s="105" customFormat="1" ht="18" customHeight="1" thickBot="1">
      <c r="A74" s="818"/>
      <c r="B74" s="818"/>
      <c r="C74" s="989"/>
      <c r="D74" s="990"/>
      <c r="E74" s="990"/>
      <c r="F74" s="990"/>
      <c r="G74" s="990"/>
      <c r="H74" s="991"/>
      <c r="I74" s="991"/>
      <c r="J74" s="991"/>
      <c r="K74" s="991"/>
      <c r="L74" s="818"/>
      <c r="M74" s="818"/>
      <c r="N74" s="818"/>
    </row>
    <row r="75" spans="1:14" s="105" customFormat="1" ht="18" customHeight="1" thickBot="1">
      <c r="A75" s="818"/>
      <c r="B75" s="818"/>
      <c r="C75" s="1467" t="s">
        <v>669</v>
      </c>
      <c r="D75" s="1468"/>
      <c r="E75" s="992">
        <f>+I71+G56</f>
        <v>32.200000000000003</v>
      </c>
      <c r="F75" s="984"/>
      <c r="G75" s="818"/>
      <c r="H75" s="818"/>
      <c r="I75" s="818"/>
      <c r="J75" s="818"/>
      <c r="K75" s="818"/>
      <c r="L75" s="818"/>
      <c r="M75" s="894"/>
      <c r="N75" s="818"/>
    </row>
    <row r="76" spans="1:14" s="105" customFormat="1" ht="18" customHeight="1" thickBot="1">
      <c r="A76" s="818"/>
      <c r="B76" s="818"/>
      <c r="C76" s="1467" t="s">
        <v>647</v>
      </c>
      <c r="D76" s="1468"/>
      <c r="E76" s="993">
        <v>-0.3</v>
      </c>
      <c r="F76" s="984"/>
      <c r="G76" s="818"/>
      <c r="H76" s="818"/>
      <c r="I76" s="818"/>
      <c r="J76" s="818"/>
      <c r="K76" s="818"/>
      <c r="L76" s="818"/>
      <c r="M76" s="894"/>
      <c r="N76" s="818"/>
    </row>
    <row r="77" spans="1:14" s="105" customFormat="1" ht="18" customHeight="1" thickBot="1">
      <c r="A77" s="818"/>
      <c r="B77" s="818"/>
      <c r="C77" s="1467" t="s">
        <v>670</v>
      </c>
      <c r="D77" s="1468"/>
      <c r="E77" s="988">
        <v>31.9</v>
      </c>
      <c r="F77" s="818"/>
      <c r="G77" s="818"/>
      <c r="H77" s="818"/>
      <c r="I77" s="818"/>
      <c r="J77" s="818"/>
      <c r="K77" s="818"/>
      <c r="L77" s="818"/>
      <c r="M77" s="894"/>
      <c r="N77" s="818"/>
    </row>
    <row r="78" spans="1:14" s="105" customFormat="1" ht="18" customHeight="1" thickBot="1">
      <c r="A78" s="818"/>
      <c r="B78" s="818"/>
      <c r="C78" s="811"/>
      <c r="D78" s="811"/>
      <c r="E78" s="811"/>
      <c r="F78" s="811"/>
      <c r="G78" s="811"/>
      <c r="H78" s="811"/>
      <c r="I78" s="811"/>
      <c r="J78" s="811"/>
      <c r="K78" s="811"/>
      <c r="L78" s="818"/>
      <c r="M78" s="818"/>
      <c r="N78" s="818"/>
    </row>
    <row r="79" spans="1:14" s="105" customFormat="1" ht="18.75" thickBot="1">
      <c r="A79" s="818"/>
      <c r="B79" s="818"/>
      <c r="C79" s="994" t="s">
        <v>671</v>
      </c>
      <c r="D79" s="995"/>
      <c r="E79" s="996"/>
      <c r="F79" s="996"/>
      <c r="G79" s="997"/>
      <c r="H79" s="818"/>
      <c r="I79" s="818"/>
      <c r="J79" s="818"/>
      <c r="K79" s="818"/>
      <c r="L79" s="818"/>
      <c r="M79" s="818"/>
      <c r="N79" s="818"/>
    </row>
    <row r="80" spans="1:14" s="105" customFormat="1" ht="60.75" thickBot="1">
      <c r="A80" s="818"/>
      <c r="B80" s="818"/>
      <c r="C80" s="1475" t="s">
        <v>634</v>
      </c>
      <c r="D80" s="1476"/>
      <c r="E80" s="998" t="s">
        <v>220</v>
      </c>
      <c r="F80" s="999" t="s">
        <v>672</v>
      </c>
      <c r="G80" s="999" t="s">
        <v>673</v>
      </c>
      <c r="H80" s="818"/>
      <c r="I80" s="818"/>
      <c r="J80" s="818"/>
      <c r="K80" s="818"/>
      <c r="L80" s="818"/>
      <c r="M80" s="818"/>
      <c r="N80" s="818"/>
    </row>
    <row r="81" spans="1:14" s="105" customFormat="1" ht="15.75" customHeight="1" thickBot="1">
      <c r="A81" s="818"/>
      <c r="B81" s="818"/>
      <c r="C81" s="1477"/>
      <c r="D81" s="1478"/>
      <c r="E81" s="1000" t="s">
        <v>591</v>
      </c>
      <c r="F81" s="906" t="s">
        <v>591</v>
      </c>
      <c r="G81" s="906" t="s">
        <v>591</v>
      </c>
      <c r="H81" s="818"/>
      <c r="I81" s="818"/>
      <c r="J81" s="818"/>
      <c r="K81" s="818"/>
      <c r="L81" s="818"/>
      <c r="M81" s="818"/>
      <c r="N81" s="818"/>
    </row>
    <row r="82" spans="1:14" s="105" customFormat="1" ht="18" customHeight="1">
      <c r="A82" s="818"/>
      <c r="B82" s="818"/>
      <c r="C82" s="1414" t="s">
        <v>674</v>
      </c>
      <c r="D82" s="1416"/>
      <c r="E82" s="976">
        <v>0.2</v>
      </c>
      <c r="F82" s="939">
        <v>0.2</v>
      </c>
      <c r="G82" s="975">
        <v>0</v>
      </c>
      <c r="H82" s="818"/>
      <c r="I82" s="818"/>
      <c r="J82" s="818"/>
      <c r="K82" s="818"/>
      <c r="L82" s="818"/>
      <c r="M82" s="818"/>
      <c r="N82" s="818"/>
    </row>
    <row r="83" spans="1:14" s="105" customFormat="1" ht="18" customHeight="1">
      <c r="A83" s="818"/>
      <c r="B83" s="818"/>
      <c r="C83" s="1473" t="s">
        <v>675</v>
      </c>
      <c r="D83" s="1474"/>
      <c r="E83" s="943">
        <v>0</v>
      </c>
      <c r="F83" s="939">
        <v>0</v>
      </c>
      <c r="G83" s="975">
        <v>0</v>
      </c>
      <c r="H83" s="818"/>
      <c r="I83" s="818"/>
      <c r="J83" s="818"/>
      <c r="K83" s="818"/>
      <c r="L83" s="818"/>
      <c r="M83" s="818"/>
      <c r="N83" s="818"/>
    </row>
    <row r="84" spans="1:14" s="105" customFormat="1" ht="18" customHeight="1">
      <c r="A84" s="818"/>
      <c r="B84" s="818"/>
      <c r="C84" s="1473" t="s">
        <v>676</v>
      </c>
      <c r="D84" s="1474"/>
      <c r="E84" s="943">
        <v>1.3</v>
      </c>
      <c r="F84" s="939">
        <v>1.3</v>
      </c>
      <c r="G84" s="975">
        <v>0</v>
      </c>
      <c r="H84" s="818"/>
      <c r="I84" s="818"/>
      <c r="J84" s="818"/>
      <c r="K84" s="818"/>
      <c r="L84" s="818"/>
      <c r="M84" s="818"/>
      <c r="N84" s="818"/>
    </row>
    <row r="85" spans="1:14" s="105" customFormat="1" ht="18" customHeight="1">
      <c r="A85" s="818"/>
      <c r="B85" s="818"/>
      <c r="C85" s="1473" t="s">
        <v>677</v>
      </c>
      <c r="D85" s="1474"/>
      <c r="E85" s="943">
        <v>0.1</v>
      </c>
      <c r="F85" s="939">
        <v>0.1</v>
      </c>
      <c r="G85" s="975">
        <v>0</v>
      </c>
      <c r="H85" s="818"/>
      <c r="I85" s="818"/>
      <c r="J85" s="818"/>
      <c r="K85" s="818"/>
      <c r="L85" s="818"/>
      <c r="M85" s="818"/>
      <c r="N85" s="818"/>
    </row>
    <row r="86" spans="1:14" s="105" customFormat="1" ht="18" customHeight="1">
      <c r="A86" s="818"/>
      <c r="B86" s="818"/>
      <c r="C86" s="1473" t="s">
        <v>678</v>
      </c>
      <c r="D86" s="1474"/>
      <c r="E86" s="943">
        <v>0.3</v>
      </c>
      <c r="F86" s="939">
        <v>0.3</v>
      </c>
      <c r="G86" s="975">
        <v>0</v>
      </c>
      <c r="H86" s="818"/>
      <c r="I86" s="818"/>
      <c r="J86" s="818"/>
      <c r="K86" s="818"/>
      <c r="L86" s="818"/>
      <c r="M86" s="818"/>
      <c r="N86" s="818"/>
    </row>
    <row r="87" spans="1:14" s="105" customFormat="1" ht="18" customHeight="1">
      <c r="A87" s="818"/>
      <c r="B87" s="818"/>
      <c r="C87" s="1473" t="s">
        <v>679</v>
      </c>
      <c r="D87" s="1474"/>
      <c r="E87" s="943">
        <v>0.6</v>
      </c>
      <c r="F87" s="939">
        <v>0.6</v>
      </c>
      <c r="G87" s="975">
        <v>0</v>
      </c>
      <c r="H87" s="818"/>
      <c r="I87" s="818"/>
      <c r="J87" s="818"/>
      <c r="K87" s="818"/>
      <c r="L87" s="818"/>
      <c r="M87" s="818"/>
      <c r="N87" s="818"/>
    </row>
    <row r="88" spans="1:14" s="105" customFormat="1" ht="18" customHeight="1" thickBot="1">
      <c r="A88" s="818"/>
      <c r="B88" s="818"/>
      <c r="C88" s="1417" t="s">
        <v>680</v>
      </c>
      <c r="D88" s="1419"/>
      <c r="E88" s="943">
        <v>0.5</v>
      </c>
      <c r="F88" s="939">
        <v>0</v>
      </c>
      <c r="G88" s="975">
        <v>0.5</v>
      </c>
      <c r="H88" s="984"/>
      <c r="I88" s="818"/>
      <c r="J88" s="818"/>
      <c r="K88" s="818"/>
      <c r="L88" s="818"/>
      <c r="M88" s="818"/>
      <c r="N88" s="818"/>
    </row>
    <row r="89" spans="1:14" s="105" customFormat="1" ht="18" customHeight="1" thickBot="1">
      <c r="A89" s="818"/>
      <c r="B89" s="818"/>
      <c r="C89" s="1408" t="s">
        <v>681</v>
      </c>
      <c r="D89" s="1410"/>
      <c r="E89" s="964">
        <v>3</v>
      </c>
      <c r="F89" s="964">
        <v>2.5</v>
      </c>
      <c r="G89" s="964">
        <v>0.5</v>
      </c>
      <c r="H89" s="984"/>
      <c r="I89" s="818"/>
      <c r="J89" s="818"/>
      <c r="K89" s="818"/>
      <c r="L89" s="818"/>
      <c r="M89" s="818"/>
      <c r="N89" s="818"/>
    </row>
  </sheetData>
  <mergeCells count="57">
    <mergeCell ref="C87:D87"/>
    <mergeCell ref="C88:D88"/>
    <mergeCell ref="C89:D89"/>
    <mergeCell ref="C80:D81"/>
    <mergeCell ref="C82:D82"/>
    <mergeCell ref="C83:D83"/>
    <mergeCell ref="C84:D84"/>
    <mergeCell ref="C85:D85"/>
    <mergeCell ref="C86:D86"/>
    <mergeCell ref="C77:D77"/>
    <mergeCell ref="C65:D65"/>
    <mergeCell ref="C66:D66"/>
    <mergeCell ref="C67:D67"/>
    <mergeCell ref="C68:D68"/>
    <mergeCell ref="C69:D69"/>
    <mergeCell ref="C70:D70"/>
    <mergeCell ref="C71:D71"/>
    <mergeCell ref="C72:D72"/>
    <mergeCell ref="C73:D73"/>
    <mergeCell ref="C75:D75"/>
    <mergeCell ref="C76:D76"/>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21:D21"/>
    <mergeCell ref="C22:D22"/>
    <mergeCell ref="C23:D23"/>
    <mergeCell ref="C24:D24"/>
    <mergeCell ref="E28:F28"/>
    <mergeCell ref="C25:D25"/>
    <mergeCell ref="C27:D27"/>
    <mergeCell ref="C28:D30"/>
    <mergeCell ref="C19:D19"/>
    <mergeCell ref="C7:D7"/>
    <mergeCell ref="C8:D9"/>
    <mergeCell ref="C10:D10"/>
    <mergeCell ref="C11:D11"/>
    <mergeCell ref="C12:D12"/>
    <mergeCell ref="C13:D13"/>
    <mergeCell ref="C14:D14"/>
    <mergeCell ref="C15:D15"/>
    <mergeCell ref="C16:D16"/>
    <mergeCell ref="C17:D17"/>
    <mergeCell ref="C18:D18"/>
    <mergeCell ref="C20:D20"/>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05"/>
    <col min="4" max="6" width="12.28515625" style="105" customWidth="1"/>
    <col min="7" max="16384" width="10.140625" style="105"/>
  </cols>
  <sheetData>
    <row r="1" spans="1:13">
      <c r="A1" s="802" t="s">
        <v>682</v>
      </c>
      <c r="F1" s="803" t="s">
        <v>1022</v>
      </c>
    </row>
    <row r="2" spans="1:13">
      <c r="A2" s="802"/>
    </row>
    <row r="3" spans="1:13">
      <c r="A3" s="802" t="s">
        <v>101</v>
      </c>
    </row>
    <row r="5" spans="1:13">
      <c r="A5" s="1001" t="s">
        <v>683</v>
      </c>
      <c r="B5" s="810"/>
      <c r="C5" s="810"/>
      <c r="D5" s="810"/>
      <c r="E5" s="810"/>
      <c r="F5" s="1002"/>
      <c r="G5" s="1002"/>
      <c r="H5" s="1002"/>
      <c r="I5" s="1002"/>
      <c r="J5" s="1002"/>
      <c r="K5" s="1002"/>
      <c r="L5" s="1002"/>
      <c r="M5" s="1002"/>
    </row>
    <row r="6" spans="1:13" ht="13.5" thickBot="1">
      <c r="A6" s="1003"/>
      <c r="B6" s="1004"/>
      <c r="C6" s="1005"/>
      <c r="D6" s="1006"/>
      <c r="E6" s="1004"/>
      <c r="F6" s="1004"/>
      <c r="G6" s="1003"/>
      <c r="H6" s="1003"/>
      <c r="I6" s="1003"/>
      <c r="J6" s="1003"/>
      <c r="K6" s="1003"/>
      <c r="L6" s="1003"/>
      <c r="M6" s="1003"/>
    </row>
    <row r="7" spans="1:13" ht="13.5" thickBot="1">
      <c r="A7" s="1002"/>
      <c r="B7" s="1007"/>
      <c r="C7" s="1008" t="s">
        <v>684</v>
      </c>
      <c r="D7" s="1009"/>
      <c r="E7" s="1010"/>
      <c r="F7" s="1010"/>
      <c r="G7" s="1010"/>
      <c r="H7" s="1011"/>
      <c r="I7" s="1012"/>
      <c r="J7" s="1002"/>
      <c r="K7" s="1002"/>
      <c r="L7" s="1002"/>
      <c r="M7" s="1002"/>
    </row>
    <row r="8" spans="1:13" ht="13.5" thickBot="1">
      <c r="A8" s="1002"/>
      <c r="B8" s="1013"/>
      <c r="C8" s="989"/>
      <c r="D8" s="989"/>
      <c r="E8" s="1002"/>
      <c r="F8" s="1002"/>
      <c r="G8" s="1014" t="s">
        <v>591</v>
      </c>
      <c r="H8" s="1014" t="s">
        <v>591</v>
      </c>
      <c r="I8" s="1015"/>
      <c r="J8" s="1002"/>
      <c r="K8" s="1002"/>
      <c r="L8" s="1002"/>
      <c r="M8" s="1002"/>
    </row>
    <row r="9" spans="1:13">
      <c r="A9" s="1002"/>
      <c r="B9" s="1016"/>
      <c r="C9" s="1008" t="s">
        <v>685</v>
      </c>
      <c r="D9" s="989"/>
      <c r="E9" s="1017"/>
      <c r="F9" s="1002"/>
      <c r="G9" s="1018"/>
      <c r="H9" s="1019"/>
      <c r="I9" s="1015"/>
      <c r="J9" s="1002"/>
      <c r="K9" s="1002"/>
      <c r="L9" s="1002"/>
      <c r="M9" s="1002"/>
    </row>
    <row r="10" spans="1:13">
      <c r="A10" s="1002"/>
      <c r="B10" s="1020"/>
      <c r="C10" s="909"/>
      <c r="D10" s="1021" t="s">
        <v>686</v>
      </c>
      <c r="E10" s="1022"/>
      <c r="F10" s="1003"/>
      <c r="G10" s="1023">
        <v>4.2</v>
      </c>
      <c r="H10" s="1024"/>
      <c r="I10" s="1025"/>
      <c r="J10" s="1026"/>
      <c r="K10" s="1026"/>
      <c r="L10" s="1026"/>
      <c r="M10" s="1002"/>
    </row>
    <row r="11" spans="1:13">
      <c r="A11" s="1002"/>
      <c r="B11" s="1020"/>
      <c r="C11" s="909"/>
      <c r="D11" s="1021" t="s">
        <v>687</v>
      </c>
      <c r="E11" s="1022"/>
      <c r="F11" s="1003"/>
      <c r="G11" s="1023">
        <v>0.2</v>
      </c>
      <c r="H11" s="1024"/>
      <c r="I11" s="1025"/>
      <c r="J11" s="1026"/>
      <c r="K11" s="1026"/>
      <c r="L11" s="1026"/>
      <c r="M11" s="1002"/>
    </row>
    <row r="12" spans="1:13">
      <c r="A12" s="1002"/>
      <c r="B12" s="1020"/>
      <c r="C12" s="909"/>
      <c r="D12" s="1021" t="s">
        <v>688</v>
      </c>
      <c r="E12" s="1022"/>
      <c r="F12" s="825"/>
      <c r="G12" s="1023">
        <v>15.1</v>
      </c>
      <c r="H12" s="1024"/>
      <c r="I12" s="1025"/>
      <c r="J12" s="1026"/>
      <c r="K12" s="1026"/>
      <c r="L12" s="1026"/>
      <c r="M12" s="1002"/>
    </row>
    <row r="13" spans="1:13">
      <c r="A13" s="1002"/>
      <c r="B13" s="1020"/>
      <c r="C13" s="909"/>
      <c r="D13" s="1021" t="s">
        <v>689</v>
      </c>
      <c r="E13" s="1022"/>
      <c r="F13" s="825"/>
      <c r="G13" s="1023">
        <v>0.5</v>
      </c>
      <c r="H13" s="1024"/>
      <c r="I13" s="1025"/>
      <c r="J13" s="1026"/>
      <c r="K13" s="1026"/>
      <c r="L13" s="1026"/>
      <c r="M13" s="1002"/>
    </row>
    <row r="14" spans="1:13">
      <c r="A14" s="1002"/>
      <c r="B14" s="1020"/>
      <c r="C14" s="909"/>
      <c r="D14" s="1027" t="s">
        <v>690</v>
      </c>
      <c r="E14" s="1022"/>
      <c r="F14" s="825"/>
      <c r="G14" s="1023">
        <v>0</v>
      </c>
      <c r="H14" s="1024"/>
      <c r="I14" s="1025"/>
      <c r="J14" s="1026"/>
      <c r="K14" s="1026"/>
      <c r="L14" s="1026"/>
      <c r="M14" s="1002"/>
    </row>
    <row r="15" spans="1:13" ht="25.5" customHeight="1">
      <c r="A15" s="1002"/>
      <c r="B15" s="1020"/>
      <c r="C15" s="1022"/>
      <c r="D15" s="1479" t="s">
        <v>691</v>
      </c>
      <c r="E15" s="1479"/>
      <c r="F15" s="1480"/>
      <c r="G15" s="1028">
        <v>0</v>
      </c>
      <c r="H15" s="1024">
        <v>20</v>
      </c>
      <c r="I15" s="1025"/>
      <c r="J15" s="1026"/>
      <c r="K15" s="1026"/>
      <c r="L15" s="1026"/>
      <c r="M15" s="1002"/>
    </row>
    <row r="16" spans="1:13">
      <c r="A16" s="1002"/>
      <c r="B16" s="1020"/>
      <c r="C16" s="1008" t="s">
        <v>692</v>
      </c>
      <c r="D16" s="1027"/>
      <c r="E16" s="1022"/>
      <c r="F16" s="1003"/>
      <c r="G16" s="1029"/>
      <c r="H16" s="1030"/>
      <c r="I16" s="1025"/>
      <c r="J16" s="1026"/>
      <c r="K16" s="1026"/>
      <c r="L16" s="1026"/>
      <c r="M16" s="1002"/>
    </row>
    <row r="17" spans="1:13" ht="25.5" customHeight="1">
      <c r="A17" s="1002"/>
      <c r="B17" s="1020"/>
      <c r="C17" s="1022"/>
      <c r="D17" s="1479" t="s">
        <v>693</v>
      </c>
      <c r="E17" s="1479"/>
      <c r="F17" s="1480"/>
      <c r="G17" s="1023">
        <v>0</v>
      </c>
      <c r="H17" s="1024"/>
      <c r="I17" s="1025"/>
      <c r="J17" s="1026"/>
      <c r="K17" s="1026"/>
      <c r="L17" s="1026"/>
      <c r="M17" s="1002"/>
    </row>
    <row r="18" spans="1:13">
      <c r="A18" s="1002"/>
      <c r="B18" s="1020"/>
      <c r="C18" s="1022"/>
      <c r="D18" s="1027" t="s">
        <v>694</v>
      </c>
      <c r="E18" s="1022"/>
      <c r="F18" s="1003"/>
      <c r="G18" s="1023">
        <v>0</v>
      </c>
      <c r="H18" s="1024"/>
      <c r="I18" s="1025"/>
      <c r="J18" s="1026"/>
      <c r="K18" s="1026"/>
      <c r="L18" s="1026"/>
      <c r="M18" s="1002"/>
    </row>
    <row r="19" spans="1:13">
      <c r="A19" s="1002"/>
      <c r="B19" s="1020"/>
      <c r="C19" s="1022"/>
      <c r="D19" s="1027" t="s">
        <v>695</v>
      </c>
      <c r="E19" s="1022"/>
      <c r="F19" s="1003"/>
      <c r="G19" s="1028">
        <v>0.1</v>
      </c>
      <c r="H19" s="1024">
        <v>0.1</v>
      </c>
      <c r="I19" s="1025"/>
      <c r="J19" s="1026"/>
      <c r="K19" s="1026"/>
      <c r="L19" s="1026"/>
      <c r="M19" s="1002"/>
    </row>
    <row r="20" spans="1:13">
      <c r="A20" s="1002"/>
      <c r="B20" s="1020"/>
      <c r="C20" s="1008" t="s">
        <v>696</v>
      </c>
      <c r="D20" s="1027"/>
      <c r="E20" s="1022"/>
      <c r="F20" s="1003"/>
      <c r="G20" s="1029"/>
      <c r="H20" s="1030"/>
      <c r="I20" s="1025"/>
      <c r="J20" s="1026"/>
      <c r="K20" s="1026"/>
      <c r="L20" s="1026"/>
      <c r="M20" s="1002"/>
    </row>
    <row r="21" spans="1:13" ht="27.75" customHeight="1">
      <c r="A21" s="1002"/>
      <c r="B21" s="1020"/>
      <c r="C21" s="1022"/>
      <c r="D21" s="1479" t="s">
        <v>697</v>
      </c>
      <c r="E21" s="1479"/>
      <c r="F21" s="1480"/>
      <c r="G21" s="1023">
        <v>-0.3</v>
      </c>
      <c r="H21" s="1024"/>
      <c r="I21" s="1025"/>
      <c r="J21" s="1026"/>
      <c r="K21" s="1026"/>
      <c r="L21" s="1026"/>
      <c r="M21" s="1002"/>
    </row>
    <row r="22" spans="1:13" ht="26.25" customHeight="1">
      <c r="A22" s="1002"/>
      <c r="B22" s="1020"/>
      <c r="C22" s="1022"/>
      <c r="D22" s="1481" t="s">
        <v>698</v>
      </c>
      <c r="E22" s="1481"/>
      <c r="F22" s="1482"/>
      <c r="G22" s="1023">
        <v>17.8</v>
      </c>
      <c r="H22" s="1024"/>
      <c r="I22" s="1025"/>
      <c r="J22" s="1026"/>
      <c r="K22" s="1026"/>
      <c r="L22" s="1026"/>
      <c r="M22" s="1002"/>
    </row>
    <row r="23" spans="1:13">
      <c r="A23" s="1002"/>
      <c r="B23" s="1020"/>
      <c r="C23" s="1022"/>
      <c r="D23" s="1031" t="s">
        <v>699</v>
      </c>
      <c r="E23" s="1022"/>
      <c r="F23" s="825"/>
      <c r="G23" s="1028">
        <v>13.5</v>
      </c>
      <c r="H23" s="1024">
        <v>31</v>
      </c>
      <c r="I23" s="1025"/>
      <c r="J23" s="1026"/>
      <c r="K23" s="1026"/>
      <c r="L23" s="1026"/>
      <c r="M23" s="1002"/>
    </row>
    <row r="24" spans="1:13">
      <c r="A24" s="1002"/>
      <c r="B24" s="1020"/>
      <c r="C24" s="1022"/>
      <c r="D24" s="1021"/>
      <c r="E24" s="1017"/>
      <c r="F24" s="825"/>
      <c r="G24" s="1029"/>
      <c r="H24" s="1030"/>
      <c r="I24" s="1025"/>
      <c r="J24" s="1026"/>
      <c r="K24" s="1026"/>
      <c r="L24" s="1026"/>
      <c r="M24" s="1002"/>
    </row>
    <row r="25" spans="1:13" ht="13.5" thickBot="1">
      <c r="A25" s="1002"/>
      <c r="B25" s="1032"/>
      <c r="C25" s="1483" t="s">
        <v>700</v>
      </c>
      <c r="D25" s="1483"/>
      <c r="E25" s="1483"/>
      <c r="F25" s="1484"/>
      <c r="G25" s="1033"/>
      <c r="H25" s="1034">
        <v>51.1</v>
      </c>
      <c r="I25" s="1025"/>
      <c r="J25" s="1026"/>
      <c r="K25" s="1026"/>
      <c r="L25" s="1026"/>
      <c r="M25" s="1002"/>
    </row>
    <row r="26" spans="1:13" ht="13.5" thickBot="1">
      <c r="A26" s="1002"/>
      <c r="B26" s="1035"/>
      <c r="C26" s="1036"/>
      <c r="D26" s="1036"/>
      <c r="E26" s="1036"/>
      <c r="F26" s="1037"/>
      <c r="G26" s="1038"/>
      <c r="H26" s="1038"/>
      <c r="I26" s="1039"/>
      <c r="J26" s="1026"/>
      <c r="K26" s="1026"/>
      <c r="L26" s="1026"/>
      <c r="M26" s="1002"/>
    </row>
    <row r="27" spans="1:13" ht="13.5" thickBot="1">
      <c r="A27" s="1002"/>
      <c r="B27" s="1004"/>
      <c r="C27" s="1010"/>
      <c r="D27" s="1002"/>
      <c r="E27" s="1040"/>
      <c r="F27" s="1004"/>
      <c r="G27" s="1026"/>
      <c r="H27" s="1026"/>
      <c r="I27" s="1026"/>
      <c r="J27" s="1026"/>
      <c r="K27" s="1026"/>
      <c r="L27" s="1026"/>
      <c r="M27" s="1002"/>
    </row>
    <row r="28" spans="1:13">
      <c r="A28" s="1002"/>
      <c r="B28" s="1007"/>
      <c r="C28" s="1041" t="s">
        <v>701</v>
      </c>
      <c r="D28" s="1010"/>
      <c r="E28" s="1010"/>
      <c r="F28" s="1042"/>
      <c r="G28" s="1043"/>
      <c r="H28" s="1044"/>
      <c r="I28" s="1044"/>
      <c r="J28" s="1044"/>
      <c r="K28" s="1044"/>
      <c r="L28" s="1044"/>
      <c r="M28" s="1012"/>
    </row>
    <row r="29" spans="1:13" ht="13.5" thickBot="1">
      <c r="A29" s="1002"/>
      <c r="B29" s="1013"/>
      <c r="C29" s="1002"/>
      <c r="D29" s="1008" t="s">
        <v>702</v>
      </c>
      <c r="E29" s="1008"/>
      <c r="F29" s="1003"/>
      <c r="G29" s="1045"/>
      <c r="H29" s="1045"/>
      <c r="I29" s="1026"/>
      <c r="J29" s="1026"/>
      <c r="K29" s="1026"/>
      <c r="L29" s="1026"/>
      <c r="M29" s="1015"/>
    </row>
    <row r="30" spans="1:13" ht="13.5" thickBot="1">
      <c r="A30" s="1002"/>
      <c r="B30" s="1046"/>
      <c r="C30" s="1002"/>
      <c r="D30" s="1022" t="s">
        <v>703</v>
      </c>
      <c r="F30" s="825"/>
      <c r="G30" s="1047" t="s">
        <v>591</v>
      </c>
      <c r="H30" s="1048"/>
      <c r="I30" s="1026"/>
      <c r="J30" s="1026"/>
      <c r="K30" s="1026"/>
      <c r="L30" s="1026"/>
      <c r="M30" s="1015"/>
    </row>
    <row r="31" spans="1:13">
      <c r="A31" s="1002"/>
      <c r="B31" s="1046"/>
      <c r="C31" s="1002"/>
      <c r="D31" s="1027" t="s">
        <v>704</v>
      </c>
      <c r="F31" s="1002"/>
      <c r="G31" s="1049">
        <v>-9.9999999999997868E-2</v>
      </c>
      <c r="H31" s="1048"/>
      <c r="I31" s="1026"/>
      <c r="J31" s="1026"/>
      <c r="K31" s="1026"/>
      <c r="L31" s="1026"/>
      <c r="M31" s="1015"/>
    </row>
    <row r="32" spans="1:13">
      <c r="A32" s="1002"/>
      <c r="B32" s="1046"/>
      <c r="C32" s="1002"/>
      <c r="D32" s="1027" t="s">
        <v>705</v>
      </c>
      <c r="F32" s="1002"/>
      <c r="G32" s="1049">
        <v>-0.5</v>
      </c>
      <c r="H32" s="1048"/>
      <c r="I32" s="1026"/>
      <c r="J32" s="1026"/>
      <c r="K32" s="1026"/>
      <c r="L32" s="1026"/>
      <c r="M32" s="1015"/>
    </row>
    <row r="33" spans="1:13">
      <c r="A33" s="1003"/>
      <c r="B33" s="1050"/>
      <c r="C33" s="1003"/>
      <c r="D33" s="1027" t="s">
        <v>706</v>
      </c>
      <c r="F33" s="1003"/>
      <c r="G33" s="1049">
        <v>0</v>
      </c>
      <c r="H33" s="1048"/>
      <c r="I33" s="1045"/>
      <c r="J33" s="1045"/>
      <c r="K33" s="1045"/>
      <c r="L33" s="1045"/>
      <c r="M33" s="1051"/>
    </row>
    <row r="34" spans="1:13" ht="13.5" thickBot="1">
      <c r="A34" s="1003"/>
      <c r="B34" s="1050"/>
      <c r="C34" s="1003"/>
      <c r="D34" s="825"/>
      <c r="E34" s="1052" t="s">
        <v>220</v>
      </c>
      <c r="F34" s="825"/>
      <c r="G34" s="1053">
        <v>-0.59999999999999787</v>
      </c>
      <c r="H34" s="1048"/>
      <c r="I34" s="1045"/>
      <c r="J34" s="1045"/>
      <c r="K34" s="1045"/>
      <c r="L34" s="1045"/>
      <c r="M34" s="1051"/>
    </row>
    <row r="35" spans="1:13" ht="14.25" thickTop="1" thickBot="1">
      <c r="A35" s="1003"/>
      <c r="B35" s="1050"/>
      <c r="C35" s="1006"/>
      <c r="D35" s="825"/>
      <c r="E35" s="825"/>
      <c r="F35" s="825"/>
      <c r="G35" s="1048"/>
      <c r="H35" s="1048"/>
      <c r="I35" s="1045"/>
      <c r="J35" s="1045"/>
      <c r="K35" s="1045"/>
      <c r="L35" s="1045"/>
      <c r="M35" s="1051"/>
    </row>
    <row r="36" spans="1:13" ht="38.25">
      <c r="A36" s="1003"/>
      <c r="B36" s="1032"/>
      <c r="C36" s="825"/>
      <c r="D36" s="825"/>
      <c r="E36" s="1491" t="s">
        <v>707</v>
      </c>
      <c r="F36" s="1492"/>
      <c r="G36" s="1054" t="s">
        <v>708</v>
      </c>
      <c r="H36" s="1054" t="s">
        <v>709</v>
      </c>
      <c r="I36" s="1054" t="s">
        <v>710</v>
      </c>
      <c r="J36" s="1054" t="s">
        <v>711</v>
      </c>
      <c r="K36" s="1055" t="s">
        <v>712</v>
      </c>
      <c r="L36" s="1487" t="s">
        <v>713</v>
      </c>
      <c r="M36" s="1051"/>
    </row>
    <row r="37" spans="1:13">
      <c r="A37" s="1003"/>
      <c r="B37" s="1032"/>
      <c r="C37" s="825"/>
      <c r="D37" s="825"/>
      <c r="E37" s="1489" t="s">
        <v>714</v>
      </c>
      <c r="F37" s="1490"/>
      <c r="G37" s="1056" t="s">
        <v>223</v>
      </c>
      <c r="H37" s="1056" t="s">
        <v>223</v>
      </c>
      <c r="I37" s="1056" t="s">
        <v>223</v>
      </c>
      <c r="J37" s="1056" t="s">
        <v>223</v>
      </c>
      <c r="K37" s="1057" t="s">
        <v>223</v>
      </c>
      <c r="L37" s="1488"/>
      <c r="M37" s="1051"/>
    </row>
    <row r="38" spans="1:13">
      <c r="A38" s="1003"/>
      <c r="B38" s="1032"/>
      <c r="C38" s="825"/>
      <c r="D38" s="825"/>
      <c r="E38" s="1058" t="s">
        <v>1060</v>
      </c>
      <c r="F38" s="1058" t="s">
        <v>1060</v>
      </c>
      <c r="G38" s="1059">
        <v>20.9</v>
      </c>
      <c r="H38" s="1059">
        <v>20.8</v>
      </c>
      <c r="I38" s="1060">
        <v>9.9999999999997868E-2</v>
      </c>
      <c r="J38" s="1059">
        <v>9.9999999999997868E-2</v>
      </c>
      <c r="K38" s="1060">
        <v>0</v>
      </c>
      <c r="L38" s="1061"/>
      <c r="M38" s="1051"/>
    </row>
    <row r="39" spans="1:13">
      <c r="A39" s="1003"/>
      <c r="B39" s="1032"/>
      <c r="C39" s="825"/>
      <c r="D39" s="825"/>
      <c r="E39" s="1058" t="s">
        <v>1061</v>
      </c>
      <c r="F39" s="1058" t="s">
        <v>1061</v>
      </c>
      <c r="G39" s="1059">
        <v>1.1000000000000001</v>
      </c>
      <c r="H39" s="1059">
        <v>0.9</v>
      </c>
      <c r="I39" s="1060">
        <v>0.2</v>
      </c>
      <c r="J39" s="1059">
        <v>0.5</v>
      </c>
      <c r="K39" s="1060">
        <v>-0.3</v>
      </c>
      <c r="L39" s="1058"/>
      <c r="M39" s="1051"/>
    </row>
    <row r="40" spans="1:13" ht="14.25">
      <c r="A40" s="1003"/>
      <c r="B40" s="1032"/>
      <c r="C40" s="825"/>
      <c r="D40" s="825"/>
      <c r="E40" s="1485"/>
      <c r="F40" s="1486"/>
      <c r="G40" s="1059"/>
      <c r="H40" s="1059"/>
      <c r="I40" s="1060"/>
      <c r="J40" s="1059"/>
      <c r="K40" s="1060"/>
      <c r="L40" s="1058"/>
      <c r="M40" s="1051"/>
    </row>
    <row r="41" spans="1:13" ht="14.25">
      <c r="A41" s="1003"/>
      <c r="B41" s="1032"/>
      <c r="C41" s="825"/>
      <c r="D41" s="825"/>
      <c r="E41" s="1485"/>
      <c r="F41" s="1486"/>
      <c r="G41" s="1059"/>
      <c r="H41" s="1059"/>
      <c r="I41" s="1060"/>
      <c r="J41" s="1059"/>
      <c r="K41" s="1060"/>
      <c r="L41" s="1058"/>
      <c r="M41" s="1051"/>
    </row>
    <row r="42" spans="1:13" ht="14.25">
      <c r="A42" s="1003"/>
      <c r="B42" s="1032"/>
      <c r="C42" s="825"/>
      <c r="D42" s="825"/>
      <c r="E42" s="1485"/>
      <c r="F42" s="1486"/>
      <c r="G42" s="1059"/>
      <c r="H42" s="1059"/>
      <c r="I42" s="1060"/>
      <c r="J42" s="1059"/>
      <c r="K42" s="1060"/>
      <c r="L42" s="1058"/>
      <c r="M42" s="1051"/>
    </row>
    <row r="43" spans="1:13" ht="14.25">
      <c r="A43" s="1003"/>
      <c r="B43" s="1032"/>
      <c r="C43" s="825"/>
      <c r="D43" s="825"/>
      <c r="E43" s="1485"/>
      <c r="F43" s="1486"/>
      <c r="G43" s="1059"/>
      <c r="H43" s="1059"/>
      <c r="I43" s="1060"/>
      <c r="J43" s="1059"/>
      <c r="K43" s="1060"/>
      <c r="L43" s="1058"/>
      <c r="M43" s="1051"/>
    </row>
    <row r="44" spans="1:13" ht="14.25">
      <c r="A44" s="1003"/>
      <c r="B44" s="1032"/>
      <c r="C44" s="825"/>
      <c r="D44" s="825"/>
      <c r="E44" s="1485"/>
      <c r="F44" s="1486"/>
      <c r="G44" s="1059"/>
      <c r="H44" s="1059"/>
      <c r="I44" s="1060"/>
      <c r="J44" s="1059"/>
      <c r="K44" s="1060"/>
      <c r="L44" s="1058"/>
      <c r="M44" s="1051"/>
    </row>
    <row r="45" spans="1:13" ht="14.25">
      <c r="A45" s="1003"/>
      <c r="B45" s="1032"/>
      <c r="C45" s="825"/>
      <c r="D45" s="825"/>
      <c r="E45" s="1485"/>
      <c r="F45" s="1486"/>
      <c r="G45" s="1059"/>
      <c r="H45" s="1059"/>
      <c r="I45" s="1060"/>
      <c r="J45" s="1059"/>
      <c r="K45" s="1060"/>
      <c r="L45" s="1058"/>
      <c r="M45" s="1051"/>
    </row>
    <row r="46" spans="1:13" ht="14.25">
      <c r="A46" s="1003"/>
      <c r="B46" s="1032"/>
      <c r="C46" s="825"/>
      <c r="D46" s="825"/>
      <c r="E46" s="1485"/>
      <c r="F46" s="1486"/>
      <c r="G46" s="1059"/>
      <c r="H46" s="1059"/>
      <c r="I46" s="1060"/>
      <c r="J46" s="1059"/>
      <c r="K46" s="1060"/>
      <c r="L46" s="1058"/>
      <c r="M46" s="1051"/>
    </row>
    <row r="47" spans="1:13" ht="14.25">
      <c r="A47" s="1003"/>
      <c r="B47" s="1032"/>
      <c r="C47" s="825"/>
      <c r="D47" s="825"/>
      <c r="E47" s="1485"/>
      <c r="F47" s="1486"/>
      <c r="G47" s="1059"/>
      <c r="H47" s="1059"/>
      <c r="I47" s="1060"/>
      <c r="J47" s="1059"/>
      <c r="K47" s="1060"/>
      <c r="L47" s="1058"/>
      <c r="M47" s="1051"/>
    </row>
    <row r="48" spans="1:13" ht="14.25">
      <c r="A48" s="1003"/>
      <c r="B48" s="1032"/>
      <c r="C48" s="825"/>
      <c r="D48" s="825"/>
      <c r="E48" s="1485"/>
      <c r="F48" s="1486"/>
      <c r="G48" s="1059"/>
      <c r="H48" s="1059"/>
      <c r="I48" s="1060"/>
      <c r="J48" s="1059"/>
      <c r="K48" s="1060"/>
      <c r="L48" s="1058"/>
      <c r="M48" s="1051"/>
    </row>
    <row r="49" spans="1:13" ht="14.25">
      <c r="A49" s="1003"/>
      <c r="B49" s="1032"/>
      <c r="C49" s="825"/>
      <c r="D49" s="825"/>
      <c r="E49" s="1485"/>
      <c r="F49" s="1486"/>
      <c r="G49" s="1059"/>
      <c r="H49" s="1059"/>
      <c r="I49" s="1060"/>
      <c r="J49" s="1059"/>
      <c r="K49" s="1060"/>
      <c r="L49" s="1058"/>
      <c r="M49" s="1051"/>
    </row>
    <row r="50" spans="1:13" ht="14.25">
      <c r="A50" s="1003"/>
      <c r="B50" s="1032"/>
      <c r="C50" s="825"/>
      <c r="D50" s="825"/>
      <c r="E50" s="1493"/>
      <c r="F50" s="1494"/>
      <c r="G50" s="1059"/>
      <c r="H50" s="1059"/>
      <c r="I50" s="1060"/>
      <c r="J50" s="1059"/>
      <c r="K50" s="1060"/>
      <c r="L50" s="1062"/>
      <c r="M50" s="1051"/>
    </row>
    <row r="51" spans="1:13" ht="13.5" thickBot="1">
      <c r="A51" s="1003"/>
      <c r="B51" s="1032"/>
      <c r="C51" s="825"/>
      <c r="D51" s="825"/>
      <c r="E51" s="1063" t="s">
        <v>220</v>
      </c>
      <c r="F51" s="1063"/>
      <c r="G51" s="1064">
        <v>22</v>
      </c>
      <c r="H51" s="1064">
        <v>21.7</v>
      </c>
      <c r="I51" s="1064">
        <v>0.29999999999999793</v>
      </c>
      <c r="J51" s="1064">
        <v>0.59999999999999787</v>
      </c>
      <c r="K51" s="1064">
        <v>-0.3</v>
      </c>
      <c r="L51" s="1065"/>
      <c r="M51" s="1051"/>
    </row>
    <row r="52" spans="1:13">
      <c r="A52" s="1003"/>
      <c r="B52" s="1032"/>
      <c r="C52" s="825"/>
      <c r="D52" s="825"/>
      <c r="E52" s="825"/>
      <c r="F52" s="825"/>
      <c r="G52" s="1003"/>
      <c r="H52" s="1003"/>
      <c r="I52" s="1003"/>
      <c r="J52" s="1066" t="s">
        <v>715</v>
      </c>
      <c r="K52" s="1066" t="s">
        <v>715</v>
      </c>
      <c r="L52" s="1003"/>
      <c r="M52" s="1051"/>
    </row>
    <row r="53" spans="1:13" ht="13.5" thickBot="1">
      <c r="A53" s="1003"/>
      <c r="B53" s="1032"/>
      <c r="C53" s="825"/>
      <c r="D53" s="825"/>
      <c r="E53" s="825"/>
      <c r="F53" s="825"/>
      <c r="G53" s="1003"/>
      <c r="H53" s="1003"/>
      <c r="I53" s="1003"/>
      <c r="J53" s="1003"/>
      <c r="K53" s="1003"/>
      <c r="L53" s="1003"/>
      <c r="M53" s="1051"/>
    </row>
    <row r="54" spans="1:13" ht="13.5" thickBot="1">
      <c r="A54" s="1003"/>
      <c r="B54" s="1032"/>
      <c r="C54" s="1008" t="s">
        <v>716</v>
      </c>
      <c r="E54" s="1067"/>
      <c r="F54" s="1003"/>
      <c r="G54" s="1047" t="s">
        <v>223</v>
      </c>
      <c r="H54" s="1047" t="s">
        <v>223</v>
      </c>
      <c r="I54" s="1003"/>
      <c r="J54" s="1045"/>
      <c r="K54" s="1045"/>
      <c r="L54" s="1045"/>
      <c r="M54" s="1068"/>
    </row>
    <row r="55" spans="1:13" ht="26.25" thickBot="1">
      <c r="A55" s="1003"/>
      <c r="B55" s="1032"/>
      <c r="C55" s="825"/>
      <c r="D55" s="1003"/>
      <c r="E55" s="1003"/>
      <c r="F55" s="1003"/>
      <c r="G55" s="1069"/>
      <c r="H55" s="1070" t="s">
        <v>717</v>
      </c>
      <c r="I55" s="1003"/>
      <c r="J55" s="1045"/>
      <c r="K55" s="1045"/>
      <c r="L55" s="1045"/>
      <c r="M55" s="1068"/>
    </row>
    <row r="56" spans="1:13">
      <c r="A56" s="1003"/>
      <c r="B56" s="1032"/>
      <c r="D56" s="1067" t="s">
        <v>718</v>
      </c>
      <c r="F56" s="1003"/>
      <c r="G56" s="1049">
        <v>0.1</v>
      </c>
      <c r="H56" s="1071">
        <v>0</v>
      </c>
      <c r="I56" s="1003"/>
      <c r="J56" s="1045"/>
      <c r="K56" s="1045"/>
      <c r="L56" s="1045"/>
      <c r="M56" s="1068"/>
    </row>
    <row r="57" spans="1:13" ht="13.5" thickBot="1">
      <c r="A57" s="1003"/>
      <c r="B57" s="1032"/>
      <c r="D57" s="1067" t="s">
        <v>719</v>
      </c>
      <c r="F57" s="1003"/>
      <c r="G57" s="1072">
        <v>0</v>
      </c>
      <c r="H57" s="1073">
        <v>0</v>
      </c>
      <c r="I57" s="1003"/>
      <c r="J57" s="1045"/>
      <c r="K57" s="1045"/>
      <c r="L57" s="1045"/>
      <c r="M57" s="1068"/>
    </row>
    <row r="58" spans="1:13" ht="13.5" thickBot="1">
      <c r="A58" s="1003"/>
      <c r="B58" s="1032"/>
      <c r="C58" s="825"/>
      <c r="E58" s="1052" t="s">
        <v>720</v>
      </c>
      <c r="F58" s="1003"/>
      <c r="G58" s="1074">
        <v>0</v>
      </c>
      <c r="H58" s="1045"/>
      <c r="I58" s="1003"/>
      <c r="J58" s="1045"/>
      <c r="K58" s="1045"/>
      <c r="L58" s="1045"/>
      <c r="M58" s="1068"/>
    </row>
    <row r="59" spans="1:13" ht="14.25" thickTop="1" thickBot="1">
      <c r="A59" s="1003"/>
      <c r="B59" s="1032"/>
      <c r="C59" s="825"/>
      <c r="D59" s="825"/>
      <c r="E59" s="1052"/>
      <c r="F59" s="1003"/>
      <c r="G59" s="1045"/>
      <c r="H59" s="1045"/>
      <c r="I59" s="1003"/>
      <c r="J59" s="1045"/>
      <c r="K59" s="1045"/>
      <c r="L59" s="1045"/>
      <c r="M59" s="1068"/>
    </row>
    <row r="60" spans="1:13" ht="73.5" customHeight="1" thickBot="1">
      <c r="A60" s="1003"/>
      <c r="B60" s="1032"/>
      <c r="C60" s="1495" t="s">
        <v>721</v>
      </c>
      <c r="D60" s="1495"/>
      <c r="E60" s="1495"/>
      <c r="F60" s="1003"/>
      <c r="G60" s="1075" t="s">
        <v>220</v>
      </c>
      <c r="H60" s="1076" t="s">
        <v>722</v>
      </c>
      <c r="I60" s="1076" t="s">
        <v>723</v>
      </c>
      <c r="J60" s="1076" t="s">
        <v>724</v>
      </c>
      <c r="K60" s="1076" t="s">
        <v>725</v>
      </c>
      <c r="L60" s="1045"/>
      <c r="M60" s="1051"/>
    </row>
    <row r="61" spans="1:13" ht="13.5" thickBot="1">
      <c r="A61" s="1003"/>
      <c r="B61" s="1050"/>
      <c r="C61" s="1006"/>
      <c r="D61" s="1008"/>
      <c r="E61" s="909"/>
      <c r="F61" s="825"/>
      <c r="G61" s="1047" t="s">
        <v>223</v>
      </c>
      <c r="H61" s="1047" t="s">
        <v>223</v>
      </c>
      <c r="I61" s="1047" t="s">
        <v>223</v>
      </c>
      <c r="J61" s="1047" t="s">
        <v>223</v>
      </c>
      <c r="K61" s="1047" t="s">
        <v>223</v>
      </c>
      <c r="L61" s="1045"/>
      <c r="M61" s="1051"/>
    </row>
    <row r="62" spans="1:13" ht="12.75" customHeight="1">
      <c r="A62" s="1003"/>
      <c r="B62" s="1050"/>
      <c r="D62" s="1481" t="s">
        <v>726</v>
      </c>
      <c r="E62" s="1481"/>
      <c r="F62" s="1482"/>
      <c r="G62" s="1077">
        <v>0</v>
      </c>
      <c r="H62" s="1078">
        <v>0</v>
      </c>
      <c r="I62" s="1079">
        <v>0</v>
      </c>
      <c r="J62" s="1079">
        <v>0</v>
      </c>
      <c r="K62" s="1080">
        <v>0</v>
      </c>
      <c r="L62" s="1045"/>
      <c r="M62" s="1051"/>
    </row>
    <row r="63" spans="1:13" ht="24.75" customHeight="1" thickBot="1">
      <c r="A63" s="1003"/>
      <c r="B63" s="1050"/>
      <c r="D63" s="1481" t="s">
        <v>727</v>
      </c>
      <c r="E63" s="1481"/>
      <c r="F63" s="1482"/>
      <c r="G63" s="1081">
        <v>0</v>
      </c>
      <c r="H63" s="1082">
        <v>0</v>
      </c>
      <c r="I63" s="1083">
        <v>0</v>
      </c>
      <c r="J63" s="1083">
        <v>0</v>
      </c>
      <c r="K63" s="1084">
        <v>0</v>
      </c>
      <c r="L63" s="1045"/>
      <c r="M63" s="1051"/>
    </row>
    <row r="64" spans="1:13" ht="13.5" thickBot="1">
      <c r="A64" s="1003"/>
      <c r="B64" s="1050"/>
      <c r="C64" s="1006"/>
      <c r="D64" s="825"/>
      <c r="E64" s="825"/>
      <c r="F64" s="825"/>
      <c r="G64" s="1048"/>
      <c r="H64" s="1048"/>
      <c r="I64" s="1045"/>
      <c r="J64" s="1045"/>
      <c r="K64" s="1045"/>
      <c r="L64" s="1045"/>
      <c r="M64" s="1051"/>
    </row>
    <row r="65" spans="1:13" ht="90" thickBot="1">
      <c r="A65" s="1003"/>
      <c r="B65" s="1032"/>
      <c r="C65" s="1495" t="s">
        <v>728</v>
      </c>
      <c r="D65" s="1495"/>
      <c r="E65" s="1495"/>
      <c r="F65" s="1003"/>
      <c r="G65" s="1085" t="s">
        <v>220</v>
      </c>
      <c r="H65" s="1086" t="s">
        <v>633</v>
      </c>
      <c r="I65" s="1086" t="s">
        <v>729</v>
      </c>
      <c r="J65" s="1086" t="s">
        <v>573</v>
      </c>
      <c r="K65" s="1086" t="s">
        <v>730</v>
      </c>
      <c r="L65" s="1086" t="s">
        <v>575</v>
      </c>
      <c r="M65" s="1051"/>
    </row>
    <row r="66" spans="1:13" ht="13.5" thickBot="1">
      <c r="A66" s="1003"/>
      <c r="B66" s="1032"/>
      <c r="C66" s="825"/>
      <c r="D66" s="1067"/>
      <c r="E66" s="1003"/>
      <c r="F66" s="1003"/>
      <c r="G66" s="1047" t="s">
        <v>223</v>
      </c>
      <c r="H66" s="1047" t="s">
        <v>223</v>
      </c>
      <c r="I66" s="1047" t="s">
        <v>223</v>
      </c>
      <c r="J66" s="1047" t="s">
        <v>223</v>
      </c>
      <c r="K66" s="1047" t="s">
        <v>223</v>
      </c>
      <c r="L66" s="1047" t="s">
        <v>223</v>
      </c>
      <c r="M66" s="1051"/>
    </row>
    <row r="67" spans="1:13" ht="14.25">
      <c r="A67" s="1003"/>
      <c r="B67" s="1032"/>
      <c r="D67" s="1031" t="s">
        <v>731</v>
      </c>
      <c r="F67" s="1003"/>
      <c r="G67" s="1087"/>
      <c r="H67" s="1088"/>
      <c r="I67" s="1089"/>
      <c r="J67" s="1089"/>
      <c r="K67" s="1090"/>
      <c r="L67" s="1091"/>
      <c r="M67" s="1051"/>
    </row>
    <row r="68" spans="1:13">
      <c r="A68" s="1003"/>
      <c r="B68" s="1032"/>
      <c r="D68" s="1067" t="s">
        <v>732</v>
      </c>
      <c r="F68" s="1003"/>
      <c r="G68" s="1092"/>
      <c r="H68" s="1093"/>
      <c r="I68" s="1094"/>
      <c r="J68" s="1094"/>
      <c r="K68" s="1090"/>
      <c r="L68" s="1091"/>
      <c r="M68" s="1051"/>
    </row>
    <row r="69" spans="1:13">
      <c r="A69" s="1003"/>
      <c r="B69" s="1032"/>
      <c r="D69" s="1067" t="s">
        <v>733</v>
      </c>
      <c r="F69" s="1003"/>
      <c r="G69" s="1092"/>
      <c r="H69" s="1093"/>
      <c r="I69" s="1094"/>
      <c r="J69" s="1094"/>
      <c r="K69" s="1090"/>
      <c r="L69" s="1091"/>
      <c r="M69" s="1051"/>
    </row>
    <row r="70" spans="1:13">
      <c r="A70" s="1003"/>
      <c r="B70" s="1032"/>
      <c r="D70" s="1067" t="s">
        <v>734</v>
      </c>
      <c r="F70" s="1003"/>
      <c r="G70" s="1092"/>
      <c r="H70" s="1095"/>
      <c r="I70" s="1096"/>
      <c r="J70" s="1096"/>
      <c r="K70" s="1097"/>
      <c r="L70" s="1098"/>
      <c r="M70" s="1051"/>
    </row>
    <row r="71" spans="1:13" ht="13.5" thickBot="1">
      <c r="A71" s="1003"/>
      <c r="B71" s="1032"/>
      <c r="C71" s="825"/>
      <c r="D71" s="825"/>
      <c r="E71" s="1052" t="s">
        <v>735</v>
      </c>
      <c r="F71" s="1003"/>
      <c r="G71" s="1063"/>
      <c r="H71" s="1063"/>
      <c r="I71" s="1063"/>
      <c r="J71" s="1063"/>
      <c r="K71" s="1063">
        <v>0</v>
      </c>
      <c r="L71" s="1063">
        <v>0</v>
      </c>
      <c r="M71" s="1051"/>
    </row>
    <row r="72" spans="1:13" ht="13.5" thickBot="1">
      <c r="A72" s="1003"/>
      <c r="B72" s="1099"/>
      <c r="C72" s="1100"/>
      <c r="D72" s="1100"/>
      <c r="E72" s="1101"/>
      <c r="F72" s="1102"/>
      <c r="G72" s="1101"/>
      <c r="H72" s="1103"/>
      <c r="I72" s="1104"/>
      <c r="J72" s="1104"/>
      <c r="K72" s="1104"/>
      <c r="L72" s="1104"/>
      <c r="M72" s="1105"/>
    </row>
    <row r="73" spans="1:13" ht="13.5" thickBot="1">
      <c r="A73" s="1003"/>
      <c r="B73" s="1003"/>
      <c r="C73" s="1102"/>
      <c r="D73" s="1003"/>
      <c r="E73" s="1003"/>
      <c r="F73" s="1003"/>
      <c r="G73" s="1045"/>
      <c r="H73" s="1045"/>
      <c r="I73" s="1045"/>
      <c r="J73" s="1045"/>
      <c r="K73" s="1045"/>
      <c r="L73" s="1045"/>
      <c r="M73" s="1003"/>
    </row>
    <row r="74" spans="1:13">
      <c r="A74" s="1003"/>
      <c r="B74" s="1007"/>
      <c r="C74" s="1008" t="s">
        <v>736</v>
      </c>
      <c r="D74" s="1010"/>
      <c r="E74" s="1106"/>
      <c r="F74" s="1010"/>
      <c r="G74" s="1044"/>
      <c r="H74" s="1044"/>
      <c r="I74" s="1043"/>
      <c r="J74" s="1043"/>
      <c r="K74" s="1043"/>
      <c r="L74" s="1043"/>
      <c r="M74" s="1107"/>
    </row>
    <row r="75" spans="1:13" ht="13.5" thickBot="1">
      <c r="A75" s="1003"/>
      <c r="B75" s="1013"/>
      <c r="C75" s="1108"/>
      <c r="D75" s="1002"/>
      <c r="E75" s="1021"/>
      <c r="F75" s="1002"/>
      <c r="G75" s="1026"/>
      <c r="H75" s="1026"/>
      <c r="I75" s="1045"/>
      <c r="J75" s="1045"/>
      <c r="K75" s="1045"/>
      <c r="L75" s="1045"/>
      <c r="M75" s="1051"/>
    </row>
    <row r="76" spans="1:13" ht="90" customHeight="1" thickBot="1">
      <c r="A76" s="1003"/>
      <c r="B76" s="1032"/>
      <c r="C76" s="1495" t="s">
        <v>737</v>
      </c>
      <c r="D76" s="1495"/>
      <c r="E76" s="1495"/>
      <c r="F76" s="1496"/>
      <c r="G76" s="1085" t="s">
        <v>220</v>
      </c>
      <c r="H76" s="1086" t="s">
        <v>633</v>
      </c>
      <c r="I76" s="1086" t="s">
        <v>729</v>
      </c>
      <c r="J76" s="1086" t="s">
        <v>573</v>
      </c>
      <c r="K76" s="1086" t="s">
        <v>730</v>
      </c>
      <c r="L76" s="1086" t="s">
        <v>575</v>
      </c>
      <c r="M76" s="1051"/>
    </row>
    <row r="77" spans="1:13" ht="13.5" thickBot="1">
      <c r="A77" s="1003"/>
      <c r="B77" s="1032"/>
      <c r="C77" s="825"/>
      <c r="D77" s="1067"/>
      <c r="E77" s="1003"/>
      <c r="F77" s="1003"/>
      <c r="G77" s="1047" t="s">
        <v>223</v>
      </c>
      <c r="H77" s="1047" t="s">
        <v>223</v>
      </c>
      <c r="I77" s="1047" t="s">
        <v>223</v>
      </c>
      <c r="J77" s="1047" t="s">
        <v>223</v>
      </c>
      <c r="K77" s="1047" t="s">
        <v>223</v>
      </c>
      <c r="L77" s="1047" t="s">
        <v>223</v>
      </c>
      <c r="M77" s="1051"/>
    </row>
    <row r="78" spans="1:13">
      <c r="A78" s="1003"/>
      <c r="B78" s="1032"/>
      <c r="C78" s="825"/>
      <c r="D78" s="825" t="s">
        <v>732</v>
      </c>
      <c r="E78" s="825"/>
      <c r="G78" s="1109">
        <v>0</v>
      </c>
      <c r="H78" s="1110"/>
      <c r="I78" s="1111"/>
      <c r="J78" s="1111"/>
      <c r="K78" s="1112"/>
      <c r="L78" s="1113"/>
      <c r="M78" s="1051"/>
    </row>
    <row r="79" spans="1:13">
      <c r="A79" s="1003"/>
      <c r="B79" s="1032"/>
      <c r="C79" s="825"/>
      <c r="D79" s="825" t="s">
        <v>733</v>
      </c>
      <c r="E79" s="825"/>
      <c r="G79" s="1109">
        <v>0</v>
      </c>
      <c r="H79" s="1110"/>
      <c r="I79" s="1111"/>
      <c r="J79" s="1111"/>
      <c r="K79" s="1112"/>
      <c r="L79" s="1113"/>
      <c r="M79" s="1051"/>
    </row>
    <row r="80" spans="1:13">
      <c r="A80" s="1003"/>
      <c r="B80" s="1032"/>
      <c r="C80" s="825"/>
      <c r="D80" s="825" t="s">
        <v>734</v>
      </c>
      <c r="E80" s="825"/>
      <c r="G80" s="1109">
        <v>0</v>
      </c>
      <c r="H80" s="1114"/>
      <c r="I80" s="1115"/>
      <c r="J80" s="1115"/>
      <c r="K80" s="1116"/>
      <c r="L80" s="1117"/>
      <c r="M80" s="1051"/>
    </row>
    <row r="81" spans="1:13" ht="13.5" thickBot="1">
      <c r="A81" s="1003"/>
      <c r="B81" s="1032"/>
      <c r="C81" s="825"/>
      <c r="D81" s="825"/>
      <c r="F81" s="1118" t="s">
        <v>220</v>
      </c>
      <c r="G81" s="1119">
        <v>0</v>
      </c>
      <c r="H81" s="1119">
        <v>0</v>
      </c>
      <c r="I81" s="1119">
        <v>0</v>
      </c>
      <c r="J81" s="1119">
        <v>0</v>
      </c>
      <c r="K81" s="1119">
        <v>0</v>
      </c>
      <c r="L81" s="1119">
        <v>0</v>
      </c>
      <c r="M81" s="1051"/>
    </row>
    <row r="82" spans="1:13" ht="13.5" thickBot="1">
      <c r="A82" s="1003"/>
      <c r="B82" s="1032"/>
      <c r="C82" s="825"/>
      <c r="D82" s="825"/>
      <c r="E82" s="1067"/>
      <c r="F82" s="1003"/>
      <c r="G82" s="1120"/>
      <c r="H82" s="1120"/>
      <c r="I82" s="1045"/>
      <c r="J82" s="1045"/>
      <c r="K82" s="1045"/>
      <c r="L82" s="1045"/>
      <c r="M82" s="1051"/>
    </row>
    <row r="83" spans="1:13" ht="27" customHeight="1" thickBot="1">
      <c r="A83" s="1003"/>
      <c r="B83" s="1032"/>
      <c r="C83" s="1497" t="s">
        <v>738</v>
      </c>
      <c r="D83" s="1497"/>
      <c r="E83" s="1497"/>
      <c r="F83" s="1498"/>
      <c r="G83" s="1121">
        <v>0</v>
      </c>
      <c r="H83" s="1122"/>
      <c r="I83" s="1123">
        <v>0</v>
      </c>
      <c r="J83" s="1122"/>
      <c r="K83" s="1124"/>
      <c r="L83" s="1125"/>
      <c r="M83" s="1051"/>
    </row>
    <row r="84" spans="1:13" ht="13.5" thickBot="1">
      <c r="A84" s="1003"/>
      <c r="B84" s="1099"/>
      <c r="C84" s="1100"/>
      <c r="D84" s="1100"/>
      <c r="E84" s="1126"/>
      <c r="F84" s="1102"/>
      <c r="G84" s="1127"/>
      <c r="H84" s="1128"/>
      <c r="I84" s="1127"/>
      <c r="J84" s="1127"/>
      <c r="K84" s="1127"/>
      <c r="L84" s="1127"/>
      <c r="M84" s="1129"/>
    </row>
    <row r="85" spans="1:13" ht="13.5" thickBot="1">
      <c r="A85" s="1067"/>
      <c r="B85" s="1067"/>
      <c r="C85" s="1069"/>
      <c r="D85" s="825"/>
      <c r="E85" s="1067"/>
      <c r="F85" s="1003"/>
      <c r="G85" s="1045"/>
      <c r="H85" s="1120"/>
      <c r="I85" s="1045"/>
      <c r="J85" s="1045"/>
      <c r="K85" s="1045"/>
      <c r="L85" s="1045"/>
      <c r="M85" s="1003"/>
    </row>
    <row r="86" spans="1:13" ht="13.5" thickBot="1">
      <c r="A86" s="1003"/>
      <c r="B86" s="1130"/>
      <c r="C86" s="1041" t="s">
        <v>739</v>
      </c>
      <c r="D86" s="1131"/>
      <c r="E86" s="1132"/>
      <c r="F86" s="1133"/>
      <c r="G86" s="1134"/>
      <c r="H86" s="1134"/>
      <c r="I86" s="1135"/>
      <c r="J86" s="1045"/>
      <c r="K86" s="1045"/>
      <c r="L86" s="1045"/>
      <c r="M86" s="1003"/>
    </row>
    <row r="87" spans="1:13" ht="13.5" thickBot="1">
      <c r="A87" s="1003"/>
      <c r="B87" s="1032"/>
      <c r="C87" s="825"/>
      <c r="D87" s="825"/>
      <c r="E87" s="1052"/>
      <c r="F87" s="1003"/>
      <c r="G87" s="1047" t="s">
        <v>223</v>
      </c>
      <c r="H87" s="1120"/>
      <c r="I87" s="1068"/>
      <c r="J87" s="1045"/>
      <c r="K87" s="1045"/>
      <c r="L87" s="1045"/>
      <c r="M87" s="1003"/>
    </row>
    <row r="88" spans="1:13" ht="29.25" customHeight="1" thickBot="1">
      <c r="A88" s="1003"/>
      <c r="B88" s="1032"/>
      <c r="C88" s="1495" t="s">
        <v>740</v>
      </c>
      <c r="D88" s="1495"/>
      <c r="E88" s="1495"/>
      <c r="F88" s="1496"/>
      <c r="G88" s="1136"/>
      <c r="H88" s="1045"/>
      <c r="I88" s="1068"/>
      <c r="J88" s="1045"/>
      <c r="K88" s="1045"/>
      <c r="L88" s="1045"/>
      <c r="M88" s="1003"/>
    </row>
    <row r="89" spans="1:13" ht="27" customHeight="1" thickBot="1">
      <c r="A89" s="1003"/>
      <c r="B89" s="1032"/>
      <c r="C89" s="1495" t="s">
        <v>741</v>
      </c>
      <c r="D89" s="1495"/>
      <c r="E89" s="1495"/>
      <c r="F89" s="1496"/>
      <c r="G89" s="1137">
        <v>0</v>
      </c>
      <c r="H89" s="1045"/>
      <c r="I89" s="1068"/>
      <c r="J89" s="1045"/>
      <c r="K89" s="1045"/>
      <c r="L89" s="1045"/>
      <c r="M89" s="1003"/>
    </row>
    <row r="90" spans="1:13" ht="13.5" thickBot="1">
      <c r="A90" s="1003"/>
      <c r="B90" s="1032"/>
      <c r="C90" s="825"/>
      <c r="D90" s="825"/>
      <c r="E90" s="1067"/>
      <c r="F90" s="1003"/>
      <c r="G90" s="1045"/>
      <c r="H90" s="1045"/>
      <c r="I90" s="1068"/>
      <c r="J90" s="1045"/>
      <c r="K90" s="1045"/>
      <c r="L90" s="1045"/>
      <c r="M90" s="1003"/>
    </row>
    <row r="91" spans="1:13" ht="13.5" thickBot="1">
      <c r="A91" s="1003"/>
      <c r="B91" s="1032"/>
      <c r="C91" s="825"/>
      <c r="D91" s="825"/>
      <c r="E91" s="1138"/>
      <c r="F91" s="1003"/>
      <c r="G91" s="1047" t="s">
        <v>223</v>
      </c>
      <c r="H91" s="1047" t="s">
        <v>541</v>
      </c>
      <c r="I91" s="1139"/>
      <c r="J91" s="1140"/>
      <c r="K91" s="1140"/>
      <c r="L91" s="1045"/>
      <c r="M91" s="1003"/>
    </row>
    <row r="92" spans="1:13" ht="13.5" thickBot="1">
      <c r="A92" s="1003"/>
      <c r="B92" s="1032"/>
      <c r="C92" s="1008" t="s">
        <v>742</v>
      </c>
      <c r="E92" s="1003"/>
      <c r="F92" s="1003"/>
      <c r="G92" s="1141"/>
      <c r="H92" s="1142"/>
      <c r="I92" s="1143"/>
      <c r="J92" s="1144"/>
      <c r="K92" s="1144"/>
      <c r="L92" s="1045"/>
      <c r="M92" s="1003"/>
    </row>
    <row r="93" spans="1:13" ht="14.25" thickTop="1" thickBot="1">
      <c r="A93" s="1003"/>
      <c r="B93" s="1050"/>
      <c r="C93" s="1003"/>
      <c r="D93" s="1145"/>
      <c r="E93" s="1003"/>
      <c r="F93" s="1003"/>
      <c r="G93" s="1003"/>
      <c r="H93" s="1003"/>
      <c r="I93" s="1143"/>
      <c r="J93" s="1146"/>
      <c r="K93" s="1146"/>
      <c r="L93" s="1045"/>
      <c r="M93" s="1003"/>
    </row>
    <row r="94" spans="1:13" ht="27.75" customHeight="1" thickBot="1">
      <c r="A94" s="1003"/>
      <c r="B94" s="1032"/>
      <c r="C94" s="1495" t="s">
        <v>743</v>
      </c>
      <c r="D94" s="1495"/>
      <c r="E94" s="1495"/>
      <c r="F94" s="1496"/>
      <c r="G94" s="1047" t="s">
        <v>223</v>
      </c>
      <c r="H94" s="1047" t="s">
        <v>541</v>
      </c>
      <c r="I94" s="1147"/>
      <c r="J94" s="1146"/>
      <c r="K94" s="1146"/>
      <c r="L94" s="1045"/>
      <c r="M94" s="1003"/>
    </row>
    <row r="95" spans="1:13">
      <c r="A95" s="1003"/>
      <c r="B95" s="1032"/>
      <c r="C95" s="825"/>
      <c r="D95" s="1067" t="s">
        <v>244</v>
      </c>
      <c r="F95" s="1003"/>
      <c r="G95" s="1072">
        <v>0</v>
      </c>
      <c r="H95" s="1072">
        <v>0</v>
      </c>
      <c r="I95" s="1143"/>
      <c r="J95" s="1144"/>
      <c r="K95" s="1144"/>
      <c r="L95" s="1045"/>
      <c r="M95" s="1003"/>
    </row>
    <row r="96" spans="1:13">
      <c r="A96" s="1003"/>
      <c r="B96" s="1032"/>
      <c r="C96" s="825"/>
      <c r="D96" s="1067" t="s">
        <v>245</v>
      </c>
      <c r="F96" s="1003"/>
      <c r="G96" s="1072">
        <v>0</v>
      </c>
      <c r="H96" s="1072"/>
      <c r="I96" s="1143"/>
      <c r="J96" s="1144"/>
      <c r="K96" s="1144"/>
      <c r="L96" s="1045"/>
      <c r="M96" s="1003"/>
    </row>
    <row r="97" spans="1:13" ht="13.5" thickBot="1">
      <c r="A97" s="1003"/>
      <c r="B97" s="1032"/>
      <c r="C97" s="825"/>
      <c r="D97" s="1067" t="s">
        <v>744</v>
      </c>
      <c r="F97" s="1003"/>
      <c r="G97" s="1072">
        <v>0</v>
      </c>
      <c r="H97" s="1073">
        <v>0</v>
      </c>
      <c r="I97" s="1143"/>
      <c r="J97" s="1144"/>
      <c r="K97" s="1144"/>
      <c r="L97" s="1045"/>
      <c r="M97" s="1003"/>
    </row>
    <row r="98" spans="1:13" ht="26.25" customHeight="1">
      <c r="A98" s="1003"/>
      <c r="B98" s="1032"/>
      <c r="C98" s="825"/>
      <c r="D98" s="1499" t="s">
        <v>745</v>
      </c>
      <c r="E98" s="1499"/>
      <c r="F98" s="1500"/>
      <c r="G98" s="1148">
        <v>0</v>
      </c>
      <c r="H98" s="1149"/>
      <c r="I98" s="1143"/>
      <c r="J98" s="1144"/>
      <c r="K98" s="1146"/>
      <c r="L98" s="1045"/>
      <c r="M98" s="1003"/>
    </row>
    <row r="99" spans="1:13" ht="13.5" thickBot="1">
      <c r="A99" s="1003"/>
      <c r="B99" s="1032"/>
      <c r="C99" s="1483" t="s">
        <v>746</v>
      </c>
      <c r="D99" s="1483"/>
      <c r="E99" s="1483"/>
      <c r="F99" s="1484"/>
      <c r="G99" s="1074">
        <v>0</v>
      </c>
      <c r="H99" s="1074"/>
      <c r="I99" s="1150"/>
      <c r="J99" s="1151"/>
      <c r="K99" s="1151"/>
      <c r="L99" s="1045"/>
      <c r="M99" s="1003"/>
    </row>
    <row r="100" spans="1:13" ht="14.25" thickTop="1" thickBot="1">
      <c r="A100" s="1003"/>
      <c r="B100" s="1099"/>
      <c r="C100" s="1100"/>
      <c r="D100" s="1100"/>
      <c r="E100" s="1100"/>
      <c r="F100" s="1100"/>
      <c r="G100" s="1102"/>
      <c r="H100" s="1102"/>
      <c r="I100" s="1129"/>
      <c r="J100" s="1003"/>
      <c r="K100" s="1003"/>
      <c r="L100" s="1003"/>
      <c r="M100" s="1003"/>
    </row>
    <row r="101" spans="1:13">
      <c r="A101" s="1003"/>
      <c r="B101" s="809"/>
      <c r="C101" s="809"/>
      <c r="D101" s="809"/>
      <c r="E101" s="809"/>
      <c r="F101" s="809"/>
      <c r="G101" s="1003"/>
      <c r="H101" s="1003"/>
      <c r="I101" s="1003"/>
      <c r="J101" s="1003"/>
      <c r="K101" s="1003"/>
      <c r="L101" s="1003"/>
      <c r="M101" s="1003"/>
    </row>
  </sheetData>
  <mergeCells count="30">
    <mergeCell ref="C99:F99"/>
    <mergeCell ref="E50:F50"/>
    <mergeCell ref="C60:E60"/>
    <mergeCell ref="D62:F62"/>
    <mergeCell ref="D63:F63"/>
    <mergeCell ref="C65:E65"/>
    <mergeCell ref="C76:F76"/>
    <mergeCell ref="C83:F83"/>
    <mergeCell ref="C88:F88"/>
    <mergeCell ref="C89:F89"/>
    <mergeCell ref="C94:F94"/>
    <mergeCell ref="D98:F98"/>
    <mergeCell ref="E49:F49"/>
    <mergeCell ref="L36:L37"/>
    <mergeCell ref="E37:F37"/>
    <mergeCell ref="E40:F40"/>
    <mergeCell ref="E41:F41"/>
    <mergeCell ref="E42:F42"/>
    <mergeCell ref="E43:F43"/>
    <mergeCell ref="E36:F36"/>
    <mergeCell ref="E44:F44"/>
    <mergeCell ref="E45:F45"/>
    <mergeCell ref="E46:F46"/>
    <mergeCell ref="E47:F47"/>
    <mergeCell ref="E48:F48"/>
    <mergeCell ref="D15:F15"/>
    <mergeCell ref="D17:F17"/>
    <mergeCell ref="D21:F21"/>
    <mergeCell ref="D22:F22"/>
    <mergeCell ref="C25:F25"/>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155" customWidth="1"/>
    <col min="2" max="2" width="15.42578125" style="1155" customWidth="1"/>
    <col min="3" max="3" width="48.7109375" style="1155" bestFit="1" customWidth="1"/>
    <col min="4" max="4" width="16.140625" style="1155" customWidth="1"/>
    <col min="5" max="10" width="11" style="1155" customWidth="1"/>
    <col min="11" max="16384" width="8.85546875" style="1155"/>
  </cols>
  <sheetData>
    <row r="1" spans="1:10" ht="12.75" customHeight="1">
      <c r="A1" s="1152" t="s">
        <v>551</v>
      </c>
      <c r="B1" s="1153"/>
      <c r="C1" s="1153"/>
      <c r="D1" s="1153"/>
      <c r="E1" s="1153"/>
      <c r="F1" s="1154"/>
      <c r="G1" s="1153"/>
      <c r="H1" s="1153"/>
      <c r="I1" s="1153"/>
    </row>
    <row r="2" spans="1:10" s="1158" customFormat="1" ht="12.75">
      <c r="A2" s="1156"/>
      <c r="B2" s="1157"/>
      <c r="C2" s="1157"/>
      <c r="D2" s="1157"/>
      <c r="E2" s="1157"/>
      <c r="F2" s="1157"/>
      <c r="G2" s="1157"/>
      <c r="H2" s="1157"/>
      <c r="I2" s="1157"/>
    </row>
    <row r="3" spans="1:10" ht="15">
      <c r="A3" s="1152" t="s">
        <v>101</v>
      </c>
      <c r="B3" s="1153"/>
      <c r="C3" s="1153"/>
      <c r="D3" s="1153"/>
      <c r="E3" s="1153"/>
      <c r="F3" s="1153"/>
      <c r="G3" s="1153"/>
      <c r="H3" s="1153"/>
      <c r="I3" s="1153"/>
    </row>
    <row r="4" spans="1:10" ht="12.75">
      <c r="A4" s="1159"/>
      <c r="B4" s="1153"/>
      <c r="C4" s="1153"/>
      <c r="D4" s="1153"/>
      <c r="E4" s="1153"/>
      <c r="F4" s="1153"/>
      <c r="G4" s="1153"/>
      <c r="H4" s="1153"/>
      <c r="I4" s="1153"/>
    </row>
    <row r="5" spans="1:10" ht="20.25">
      <c r="A5" s="1501" t="s">
        <v>747</v>
      </c>
      <c r="B5" s="1501"/>
      <c r="C5" s="1501"/>
      <c r="D5" s="1160"/>
      <c r="E5" s="1161"/>
      <c r="F5" s="1161"/>
      <c r="G5" s="1161"/>
    </row>
    <row r="6" spans="1:10" ht="15" thickBot="1">
      <c r="A6" s="1162"/>
      <c r="B6" s="1162"/>
      <c r="C6" s="506"/>
      <c r="D6" s="506"/>
      <c r="E6" s="1163"/>
      <c r="F6" s="1163"/>
      <c r="G6" s="1163"/>
    </row>
    <row r="7" spans="1:10" ht="15.75" thickBot="1">
      <c r="A7" s="1162"/>
      <c r="B7" s="1162"/>
      <c r="C7" s="1164"/>
      <c r="D7" s="1165" t="s">
        <v>210</v>
      </c>
      <c r="E7" s="1165" t="s">
        <v>99</v>
      </c>
      <c r="F7" s="1165" t="s">
        <v>100</v>
      </c>
      <c r="G7" s="1165" t="s">
        <v>101</v>
      </c>
      <c r="H7" s="1165" t="s">
        <v>102</v>
      </c>
      <c r="I7" s="1166" t="s">
        <v>64</v>
      </c>
      <c r="J7" s="1166" t="s">
        <v>213</v>
      </c>
    </row>
    <row r="8" spans="1:10" ht="15">
      <c r="A8" s="1162"/>
      <c r="B8" s="1162"/>
      <c r="C8" s="1167" t="s">
        <v>748</v>
      </c>
      <c r="D8" s="1168"/>
      <c r="E8" s="1502" t="s">
        <v>749</v>
      </c>
      <c r="F8" s="1503"/>
      <c r="G8" s="1504"/>
      <c r="H8" s="1505" t="s">
        <v>750</v>
      </c>
      <c r="I8" s="1506"/>
      <c r="J8" s="1507"/>
    </row>
    <row r="9" spans="1:10" ht="14.25">
      <c r="A9" s="1162"/>
      <c r="B9" s="1162"/>
      <c r="C9" s="1169" t="s">
        <v>751</v>
      </c>
      <c r="D9" s="1170" t="s">
        <v>752</v>
      </c>
      <c r="E9" s="1171"/>
      <c r="F9" s="1172"/>
      <c r="G9" s="1173">
        <v>1.079585</v>
      </c>
      <c r="H9" s="1171"/>
      <c r="I9" s="1172"/>
      <c r="J9" s="1174"/>
    </row>
    <row r="10" spans="1:10" ht="14.25">
      <c r="A10" s="1162"/>
      <c r="B10" s="1162"/>
      <c r="C10" s="1169" t="s">
        <v>753</v>
      </c>
      <c r="D10" s="1170" t="s">
        <v>754</v>
      </c>
      <c r="E10" s="1171"/>
      <c r="F10" s="1172"/>
      <c r="G10" s="1173">
        <v>80.599999999999994</v>
      </c>
      <c r="H10" s="1171"/>
      <c r="I10" s="1172"/>
      <c r="J10" s="1174"/>
    </row>
    <row r="11" spans="1:10" ht="14.25">
      <c r="A11" s="1162"/>
      <c r="B11" s="1162"/>
      <c r="C11" s="1169" t="s">
        <v>755</v>
      </c>
      <c r="D11" s="1170" t="s">
        <v>756</v>
      </c>
      <c r="E11" s="1171"/>
      <c r="F11" s="1172"/>
      <c r="G11" s="1173">
        <v>46.3</v>
      </c>
      <c r="H11" s="1171"/>
      <c r="I11" s="1172"/>
      <c r="J11" s="1174"/>
    </row>
    <row r="12" spans="1:10" ht="15.75" thickBot="1">
      <c r="A12" s="1162"/>
      <c r="B12" s="1162"/>
      <c r="C12" s="1169"/>
      <c r="D12" s="1175"/>
      <c r="E12" s="1176"/>
      <c r="F12" s="1177"/>
      <c r="G12" s="1177"/>
      <c r="H12" s="1176"/>
      <c r="I12" s="1177"/>
      <c r="J12" s="1178"/>
    </row>
    <row r="13" spans="1:10" ht="15">
      <c r="A13" s="1162"/>
      <c r="B13" s="1162"/>
      <c r="C13" s="1179" t="s">
        <v>757</v>
      </c>
      <c r="D13" s="1168"/>
      <c r="E13" s="1180"/>
      <c r="F13" s="1163"/>
      <c r="G13" s="1163"/>
      <c r="J13" s="1181"/>
    </row>
    <row r="14" spans="1:10" ht="14.25">
      <c r="A14" s="1162"/>
      <c r="B14" s="1162"/>
      <c r="C14" s="1182"/>
      <c r="D14" s="1170"/>
      <c r="E14" s="1180"/>
      <c r="F14" s="1163"/>
      <c r="G14" s="1163"/>
      <c r="J14" s="1181"/>
    </row>
    <row r="15" spans="1:10" ht="14.25">
      <c r="A15" s="1162"/>
      <c r="B15" s="1162"/>
      <c r="C15" s="1183" t="s">
        <v>758</v>
      </c>
      <c r="D15" s="1170"/>
      <c r="E15" s="1180"/>
      <c r="F15" s="1163"/>
      <c r="G15" s="1163"/>
      <c r="J15" s="1181"/>
    </row>
    <row r="16" spans="1:10" ht="14.25">
      <c r="A16" s="1162"/>
      <c r="B16" s="1162"/>
      <c r="C16" s="1183" t="s">
        <v>759</v>
      </c>
      <c r="D16" s="1170"/>
      <c r="E16" s="1180"/>
      <c r="F16" s="1163"/>
      <c r="G16" s="1163"/>
      <c r="J16" s="1181"/>
    </row>
    <row r="17" spans="1:10" ht="14.25">
      <c r="A17" s="1162"/>
      <c r="B17" s="1162"/>
      <c r="C17" s="1182" t="s">
        <v>760</v>
      </c>
      <c r="D17" s="1170" t="s">
        <v>761</v>
      </c>
      <c r="E17" s="1171"/>
      <c r="F17" s="1172"/>
      <c r="G17" s="1173">
        <v>1</v>
      </c>
      <c r="H17" s="1171"/>
      <c r="I17" s="1172"/>
      <c r="J17" s="1174"/>
    </row>
    <row r="18" spans="1:10" ht="14.25">
      <c r="A18" s="1162"/>
      <c r="B18" s="1162"/>
      <c r="C18" s="1182" t="s">
        <v>245</v>
      </c>
      <c r="D18" s="1170" t="s">
        <v>761</v>
      </c>
      <c r="E18" s="1171"/>
      <c r="F18" s="1172"/>
      <c r="G18" s="1173">
        <v>19</v>
      </c>
      <c r="H18" s="1171"/>
      <c r="I18" s="1172"/>
      <c r="J18" s="1174"/>
    </row>
    <row r="19" spans="1:10" ht="14.25">
      <c r="A19" s="1162"/>
      <c r="B19" s="1162"/>
      <c r="C19" s="1182" t="s">
        <v>244</v>
      </c>
      <c r="D19" s="1170" t="s">
        <v>761</v>
      </c>
      <c r="E19" s="1171"/>
      <c r="F19" s="1172"/>
      <c r="G19" s="1173">
        <v>10819</v>
      </c>
      <c r="H19" s="1171"/>
      <c r="I19" s="1172"/>
      <c r="J19" s="1174"/>
    </row>
    <row r="20" spans="1:10" ht="14.25">
      <c r="A20" s="1162"/>
      <c r="B20" s="1162"/>
      <c r="C20" s="1182" t="s">
        <v>762</v>
      </c>
      <c r="D20" s="1170" t="s">
        <v>761</v>
      </c>
      <c r="E20" s="1171"/>
      <c r="F20" s="1172"/>
      <c r="G20" s="1173">
        <v>1</v>
      </c>
      <c r="H20" s="1171"/>
      <c r="I20" s="1172"/>
      <c r="J20" s="1174"/>
    </row>
    <row r="21" spans="1:10" ht="14.25">
      <c r="A21" s="1162"/>
      <c r="B21" s="1162"/>
      <c r="C21" s="1182"/>
      <c r="D21" s="1170"/>
      <c r="E21" s="1180"/>
      <c r="F21" s="1163"/>
      <c r="G21" s="1163"/>
      <c r="H21" s="1180"/>
      <c r="I21" s="1163"/>
      <c r="J21" s="1184"/>
    </row>
    <row r="22" spans="1:10" ht="14.25">
      <c r="A22" s="1162"/>
      <c r="B22" s="1162"/>
      <c r="C22" s="1183" t="s">
        <v>763</v>
      </c>
      <c r="D22" s="1170"/>
      <c r="E22" s="1180"/>
      <c r="F22" s="1163"/>
      <c r="G22" s="1163"/>
      <c r="H22" s="1180"/>
      <c r="I22" s="1163"/>
      <c r="J22" s="1184"/>
    </row>
    <row r="23" spans="1:10" ht="14.25">
      <c r="A23" s="1162"/>
      <c r="B23" s="1162"/>
      <c r="C23" s="1182" t="s">
        <v>426</v>
      </c>
      <c r="D23" s="1170" t="s">
        <v>230</v>
      </c>
      <c r="E23" s="1171"/>
      <c r="F23" s="1172"/>
      <c r="G23" s="1173">
        <v>277.60000000000002</v>
      </c>
      <c r="H23" s="1171"/>
      <c r="I23" s="1172"/>
      <c r="J23" s="1174"/>
    </row>
    <row r="24" spans="1:10" ht="14.25">
      <c r="A24" s="1162"/>
      <c r="B24" s="1162"/>
      <c r="C24" s="1182" t="s">
        <v>427</v>
      </c>
      <c r="D24" s="1170" t="s">
        <v>230</v>
      </c>
      <c r="E24" s="1171"/>
      <c r="F24" s="1172"/>
      <c r="G24" s="1173">
        <v>186.7</v>
      </c>
      <c r="H24" s="1171"/>
      <c r="I24" s="1172"/>
      <c r="J24" s="1174"/>
    </row>
    <row r="25" spans="1:10" ht="14.25">
      <c r="A25" s="1162"/>
      <c r="B25" s="1162"/>
      <c r="C25" s="1182" t="s">
        <v>245</v>
      </c>
      <c r="D25" s="1170" t="s">
        <v>230</v>
      </c>
      <c r="E25" s="1171"/>
      <c r="F25" s="1172"/>
      <c r="G25" s="1173">
        <v>93.7</v>
      </c>
      <c r="H25" s="1171"/>
      <c r="I25" s="1172"/>
      <c r="J25" s="1174"/>
    </row>
    <row r="26" spans="1:10" ht="15" thickBot="1">
      <c r="A26" s="1162"/>
      <c r="B26" s="1162"/>
      <c r="C26" s="1182" t="s">
        <v>244</v>
      </c>
      <c r="D26" s="1170" t="s">
        <v>230</v>
      </c>
      <c r="E26" s="1171"/>
      <c r="F26" s="1172"/>
      <c r="G26" s="1173">
        <v>12.3</v>
      </c>
      <c r="H26" s="1171"/>
      <c r="I26" s="1172"/>
      <c r="J26" s="1174"/>
    </row>
    <row r="27" spans="1:10" ht="15" thickBot="1">
      <c r="A27" s="1162"/>
      <c r="B27" s="1162"/>
      <c r="C27" s="1183" t="s">
        <v>220</v>
      </c>
      <c r="D27" s="1170"/>
      <c r="E27" s="1185"/>
      <c r="F27" s="1186"/>
      <c r="G27" s="1186">
        <v>570.29999999999995</v>
      </c>
      <c r="H27" s="1186"/>
      <c r="I27" s="1186"/>
      <c r="J27" s="1187"/>
    </row>
    <row r="28" spans="1:10" ht="14.25">
      <c r="A28" s="1162"/>
      <c r="B28" s="1162"/>
      <c r="C28" s="1182"/>
      <c r="D28" s="1170"/>
      <c r="E28" s="1188"/>
      <c r="F28" s="1189"/>
      <c r="G28" s="1189"/>
      <c r="H28" s="1189"/>
      <c r="I28" s="1189"/>
      <c r="J28" s="1190"/>
    </row>
    <row r="29" spans="1:10" ht="14.25">
      <c r="A29" s="1162"/>
      <c r="B29" s="1162"/>
      <c r="C29" s="1183" t="s">
        <v>764</v>
      </c>
      <c r="D29" s="1170"/>
      <c r="E29" s="1188"/>
      <c r="F29" s="1189"/>
      <c r="G29" s="1189"/>
      <c r="H29" s="1189"/>
      <c r="I29" s="1189"/>
      <c r="J29" s="1190"/>
    </row>
    <row r="30" spans="1:10" ht="14.25">
      <c r="A30" s="1162"/>
      <c r="B30" s="1162"/>
      <c r="C30" s="1182" t="s">
        <v>765</v>
      </c>
      <c r="D30" s="1170" t="s">
        <v>230</v>
      </c>
      <c r="E30" s="1171"/>
      <c r="F30" s="1172"/>
      <c r="G30" s="1173">
        <v>2179.2925999999998</v>
      </c>
      <c r="H30" s="1171"/>
      <c r="I30" s="1172"/>
      <c r="J30" s="1174"/>
    </row>
    <row r="31" spans="1:10" ht="14.25">
      <c r="A31" s="1162"/>
      <c r="B31" s="1162"/>
      <c r="C31" s="1182" t="s">
        <v>766</v>
      </c>
      <c r="D31" s="1170" t="s">
        <v>230</v>
      </c>
      <c r="E31" s="1171"/>
      <c r="F31" s="1172"/>
      <c r="G31" s="1173">
        <v>2179.2925999999998</v>
      </c>
      <c r="H31" s="1171"/>
      <c r="I31" s="1172"/>
      <c r="J31" s="1174"/>
    </row>
    <row r="32" spans="1:10" ht="14.25">
      <c r="A32" s="1162"/>
      <c r="B32" s="1162"/>
      <c r="C32" s="1182"/>
      <c r="D32" s="1170"/>
      <c r="E32" s="1188"/>
      <c r="F32" s="1189"/>
      <c r="G32" s="1189"/>
      <c r="H32" s="1189"/>
      <c r="I32" s="1189"/>
      <c r="J32" s="1190"/>
    </row>
    <row r="33" spans="1:10" ht="14.25">
      <c r="A33" s="1162"/>
      <c r="B33" s="1162"/>
      <c r="C33" s="1183" t="s">
        <v>767</v>
      </c>
      <c r="D33" s="1170"/>
      <c r="E33" s="1188"/>
      <c r="F33" s="1189"/>
      <c r="G33" s="1189"/>
      <c r="H33" s="1189"/>
      <c r="I33" s="1189"/>
      <c r="J33" s="1190"/>
    </row>
    <row r="34" spans="1:10" ht="14.25">
      <c r="A34" s="1162"/>
      <c r="B34" s="1162"/>
      <c r="C34" s="1182" t="s">
        <v>760</v>
      </c>
      <c r="D34" s="1170" t="s">
        <v>236</v>
      </c>
      <c r="E34" s="1171"/>
      <c r="F34" s="1172"/>
      <c r="G34" s="1173">
        <v>2954.8379382999997</v>
      </c>
      <c r="H34" s="1171"/>
      <c r="I34" s="1172"/>
      <c r="J34" s="1174"/>
    </row>
    <row r="35" spans="1:10" ht="14.25">
      <c r="A35" s="1162"/>
      <c r="B35" s="1162"/>
      <c r="C35" s="1182" t="s">
        <v>245</v>
      </c>
      <c r="D35" s="1170" t="s">
        <v>236</v>
      </c>
      <c r="E35" s="1171"/>
      <c r="F35" s="1172"/>
      <c r="G35" s="1173">
        <v>2482.1083529999996</v>
      </c>
      <c r="H35" s="1171"/>
      <c r="I35" s="1172"/>
      <c r="J35" s="1174"/>
    </row>
    <row r="36" spans="1:10" ht="15" thickBot="1">
      <c r="A36" s="1162"/>
      <c r="B36" s="1162"/>
      <c r="C36" s="1182" t="s">
        <v>244</v>
      </c>
      <c r="D36" s="1170" t="s">
        <v>236</v>
      </c>
      <c r="E36" s="1171"/>
      <c r="F36" s="1172"/>
      <c r="G36" s="1173">
        <v>7216.2041944999992</v>
      </c>
      <c r="H36" s="1171"/>
      <c r="I36" s="1172"/>
      <c r="J36" s="1174"/>
    </row>
    <row r="37" spans="1:10" ht="15" thickBot="1">
      <c r="A37" s="1162"/>
      <c r="B37" s="1162"/>
      <c r="C37" s="1183" t="s">
        <v>220</v>
      </c>
      <c r="D37" s="1170"/>
      <c r="E37" s="1185"/>
      <c r="F37" s="1186"/>
      <c r="G37" s="1186">
        <v>12653.150485799997</v>
      </c>
      <c r="H37" s="1186"/>
      <c r="I37" s="1186"/>
      <c r="J37" s="1187"/>
    </row>
    <row r="38" spans="1:10" ht="14.25">
      <c r="A38" s="1162"/>
      <c r="B38" s="1162"/>
      <c r="C38" s="1182"/>
      <c r="D38" s="1170"/>
      <c r="E38" s="1180"/>
      <c r="F38" s="1163"/>
      <c r="G38" s="1163"/>
      <c r="H38" s="1180"/>
      <c r="I38" s="1163"/>
      <c r="J38" s="1184"/>
    </row>
    <row r="39" spans="1:10" ht="14.25">
      <c r="A39" s="1162"/>
      <c r="B39" s="1162"/>
      <c r="C39" s="1183" t="s">
        <v>768</v>
      </c>
      <c r="D39" s="1170"/>
      <c r="E39" s="1180"/>
      <c r="F39" s="1163"/>
      <c r="G39" s="1163"/>
      <c r="H39" s="1180"/>
      <c r="I39" s="1163"/>
      <c r="J39" s="1184"/>
    </row>
    <row r="40" spans="1:10" ht="14.25">
      <c r="A40" s="1162"/>
      <c r="B40" s="1162"/>
      <c r="C40" s="1182" t="s">
        <v>769</v>
      </c>
      <c r="D40" s="1170" t="s">
        <v>770</v>
      </c>
      <c r="E40" s="1171"/>
      <c r="F40" s="1172"/>
      <c r="G40" s="1173">
        <v>675.23700000000008</v>
      </c>
      <c r="H40" s="1171"/>
      <c r="I40" s="1172"/>
      <c r="J40" s="1174"/>
    </row>
    <row r="41" spans="1:10" ht="14.25">
      <c r="A41" s="1162"/>
      <c r="B41" s="1162"/>
      <c r="C41" s="1182" t="s">
        <v>771</v>
      </c>
      <c r="D41" s="1170" t="s">
        <v>772</v>
      </c>
      <c r="E41" s="1171"/>
      <c r="F41" s="1172"/>
      <c r="G41" s="1191">
        <v>5.3365128373189352E-2</v>
      </c>
      <c r="H41" s="1171"/>
      <c r="I41" s="1172"/>
      <c r="J41" s="1192"/>
    </row>
    <row r="42" spans="1:10" ht="14.25">
      <c r="A42" s="1162"/>
      <c r="B42" s="1162"/>
      <c r="C42" s="1182"/>
      <c r="D42" s="1170"/>
      <c r="E42" s="1188"/>
      <c r="F42" s="1189"/>
      <c r="G42" s="1189"/>
      <c r="H42" s="1189"/>
      <c r="I42" s="1189"/>
      <c r="J42" s="1190"/>
    </row>
    <row r="43" spans="1:10" ht="15.75" thickBot="1">
      <c r="A43" s="1162"/>
      <c r="B43" s="1162"/>
      <c r="C43" s="1169"/>
      <c r="D43" s="1175"/>
      <c r="E43" s="1176"/>
      <c r="F43" s="1177"/>
      <c r="G43" s="1177"/>
      <c r="H43" s="1177"/>
      <c r="I43" s="1177"/>
      <c r="J43" s="1178"/>
    </row>
    <row r="44" spans="1:10" ht="15">
      <c r="A44" s="1162"/>
      <c r="B44" s="1162"/>
      <c r="C44" s="1179" t="s">
        <v>773</v>
      </c>
      <c r="D44" s="1170"/>
      <c r="E44" s="1188"/>
      <c r="F44" s="1189"/>
      <c r="G44" s="1189"/>
      <c r="H44" s="1189"/>
      <c r="I44" s="1189"/>
      <c r="J44" s="1190"/>
    </row>
    <row r="45" spans="1:10" ht="14.25">
      <c r="A45" s="1162"/>
      <c r="B45" s="1162"/>
      <c r="C45" s="1182"/>
      <c r="D45" s="1170"/>
      <c r="E45" s="1188"/>
      <c r="F45" s="1189"/>
      <c r="G45" s="1189"/>
      <c r="H45" s="1189"/>
      <c r="I45" s="1189"/>
      <c r="J45" s="1190"/>
    </row>
    <row r="46" spans="1:10" ht="14.25">
      <c r="A46" s="1162"/>
      <c r="B46" s="1162"/>
      <c r="C46" s="1183" t="s">
        <v>774</v>
      </c>
      <c r="D46" s="1170"/>
      <c r="E46" s="1188"/>
      <c r="F46" s="1189"/>
      <c r="G46" s="1189"/>
      <c r="H46" s="1189"/>
      <c r="I46" s="1189"/>
      <c r="J46" s="1190"/>
    </row>
    <row r="47" spans="1:10" ht="14.25">
      <c r="A47" s="1162"/>
      <c r="B47" s="1162"/>
      <c r="C47" s="1182" t="s">
        <v>426</v>
      </c>
      <c r="D47" s="1170" t="s">
        <v>775</v>
      </c>
      <c r="E47" s="1171"/>
      <c r="F47" s="1172"/>
      <c r="G47" s="1193">
        <v>1180</v>
      </c>
      <c r="H47" s="1171"/>
      <c r="I47" s="1172"/>
      <c r="J47" s="1194"/>
    </row>
    <row r="48" spans="1:10" ht="14.25">
      <c r="A48" s="1162"/>
      <c r="B48" s="1162"/>
      <c r="C48" s="1182" t="s">
        <v>427</v>
      </c>
      <c r="D48" s="1170" t="s">
        <v>775</v>
      </c>
      <c r="E48" s="1171"/>
      <c r="F48" s="1172"/>
      <c r="G48" s="1193">
        <v>1584</v>
      </c>
      <c r="H48" s="1171"/>
      <c r="I48" s="1172"/>
      <c r="J48" s="1194"/>
    </row>
    <row r="49" spans="1:10" ht="14.25">
      <c r="A49" s="1162"/>
      <c r="B49" s="1162"/>
      <c r="C49" s="1182" t="s">
        <v>245</v>
      </c>
      <c r="D49" s="1170" t="s">
        <v>775</v>
      </c>
      <c r="E49" s="1171"/>
      <c r="F49" s="1172"/>
      <c r="G49" s="1193">
        <v>12207</v>
      </c>
      <c r="H49" s="1171"/>
      <c r="I49" s="1172"/>
      <c r="J49" s="1194"/>
    </row>
    <row r="50" spans="1:10" ht="15" thickBot="1">
      <c r="A50" s="1162"/>
      <c r="B50" s="1162"/>
      <c r="C50" s="1182" t="s">
        <v>244</v>
      </c>
      <c r="D50" s="1170" t="s">
        <v>775</v>
      </c>
      <c r="E50" s="1171"/>
      <c r="F50" s="1172"/>
      <c r="G50" s="1193">
        <v>3193</v>
      </c>
      <c r="H50" s="1171"/>
      <c r="I50" s="1172"/>
      <c r="J50" s="1194"/>
    </row>
    <row r="51" spans="1:10" ht="15" thickBot="1">
      <c r="A51" s="1162"/>
      <c r="B51" s="1162"/>
      <c r="C51" s="1183" t="s">
        <v>220</v>
      </c>
      <c r="D51" s="1170" t="s">
        <v>775</v>
      </c>
      <c r="E51" s="1185"/>
      <c r="F51" s="1186"/>
      <c r="G51" s="1186">
        <v>18164</v>
      </c>
      <c r="H51" s="1186"/>
      <c r="I51" s="1186"/>
      <c r="J51" s="1187"/>
    </row>
    <row r="52" spans="1:10" ht="14.25">
      <c r="A52" s="1162"/>
      <c r="B52" s="1162"/>
      <c r="C52" s="1182"/>
      <c r="D52" s="1170"/>
      <c r="E52" s="1188"/>
      <c r="F52" s="1189"/>
      <c r="G52" s="1189"/>
      <c r="H52" s="1189"/>
      <c r="I52" s="1189"/>
      <c r="J52" s="1190"/>
    </row>
    <row r="53" spans="1:10" ht="14.25">
      <c r="A53" s="1162"/>
      <c r="B53" s="1162"/>
      <c r="C53" s="1183" t="s">
        <v>776</v>
      </c>
      <c r="D53" s="1170"/>
      <c r="E53" s="1188"/>
      <c r="F53" s="1189"/>
      <c r="G53" s="1189"/>
      <c r="H53" s="1189"/>
      <c r="I53" s="1189"/>
      <c r="J53" s="1190"/>
    </row>
    <row r="54" spans="1:10" ht="14.25">
      <c r="A54" s="1162"/>
      <c r="B54" s="1162"/>
      <c r="C54" s="1182" t="s">
        <v>426</v>
      </c>
      <c r="D54" s="1170" t="s">
        <v>775</v>
      </c>
      <c r="E54" s="1171"/>
      <c r="F54" s="1172"/>
      <c r="G54" s="1193">
        <v>93.4</v>
      </c>
      <c r="H54" s="1171"/>
      <c r="I54" s="1172"/>
      <c r="J54" s="1194"/>
    </row>
    <row r="55" spans="1:10" ht="14.25">
      <c r="A55" s="1162"/>
      <c r="B55" s="1162"/>
      <c r="C55" s="1182" t="s">
        <v>427</v>
      </c>
      <c r="D55" s="1170" t="s">
        <v>775</v>
      </c>
      <c r="E55" s="1171"/>
      <c r="F55" s="1172"/>
      <c r="G55" s="1193">
        <v>397.26400000000001</v>
      </c>
      <c r="H55" s="1171"/>
      <c r="I55" s="1172"/>
      <c r="J55" s="1194"/>
    </row>
    <row r="56" spans="1:10" ht="14.25">
      <c r="A56" s="1162"/>
      <c r="B56" s="1162"/>
      <c r="C56" s="1182" t="s">
        <v>245</v>
      </c>
      <c r="D56" s="1170" t="s">
        <v>775</v>
      </c>
      <c r="E56" s="1171"/>
      <c r="F56" s="1172"/>
      <c r="G56" s="1193">
        <v>5366.7</v>
      </c>
      <c r="H56" s="1171"/>
      <c r="I56" s="1172"/>
      <c r="J56" s="1194"/>
    </row>
    <row r="57" spans="1:10" ht="15" thickBot="1">
      <c r="A57" s="1162"/>
      <c r="B57" s="1162"/>
      <c r="C57" s="1182" t="s">
        <v>244</v>
      </c>
      <c r="D57" s="1170" t="s">
        <v>775</v>
      </c>
      <c r="E57" s="1171"/>
      <c r="F57" s="1172"/>
      <c r="G57" s="1193">
        <v>10735.59</v>
      </c>
      <c r="H57" s="1171"/>
      <c r="I57" s="1172"/>
      <c r="J57" s="1194"/>
    </row>
    <row r="58" spans="1:10" ht="15" thickBot="1">
      <c r="A58" s="1162"/>
      <c r="B58" s="1162"/>
      <c r="C58" s="1182" t="s">
        <v>220</v>
      </c>
      <c r="D58" s="1170" t="s">
        <v>775</v>
      </c>
      <c r="E58" s="1185"/>
      <c r="F58" s="1186"/>
      <c r="G58" s="1186">
        <v>16592.953999999998</v>
      </c>
      <c r="H58" s="1186"/>
      <c r="I58" s="1186"/>
      <c r="J58" s="1187"/>
    </row>
    <row r="59" spans="1:10" ht="14.25">
      <c r="A59" s="1162"/>
      <c r="B59" s="1162"/>
      <c r="C59" s="1182"/>
      <c r="D59" s="1170"/>
      <c r="E59" s="1188"/>
      <c r="F59" s="1189"/>
      <c r="G59" s="1189"/>
      <c r="H59" s="1189"/>
      <c r="I59" s="1189"/>
      <c r="J59" s="1190"/>
    </row>
    <row r="60" spans="1:10" ht="14.25">
      <c r="A60" s="1162"/>
      <c r="B60" s="1162"/>
      <c r="C60" s="1183" t="s">
        <v>777</v>
      </c>
      <c r="D60" s="1170"/>
      <c r="E60" s="1188"/>
      <c r="F60" s="1189"/>
      <c r="G60" s="1189"/>
      <c r="H60" s="1189"/>
      <c r="I60" s="1189"/>
      <c r="J60" s="1190"/>
    </row>
    <row r="61" spans="1:10" ht="14.25">
      <c r="A61" s="1162"/>
      <c r="B61" s="1162"/>
      <c r="C61" s="1182" t="s">
        <v>426</v>
      </c>
      <c r="D61" s="1170" t="s">
        <v>775</v>
      </c>
      <c r="E61" s="1195"/>
      <c r="F61" s="1193"/>
      <c r="G61" s="1193">
        <v>1273.4000000000001</v>
      </c>
      <c r="H61" s="1193"/>
      <c r="I61" s="1193"/>
      <c r="J61" s="1194"/>
    </row>
    <row r="62" spans="1:10" ht="14.25">
      <c r="A62" s="1162"/>
      <c r="B62" s="1162"/>
      <c r="C62" s="1182" t="s">
        <v>427</v>
      </c>
      <c r="D62" s="1170" t="s">
        <v>775</v>
      </c>
      <c r="E62" s="1195"/>
      <c r="F62" s="1193"/>
      <c r="G62" s="1193">
        <v>1981.2640000000001</v>
      </c>
      <c r="H62" s="1193"/>
      <c r="I62" s="1193"/>
      <c r="J62" s="1194"/>
    </row>
    <row r="63" spans="1:10" ht="14.25">
      <c r="A63" s="1162"/>
      <c r="B63" s="1162"/>
      <c r="C63" s="1182" t="s">
        <v>245</v>
      </c>
      <c r="D63" s="1170" t="s">
        <v>775</v>
      </c>
      <c r="E63" s="1195"/>
      <c r="F63" s="1193"/>
      <c r="G63" s="1193">
        <v>17573.7</v>
      </c>
      <c r="H63" s="1193"/>
      <c r="I63" s="1193"/>
      <c r="J63" s="1194"/>
    </row>
    <row r="64" spans="1:10" ht="15" thickBot="1">
      <c r="A64" s="1162"/>
      <c r="B64" s="1162"/>
      <c r="C64" s="1182" t="s">
        <v>244</v>
      </c>
      <c r="D64" s="1170" t="s">
        <v>775</v>
      </c>
      <c r="E64" s="1195"/>
      <c r="F64" s="1193"/>
      <c r="G64" s="1193">
        <v>13928.59</v>
      </c>
      <c r="H64" s="1193"/>
      <c r="I64" s="1193"/>
      <c r="J64" s="1194"/>
    </row>
    <row r="65" spans="1:10" ht="15" thickBot="1">
      <c r="A65" s="1162"/>
      <c r="B65" s="1162"/>
      <c r="C65" s="1183" t="s">
        <v>220</v>
      </c>
      <c r="D65" s="1170" t="s">
        <v>775</v>
      </c>
      <c r="E65" s="1185"/>
      <c r="F65" s="1186"/>
      <c r="G65" s="1186">
        <v>34756.953999999998</v>
      </c>
      <c r="H65" s="1186"/>
      <c r="I65" s="1186"/>
      <c r="J65" s="1187"/>
    </row>
    <row r="66" spans="1:10" ht="14.25">
      <c r="A66" s="1162"/>
      <c r="B66" s="1162"/>
      <c r="C66" s="1182"/>
      <c r="D66" s="1170"/>
      <c r="E66" s="1188"/>
      <c r="F66" s="1189"/>
      <c r="G66" s="1189"/>
      <c r="H66" s="1189"/>
      <c r="I66" s="1189"/>
      <c r="J66" s="1190"/>
    </row>
    <row r="67" spans="1:10" ht="14.25">
      <c r="A67" s="1162"/>
      <c r="B67" s="1162"/>
      <c r="C67" s="1183" t="s">
        <v>778</v>
      </c>
      <c r="D67" s="1170"/>
      <c r="E67" s="1188"/>
      <c r="F67" s="1189"/>
      <c r="G67" s="1189"/>
      <c r="H67" s="1189"/>
      <c r="I67" s="1189"/>
      <c r="J67" s="1190"/>
    </row>
    <row r="68" spans="1:10" ht="14.25">
      <c r="A68" s="1162"/>
      <c r="B68" s="1162"/>
      <c r="C68" s="1182" t="s">
        <v>426</v>
      </c>
      <c r="D68" s="1170" t="s">
        <v>779</v>
      </c>
      <c r="E68" s="1171"/>
      <c r="F68" s="1172"/>
      <c r="G68" s="1173">
        <v>77</v>
      </c>
      <c r="H68" s="1171"/>
      <c r="I68" s="1172"/>
      <c r="J68" s="1174"/>
    </row>
    <row r="69" spans="1:10" ht="14.25">
      <c r="A69" s="1162"/>
      <c r="B69" s="1162"/>
      <c r="C69" s="1182" t="s">
        <v>780</v>
      </c>
      <c r="D69" s="1170" t="s">
        <v>779</v>
      </c>
      <c r="E69" s="1171"/>
      <c r="F69" s="1172"/>
      <c r="G69" s="1173">
        <v>196</v>
      </c>
      <c r="H69" s="1171"/>
      <c r="I69" s="1172"/>
      <c r="J69" s="1174"/>
    </row>
    <row r="70" spans="1:10" ht="14.25">
      <c r="A70" s="1162"/>
      <c r="B70" s="1162"/>
      <c r="C70" s="1182" t="s">
        <v>781</v>
      </c>
      <c r="D70" s="1170" t="s">
        <v>779</v>
      </c>
      <c r="E70" s="1171"/>
      <c r="F70" s="1172"/>
      <c r="G70" s="1173">
        <v>0</v>
      </c>
      <c r="H70" s="1171"/>
      <c r="I70" s="1172"/>
      <c r="J70" s="1174"/>
    </row>
    <row r="71" spans="1:10" ht="14.25">
      <c r="A71" s="1162"/>
      <c r="B71" s="1162"/>
      <c r="C71" s="1182" t="s">
        <v>782</v>
      </c>
      <c r="D71" s="1170" t="s">
        <v>779</v>
      </c>
      <c r="E71" s="1171"/>
      <c r="F71" s="1172"/>
      <c r="G71" s="1173">
        <v>8329</v>
      </c>
      <c r="H71" s="1171"/>
      <c r="I71" s="1172"/>
      <c r="J71" s="1174"/>
    </row>
    <row r="72" spans="1:10" ht="15" thickBot="1">
      <c r="A72" s="1162"/>
      <c r="B72" s="1162"/>
      <c r="C72" s="1182" t="s">
        <v>783</v>
      </c>
      <c r="D72" s="1170" t="s">
        <v>779</v>
      </c>
      <c r="E72" s="1171"/>
      <c r="F72" s="1172"/>
      <c r="G72" s="1173">
        <v>31138</v>
      </c>
      <c r="H72" s="1171"/>
      <c r="I72" s="1172"/>
      <c r="J72" s="1174"/>
    </row>
    <row r="73" spans="1:10" ht="15" thickBot="1">
      <c r="A73" s="1162"/>
      <c r="B73" s="1162"/>
      <c r="C73" s="1183" t="s">
        <v>220</v>
      </c>
      <c r="D73" s="1170" t="s">
        <v>779</v>
      </c>
      <c r="E73" s="1185"/>
      <c r="F73" s="1186"/>
      <c r="G73" s="1186">
        <v>39740</v>
      </c>
      <c r="H73" s="1186"/>
      <c r="I73" s="1186"/>
      <c r="J73" s="1187"/>
    </row>
    <row r="74" spans="1:10" ht="15.75" thickBot="1">
      <c r="A74" s="1162"/>
      <c r="B74" s="1162"/>
      <c r="C74" s="1176"/>
      <c r="D74" s="1175"/>
      <c r="E74" s="1176"/>
      <c r="F74" s="1177"/>
      <c r="G74" s="1177"/>
      <c r="H74" s="1176"/>
      <c r="I74" s="1177"/>
      <c r="J74" s="1178"/>
    </row>
    <row r="75" spans="1:10" ht="14.25">
      <c r="A75" s="506"/>
      <c r="B75" s="506"/>
      <c r="C75" s="506"/>
      <c r="D75" s="506"/>
      <c r="E75" s="506"/>
      <c r="F75" s="506"/>
      <c r="G75" s="506"/>
    </row>
    <row r="76" spans="1:10" ht="14.25">
      <c r="A76" s="1162"/>
      <c r="B76" s="1162"/>
      <c r="C76" s="506"/>
      <c r="D76" s="506"/>
      <c r="E76" s="506"/>
      <c r="F76" s="506"/>
      <c r="G76" s="506"/>
    </row>
    <row r="77" spans="1:10" ht="14.25">
      <c r="A77" s="1162"/>
      <c r="B77" s="1162"/>
      <c r="C77" s="506"/>
      <c r="D77" s="506"/>
      <c r="E77" s="506"/>
      <c r="F77" s="506"/>
      <c r="G77" s="506"/>
    </row>
    <row r="78" spans="1:10" ht="14.25">
      <c r="A78" s="1162"/>
      <c r="B78" s="1162"/>
      <c r="C78" s="506"/>
      <c r="D78" s="506"/>
      <c r="E78" s="506"/>
      <c r="F78" s="506"/>
      <c r="G78" s="506"/>
    </row>
    <row r="79" spans="1:10" ht="14.25">
      <c r="A79" s="1162"/>
      <c r="B79" s="1162"/>
      <c r="C79" s="506"/>
      <c r="D79" s="506"/>
      <c r="E79" s="506"/>
      <c r="F79" s="506"/>
      <c r="G79" s="506"/>
    </row>
    <row r="80" spans="1:10" ht="14.25">
      <c r="A80" s="1162"/>
      <c r="B80" s="1162"/>
      <c r="C80" s="506"/>
      <c r="D80" s="506"/>
      <c r="E80" s="506"/>
      <c r="F80" s="506"/>
      <c r="G80" s="506"/>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7"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196">
        <v>155.30000000000001</v>
      </c>
      <c r="I11" s="1196">
        <v>158.46221499999999</v>
      </c>
      <c r="J11" s="1196">
        <v>164.61900800000001</v>
      </c>
      <c r="K11" s="1196">
        <v>7.529388</v>
      </c>
      <c r="L11" s="1196" t="e">
        <v>#DIV/0!</v>
      </c>
    </row>
    <row r="12" spans="1:12">
      <c r="B12" s="2" t="s">
        <v>787</v>
      </c>
      <c r="F12" s="2" t="s">
        <v>223</v>
      </c>
      <c r="H12" s="1196">
        <v>2.4392900000000002</v>
      </c>
      <c r="I12" s="1196">
        <v>0.36506899999999998</v>
      </c>
      <c r="J12" s="1196">
        <v>-0.91199699999999995</v>
      </c>
      <c r="K12" s="1196">
        <v>-17.267285000000001</v>
      </c>
      <c r="L12" s="1196">
        <v>-17.267285000000001</v>
      </c>
    </row>
    <row r="13" spans="1:12">
      <c r="B13" s="2" t="s">
        <v>788</v>
      </c>
      <c r="F13" s="2" t="s">
        <v>223</v>
      </c>
      <c r="H13" s="1196">
        <v>3.081448</v>
      </c>
      <c r="I13" s="1196">
        <v>-1.9054739999999999</v>
      </c>
      <c r="J13" s="1196">
        <v>2.5028890000000001</v>
      </c>
      <c r="K13" s="1196">
        <v>0</v>
      </c>
      <c r="L13" s="1196">
        <v>0</v>
      </c>
    </row>
    <row r="14" spans="1:12">
      <c r="B14" s="2" t="s">
        <v>789</v>
      </c>
      <c r="F14" s="2" t="s">
        <v>223</v>
      </c>
      <c r="H14" s="1196">
        <v>0.58791199999999999</v>
      </c>
      <c r="I14" s="1196">
        <v>1.2090430000000001</v>
      </c>
      <c r="J14" s="1196">
        <v>4.7731960000000004</v>
      </c>
      <c r="K14" s="1196">
        <v>2.5712950000000001</v>
      </c>
      <c r="L14" s="1196">
        <v>12.493830000000001</v>
      </c>
    </row>
    <row r="15" spans="1:12">
      <c r="H15" s="1197"/>
      <c r="I15" s="1197"/>
      <c r="J15" s="1197"/>
      <c r="K15" s="1197"/>
      <c r="L15" s="1197"/>
    </row>
    <row r="16" spans="1:12">
      <c r="B16" s="2" t="s">
        <v>790</v>
      </c>
      <c r="F16" s="2" t="s">
        <v>223</v>
      </c>
      <c r="H16" s="1198">
        <v>160.23282599999999</v>
      </c>
      <c r="I16" s="1198">
        <v>155.71276700000001</v>
      </c>
      <c r="J16" s="1198">
        <v>161.43670399999999</v>
      </c>
      <c r="K16" s="1198">
        <v>-12.309191999999999</v>
      </c>
      <c r="L16" s="1198" t="e">
        <v>#DIV/0!</v>
      </c>
    </row>
    <row r="17" spans="1:12">
      <c r="H17" s="1199"/>
      <c r="I17" s="1199"/>
      <c r="J17" s="1199"/>
      <c r="K17" s="1199"/>
      <c r="L17" s="1199"/>
    </row>
    <row r="18" spans="1:12">
      <c r="B18" s="2" t="s">
        <v>791</v>
      </c>
      <c r="F18" s="2" t="s">
        <v>223</v>
      </c>
      <c r="H18" s="1196">
        <v>161.37</v>
      </c>
      <c r="I18" s="1196">
        <v>160.11000000000001</v>
      </c>
      <c r="J18" s="1196">
        <v>163.97</v>
      </c>
      <c r="K18" s="1196">
        <v>0</v>
      </c>
      <c r="L18" s="1196">
        <v>0</v>
      </c>
    </row>
    <row r="19" spans="1:12">
      <c r="B19" s="2" t="s">
        <v>792</v>
      </c>
      <c r="F19" s="2" t="s">
        <v>223</v>
      </c>
      <c r="H19" s="1196">
        <v>0</v>
      </c>
      <c r="I19" s="1196">
        <v>0</v>
      </c>
      <c r="J19" s="1196">
        <v>0</v>
      </c>
      <c r="K19" s="1196">
        <v>0</v>
      </c>
      <c r="L19" s="1196">
        <v>0</v>
      </c>
    </row>
    <row r="20" spans="1:12">
      <c r="H20" s="1197"/>
      <c r="I20" s="1197"/>
      <c r="J20" s="1197"/>
      <c r="K20" s="1197"/>
      <c r="L20" s="1197"/>
    </row>
    <row r="21" spans="1:12">
      <c r="B21" s="2" t="s">
        <v>793</v>
      </c>
      <c r="F21" s="2" t="s">
        <v>223</v>
      </c>
      <c r="H21" s="1200">
        <v>1.1371739999999999</v>
      </c>
      <c r="I21" s="1200">
        <v>4.3972329999999999</v>
      </c>
      <c r="J21" s="1200">
        <v>2.533296</v>
      </c>
      <c r="K21" s="1200">
        <v>12.309191999999999</v>
      </c>
      <c r="L21" s="1200" t="e">
        <v>#DIV/0!</v>
      </c>
    </row>
    <row r="22" spans="1:12">
      <c r="H22" s="1199"/>
      <c r="I22" s="1199"/>
      <c r="J22" s="1199"/>
      <c r="K22" s="1199"/>
      <c r="L22" s="1199"/>
    </row>
    <row r="23" spans="1:12">
      <c r="H23" s="1199"/>
      <c r="I23" s="1199"/>
      <c r="J23" s="1199"/>
      <c r="K23" s="1199"/>
      <c r="L23" s="1199"/>
    </row>
    <row r="24" spans="1:12">
      <c r="A24" s="2" t="s">
        <v>794</v>
      </c>
      <c r="H24" s="1199"/>
      <c r="I24" s="1199"/>
      <c r="J24" s="1199"/>
      <c r="K24" s="1199"/>
      <c r="L24" s="1199"/>
    </row>
    <row r="25" spans="1:12">
      <c r="H25" s="1199"/>
      <c r="I25" s="1199"/>
      <c r="J25" s="1199"/>
      <c r="K25" s="1199"/>
      <c r="L25" s="1199"/>
    </row>
    <row r="26" spans="1:12">
      <c r="B26" s="2" t="s">
        <v>795</v>
      </c>
      <c r="F26" s="2" t="s">
        <v>223</v>
      </c>
      <c r="H26" s="1196">
        <v>0</v>
      </c>
      <c r="I26" s="1196">
        <v>1.5387E-2</v>
      </c>
      <c r="J26" s="1196">
        <v>2.3938999999999998E-2</v>
      </c>
      <c r="K26" s="1196">
        <v>0</v>
      </c>
      <c r="L26" s="1196">
        <v>0</v>
      </c>
    </row>
    <row r="27" spans="1:12">
      <c r="B27" s="2" t="s">
        <v>796</v>
      </c>
      <c r="F27" s="2" t="s">
        <v>223</v>
      </c>
      <c r="H27" s="1196">
        <v>0</v>
      </c>
      <c r="I27" s="1196">
        <v>0</v>
      </c>
      <c r="J27" s="1196">
        <v>0</v>
      </c>
      <c r="K27" s="1196">
        <v>0</v>
      </c>
      <c r="L27" s="1196">
        <v>0</v>
      </c>
    </row>
    <row r="28" spans="1:12">
      <c r="B28" s="2" t="s">
        <v>797</v>
      </c>
      <c r="F28" s="2" t="s">
        <v>223</v>
      </c>
      <c r="H28" s="1196">
        <v>0</v>
      </c>
      <c r="I28" s="1196">
        <v>0</v>
      </c>
      <c r="J28" s="1196">
        <v>-5.8479999999999999E-3</v>
      </c>
      <c r="K28" s="1196">
        <v>-8.0984E-2</v>
      </c>
      <c r="L28" s="1196">
        <v>-8.2198999999999994E-2</v>
      </c>
    </row>
    <row r="29" spans="1:12">
      <c r="H29" s="1197"/>
      <c r="I29" s="1197"/>
      <c r="J29" s="1197"/>
      <c r="K29" s="1197"/>
      <c r="L29" s="1197"/>
    </row>
    <row r="30" spans="1:12">
      <c r="B30" s="2" t="s">
        <v>794</v>
      </c>
      <c r="F30" s="2" t="s">
        <v>223</v>
      </c>
      <c r="H30" s="1198">
        <v>0</v>
      </c>
      <c r="I30" s="1198">
        <v>1.5387E-2</v>
      </c>
      <c r="J30" s="1198">
        <v>2.9787000000000001E-2</v>
      </c>
      <c r="K30" s="1198">
        <v>8.0984E-2</v>
      </c>
      <c r="L30" s="1198">
        <v>8.2198999999999994E-2</v>
      </c>
    </row>
    <row r="31" spans="1:12">
      <c r="H31" s="1199"/>
      <c r="I31" s="1199"/>
      <c r="J31" s="1199"/>
      <c r="K31" s="1199"/>
      <c r="L31" s="1199"/>
    </row>
    <row r="32" spans="1:12">
      <c r="B32" s="2" t="s">
        <v>798</v>
      </c>
      <c r="F32" s="2" t="s">
        <v>223</v>
      </c>
      <c r="H32" s="1196">
        <v>0</v>
      </c>
      <c r="I32" s="1196">
        <v>0.01</v>
      </c>
      <c r="J32" s="1196">
        <v>-0.05</v>
      </c>
      <c r="K32" s="1196">
        <v>0</v>
      </c>
      <c r="L32" s="1196">
        <v>0</v>
      </c>
    </row>
    <row r="33" spans="1:12">
      <c r="H33" s="1199"/>
      <c r="I33" s="1199"/>
      <c r="J33" s="1199"/>
      <c r="K33" s="1199"/>
      <c r="L33" s="1199"/>
    </row>
    <row r="34" spans="1:12">
      <c r="B34" s="2" t="s">
        <v>793</v>
      </c>
      <c r="F34" s="2" t="s">
        <v>223</v>
      </c>
      <c r="H34" s="1200">
        <v>0</v>
      </c>
      <c r="I34" s="1200">
        <v>-5.3870000000000003E-3</v>
      </c>
      <c r="J34" s="1200">
        <v>-7.9786999999999997E-2</v>
      </c>
      <c r="K34" s="1200">
        <v>-8.0984E-2</v>
      </c>
      <c r="L34" s="1200">
        <v>-8.2198999999999994E-2</v>
      </c>
    </row>
    <row r="35" spans="1:12">
      <c r="H35" s="1199"/>
      <c r="I35" s="1199"/>
      <c r="J35" s="1199"/>
      <c r="K35" s="1199"/>
      <c r="L35" s="1199"/>
    </row>
    <row r="36" spans="1:12">
      <c r="H36" s="1199"/>
      <c r="I36" s="1199"/>
      <c r="J36" s="1199"/>
      <c r="K36" s="1199"/>
      <c r="L36" s="1199"/>
    </row>
    <row r="37" spans="1:12">
      <c r="A37" s="2" t="s">
        <v>799</v>
      </c>
      <c r="H37" s="1201"/>
      <c r="I37" s="1201"/>
      <c r="J37" s="1201"/>
      <c r="K37" s="1201"/>
      <c r="L37" s="1201"/>
    </row>
    <row r="38" spans="1:12">
      <c r="B38" s="2" t="s">
        <v>800</v>
      </c>
      <c r="F38" s="2" t="s">
        <v>223</v>
      </c>
      <c r="H38" s="1196">
        <v>2.81</v>
      </c>
      <c r="I38" s="1196">
        <v>3.06</v>
      </c>
      <c r="J38" s="1196">
        <v>3.63</v>
      </c>
      <c r="K38" s="1196">
        <v>0</v>
      </c>
      <c r="L38" s="1196">
        <v>0</v>
      </c>
    </row>
    <row r="39" spans="1:12">
      <c r="B39" s="2" t="s">
        <v>801</v>
      </c>
      <c r="F39" s="2" t="s">
        <v>223</v>
      </c>
      <c r="H39" s="1196">
        <v>3.6498080000000002</v>
      </c>
      <c r="I39" s="1196">
        <v>4.2580520000000002</v>
      </c>
      <c r="J39" s="1202">
        <v>0</v>
      </c>
      <c r="K39" s="1202">
        <v>0</v>
      </c>
      <c r="L39" s="1202">
        <v>0</v>
      </c>
    </row>
    <row r="40" spans="1:12">
      <c r="H40" s="1199"/>
      <c r="I40" s="1199"/>
      <c r="J40" s="1199"/>
      <c r="K40" s="1199"/>
      <c r="L40" s="1199"/>
    </row>
    <row r="41" spans="1:12">
      <c r="H41" s="1203">
        <v>6.4598079999999998</v>
      </c>
      <c r="I41" s="1203">
        <v>7.3180519999999998</v>
      </c>
      <c r="J41" s="1203">
        <v>3.63</v>
      </c>
      <c r="K41" s="1203">
        <v>0</v>
      </c>
      <c r="L41" s="1203">
        <v>0</v>
      </c>
    </row>
    <row r="42" spans="1:12">
      <c r="H42" s="1201"/>
      <c r="I42" s="1201"/>
      <c r="J42" s="1201"/>
      <c r="K42" s="1201"/>
      <c r="L42" s="1201"/>
    </row>
    <row r="43" spans="1:12">
      <c r="H43" s="1201"/>
      <c r="I43" s="1201"/>
      <c r="J43" s="1201"/>
      <c r="K43" s="1201"/>
      <c r="L43" s="1201"/>
    </row>
    <row r="44" spans="1:12">
      <c r="A44" s="2" t="s">
        <v>802</v>
      </c>
      <c r="H44" s="1201"/>
      <c r="I44" s="1201"/>
      <c r="J44" s="1201"/>
      <c r="K44" s="1201"/>
      <c r="L44" s="1201"/>
    </row>
    <row r="45" spans="1:12">
      <c r="B45" s="2" t="s">
        <v>803</v>
      </c>
      <c r="F45" s="2" t="s">
        <v>223</v>
      </c>
      <c r="H45" s="1196">
        <v>25.34</v>
      </c>
      <c r="I45" s="1196">
        <v>34.46</v>
      </c>
      <c r="J45" s="1196">
        <v>36.6</v>
      </c>
      <c r="K45" s="1196">
        <v>0</v>
      </c>
      <c r="L45" s="1196">
        <v>0</v>
      </c>
    </row>
    <row r="46" spans="1:12">
      <c r="B46" s="2" t="s">
        <v>804</v>
      </c>
      <c r="F46" s="2" t="s">
        <v>223</v>
      </c>
      <c r="H46" s="1204">
        <v>4.01</v>
      </c>
      <c r="I46" s="1204">
        <v>4.32</v>
      </c>
      <c r="J46" s="1204">
        <v>4.3099999999999996</v>
      </c>
      <c r="K46" s="1204">
        <v>0</v>
      </c>
      <c r="L46" s="1204">
        <v>0</v>
      </c>
    </row>
    <row r="47" spans="1:12">
      <c r="B47" s="2" t="s">
        <v>805</v>
      </c>
      <c r="F47" s="2" t="s">
        <v>223</v>
      </c>
      <c r="H47" s="1204">
        <v>0.14000000000000001</v>
      </c>
      <c r="I47" s="1204">
        <v>0.87</v>
      </c>
      <c r="J47" s="1204">
        <v>1.28</v>
      </c>
      <c r="K47" s="1204">
        <v>0</v>
      </c>
      <c r="L47" s="1204">
        <v>0</v>
      </c>
    </row>
    <row r="48" spans="1:12">
      <c r="H48" s="1201"/>
      <c r="I48" s="1201"/>
      <c r="J48" s="1201"/>
      <c r="K48" s="1201"/>
      <c r="L48" s="1201"/>
    </row>
    <row r="49" spans="2:12">
      <c r="H49" s="1200">
        <v>29.49</v>
      </c>
      <c r="I49" s="1200">
        <v>39.65</v>
      </c>
      <c r="J49" s="1200">
        <v>42.19</v>
      </c>
      <c r="K49" s="1200">
        <v>0</v>
      </c>
      <c r="L49" s="1200">
        <v>0</v>
      </c>
    </row>
    <row r="50" spans="2:12">
      <c r="H50" s="1205"/>
      <c r="I50" s="1205"/>
      <c r="J50" s="1205"/>
      <c r="K50" s="1205"/>
      <c r="L50" s="1205"/>
    </row>
    <row r="51" spans="2:12">
      <c r="H51" s="1206"/>
      <c r="I51" s="1206"/>
      <c r="J51" s="1206"/>
      <c r="K51" s="1206"/>
      <c r="L51" s="1206"/>
    </row>
    <row r="52" spans="2:12">
      <c r="H52" s="1205"/>
      <c r="I52" s="1205"/>
      <c r="J52" s="1205"/>
      <c r="K52" s="1205"/>
      <c r="L52" s="1205"/>
    </row>
    <row r="53" spans="2:12">
      <c r="H53"/>
      <c r="I53"/>
      <c r="J53"/>
      <c r="K53"/>
      <c r="L53"/>
    </row>
    <row r="54" spans="2:12">
      <c r="B54" s="2" t="s">
        <v>806</v>
      </c>
      <c r="C54" s="2" t="s">
        <v>807</v>
      </c>
      <c r="H54" s="1207"/>
      <c r="I54" s="1207"/>
      <c r="J54" s="1207"/>
      <c r="K54" s="1207"/>
      <c r="L54" s="1207"/>
    </row>
    <row r="55" spans="2:12">
      <c r="B55" s="2" t="s">
        <v>808</v>
      </c>
      <c r="C55" s="2" t="s">
        <v>809</v>
      </c>
      <c r="H55" s="1208"/>
      <c r="I55" s="1208"/>
      <c r="J55" s="1208"/>
      <c r="K55" s="1208"/>
      <c r="L55" s="1208"/>
    </row>
    <row r="56" spans="2:12">
      <c r="B56" s="2" t="s">
        <v>786</v>
      </c>
      <c r="H56" s="1207"/>
      <c r="I56" s="1207"/>
      <c r="J56" s="1207"/>
      <c r="K56" s="1207"/>
      <c r="L56" s="1207"/>
    </row>
    <row r="57" spans="2:12" ht="18">
      <c r="B57" s="2" t="s">
        <v>810</v>
      </c>
      <c r="D57" s="2" t="s">
        <v>999</v>
      </c>
      <c r="H57" s="1207"/>
      <c r="I57" s="1207"/>
      <c r="J57" s="1207"/>
      <c r="K57" s="1207"/>
      <c r="L57" s="1207"/>
    </row>
    <row r="58" spans="2:12">
      <c r="H58" s="1207"/>
      <c r="I58" s="1207"/>
      <c r="J58" s="1209" t="s">
        <v>811</v>
      </c>
      <c r="K58" s="1209"/>
      <c r="L58" s="1207"/>
    </row>
    <row r="59" spans="2:12">
      <c r="H59" s="1207"/>
      <c r="I59" s="1207"/>
      <c r="J59" s="1210" t="s">
        <v>101</v>
      </c>
      <c r="K59" s="1207"/>
      <c r="L59" s="1207"/>
    </row>
    <row r="60" spans="2:12">
      <c r="B60" s="2" t="s">
        <v>812</v>
      </c>
      <c r="C60" s="2" t="s">
        <v>813</v>
      </c>
      <c r="H60" s="1207"/>
      <c r="I60" s="1207"/>
      <c r="J60" s="1207"/>
      <c r="K60" s="1211" t="s">
        <v>814</v>
      </c>
      <c r="L60" s="1211"/>
    </row>
    <row r="61" spans="2:12" ht="18">
      <c r="B61" s="2" t="s">
        <v>1000</v>
      </c>
      <c r="C61" s="2" t="s">
        <v>815</v>
      </c>
      <c r="F61" s="2" t="s">
        <v>223</v>
      </c>
      <c r="H61" s="1207"/>
      <c r="I61" s="1207"/>
      <c r="J61" s="1212">
        <v>147.92292900000001</v>
      </c>
      <c r="K61" s="1213" t="s">
        <v>816</v>
      </c>
      <c r="L61" s="1207"/>
    </row>
    <row r="62" spans="2:12" ht="18">
      <c r="B62" s="2" t="s">
        <v>1001</v>
      </c>
      <c r="C62" s="2" t="s">
        <v>817</v>
      </c>
      <c r="H62" s="1207"/>
      <c r="I62" s="1207"/>
      <c r="J62" s="1212">
        <v>1.06396</v>
      </c>
      <c r="K62" s="1213" t="s">
        <v>818</v>
      </c>
      <c r="L62" s="1207"/>
    </row>
    <row r="63" spans="2:12" ht="18">
      <c r="B63" s="2" t="s">
        <v>1002</v>
      </c>
      <c r="C63" s="2" t="s">
        <v>819</v>
      </c>
      <c r="F63" s="2" t="s">
        <v>223</v>
      </c>
      <c r="H63" s="1207"/>
      <c r="I63" s="1207"/>
      <c r="J63" s="1212"/>
      <c r="K63" s="1213" t="s">
        <v>820</v>
      </c>
      <c r="L63" s="1207"/>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3" workbookViewId="0">
      <selection activeCell="E36" sqref="E36"/>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19.989999999999998</v>
      </c>
      <c r="F20" s="2" t="s">
        <v>830</v>
      </c>
      <c r="G20" s="2">
        <f t="shared" ref="G20:G83" si="0">IF(ISNUMBER(E20),E20,IF(H20&gt;0,F20," "))</f>
        <v>19.989999999999998</v>
      </c>
      <c r="H20" s="2">
        <f>IF(ISBLANK('FBPQ T4'!E12)," ",'FBPQ T4'!AE12)</f>
        <v>3192</v>
      </c>
      <c r="I20" s="2">
        <f t="shared" ref="I20:I83" si="1">IF(ISERROR(G20*H20)," ",G20*H20)</f>
        <v>63808.079999999994</v>
      </c>
    </row>
    <row r="21" spans="1:9">
      <c r="C21" s="2" t="s">
        <v>112</v>
      </c>
      <c r="D21" s="2" t="s">
        <v>542</v>
      </c>
      <c r="E21" s="2">
        <f>IF(ISNUMBER('FBPQ C2'!J13),'FBPQ C2'!J13,IF(ISNUMBER('FBPQ C2'!I13),'FBPQ C2'!I13,""))</f>
        <v>0.32</v>
      </c>
      <c r="F21" s="2" t="s">
        <v>830</v>
      </c>
      <c r="G21" s="2">
        <f t="shared" si="0"/>
        <v>0.32</v>
      </c>
      <c r="H21" s="2">
        <f>IF(ISBLANK('FBPQ T4'!E13)," ",'FBPQ T4'!AE13)</f>
        <v>317000</v>
      </c>
      <c r="I21" s="2">
        <f t="shared" si="1"/>
        <v>101440</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1.92</v>
      </c>
      <c r="F24" s="2" t="s">
        <v>830</v>
      </c>
      <c r="G24" s="2">
        <f t="shared" si="0"/>
        <v>1.92</v>
      </c>
      <c r="H24" s="2">
        <f>IF(ISBLANK('FBPQ T4'!E16)," ",'FBPQ T4'!AE16)</f>
        <v>97546</v>
      </c>
      <c r="I24" s="2">
        <f t="shared" si="1"/>
        <v>187288.32000000001</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t="str">
        <f>IF(ISNUMBER('FBPQ C2'!J19),'FBPQ C2'!J19,IF(ISNUMBER('FBPQ C2'!I19),'FBPQ C2'!I19,""))</f>
        <v/>
      </c>
      <c r="F27" s="2" t="s">
        <v>830</v>
      </c>
      <c r="G27" s="2" t="str">
        <f t="shared" si="0"/>
        <v xml:space="preserve"> </v>
      </c>
      <c r="H27" s="2">
        <f>IF(ISBLANK('FBPQ T4'!E19)," ",'FBPQ T4'!AE19)</f>
        <v>0</v>
      </c>
      <c r="I27" s="2" t="str">
        <f t="shared" si="1"/>
        <v xml:space="preserve"> </v>
      </c>
    </row>
    <row r="28" spans="1:9">
      <c r="C28" s="2" t="s">
        <v>117</v>
      </c>
      <c r="D28" s="2" t="s">
        <v>541</v>
      </c>
      <c r="E28" s="2">
        <f>IF(ISNUMBER('FBPQ C2'!J20),'FBPQ C2'!J20,IF(ISNUMBER('FBPQ C2'!I20),'FBPQ C2'!I20,""))</f>
        <v>67.22</v>
      </c>
      <c r="F28" s="2" t="s">
        <v>830</v>
      </c>
      <c r="G28" s="2">
        <f t="shared" si="0"/>
        <v>67.22</v>
      </c>
      <c r="H28" s="2">
        <f>IF(ISBLANK('FBPQ T4'!E20)," ",'FBPQ T4'!AE20)</f>
        <v>4772.09</v>
      </c>
      <c r="I28" s="2">
        <f t="shared" si="1"/>
        <v>320779.8898</v>
      </c>
    </row>
    <row r="29" spans="1:9">
      <c r="C29" s="2" t="s">
        <v>118</v>
      </c>
      <c r="D29" s="2" t="s">
        <v>541</v>
      </c>
      <c r="E29" s="2">
        <f>IF(ISNUMBER('FBPQ C2'!J21),'FBPQ C2'!J21,IF(ISNUMBER('FBPQ C2'!I21),'FBPQ C2'!I21,""))</f>
        <v>75.91</v>
      </c>
      <c r="F29" s="2" t="s">
        <v>830</v>
      </c>
      <c r="G29" s="2">
        <f t="shared" si="0"/>
        <v>75.91</v>
      </c>
      <c r="H29" s="2">
        <f>IF(ISBLANK('FBPQ T4'!E21)," ",'FBPQ T4'!AE21)</f>
        <v>6194.5</v>
      </c>
      <c r="I29" s="2">
        <f t="shared" si="1"/>
        <v>470224.495</v>
      </c>
    </row>
    <row r="30" spans="1:9">
      <c r="C30" s="2" t="s">
        <v>119</v>
      </c>
      <c r="D30" s="2" t="s">
        <v>542</v>
      </c>
      <c r="E30" s="2">
        <f>IF(ISNUMBER('FBPQ C2'!J22),'FBPQ C2'!J22,IF(ISNUMBER('FBPQ C2'!I22),'FBPQ C2'!I22,""))</f>
        <v>0.71</v>
      </c>
      <c r="F30" s="2" t="s">
        <v>830</v>
      </c>
      <c r="G30" s="2">
        <f t="shared" si="0"/>
        <v>0.71</v>
      </c>
      <c r="H30" s="2">
        <f>IF(ISBLANK('FBPQ T4'!E22)," ",'FBPQ T4'!AE22)</f>
        <v>778846</v>
      </c>
      <c r="I30" s="2">
        <f t="shared" si="1"/>
        <v>552980.65999999992</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8.06</v>
      </c>
      <c r="F33" s="2" t="s">
        <v>830</v>
      </c>
      <c r="G33" s="2">
        <f t="shared" si="0"/>
        <v>8.06</v>
      </c>
      <c r="H33" s="2">
        <f>IF(ISBLANK('FBPQ T4'!E25)," ",'FBPQ T4'!AE25)</f>
        <v>4081</v>
      </c>
      <c r="I33" s="2">
        <f t="shared" si="1"/>
        <v>32892.86</v>
      </c>
    </row>
    <row r="34" spans="1:9">
      <c r="C34" s="2" t="s">
        <v>122</v>
      </c>
      <c r="D34" s="2" t="s">
        <v>542</v>
      </c>
      <c r="E34" s="2">
        <f>IF(ISNUMBER('FBPQ C2'!J26),'FBPQ C2'!J26,IF(ISNUMBER('FBPQ C2'!I26),'FBPQ C2'!I26,""))</f>
        <v>8.4700000000000006</v>
      </c>
      <c r="F34" s="2" t="s">
        <v>830</v>
      </c>
      <c r="G34" s="2">
        <f t="shared" si="0"/>
        <v>8.4700000000000006</v>
      </c>
      <c r="H34" s="2">
        <f>IF(ISBLANK('FBPQ T4'!E26)," ",'FBPQ T4'!AE26)</f>
        <v>3785</v>
      </c>
      <c r="I34" s="2">
        <f t="shared" si="1"/>
        <v>32058.95</v>
      </c>
    </row>
    <row r="35" spans="1:9">
      <c r="C35" s="2" t="s">
        <v>123</v>
      </c>
      <c r="D35" s="2" t="s">
        <v>542</v>
      </c>
      <c r="E35" s="2">
        <f>IF(ISNUMBER('FBPQ C2'!J27),'FBPQ C2'!J27,IF(ISNUMBER('FBPQ C2'!I27),'FBPQ C2'!I27,""))</f>
        <v>10.53</v>
      </c>
      <c r="F35" s="2" t="s">
        <v>830</v>
      </c>
      <c r="G35" s="2">
        <f t="shared" si="0"/>
        <v>10.53</v>
      </c>
      <c r="H35" s="2">
        <f>IF(ISBLANK('FBPQ T4'!E27)," ",'FBPQ T4'!AE27)</f>
        <v>199</v>
      </c>
      <c r="I35" s="2">
        <f t="shared" si="1"/>
        <v>2095.4699999999998</v>
      </c>
    </row>
    <row r="36" spans="1:9">
      <c r="C36" s="2" t="s">
        <v>124</v>
      </c>
      <c r="D36" s="2" t="s">
        <v>542</v>
      </c>
      <c r="E36" s="2" t="str">
        <f>IF(ISNUMBER('FBPQ C2'!J28),'FBPQ C2'!J28,IF(ISNUMBER('FBPQ C2'!I28),'FBPQ C2'!I28,""))</f>
        <v/>
      </c>
      <c r="F36" s="2" t="s">
        <v>830</v>
      </c>
      <c r="G36" s="2" t="str">
        <f t="shared" si="0"/>
        <v>DATA</v>
      </c>
      <c r="H36" s="2">
        <f>IF(ISBLANK('FBPQ T4'!E28)," ",'FBPQ T4'!AE28)</f>
        <v>3645</v>
      </c>
      <c r="I36" s="2" t="str">
        <f t="shared" si="1"/>
        <v xml:space="preserve"> </v>
      </c>
    </row>
    <row r="37" spans="1:9">
      <c r="C37" s="2" t="s">
        <v>125</v>
      </c>
      <c r="D37" s="2" t="s">
        <v>542</v>
      </c>
      <c r="E37" s="2" t="str">
        <f>IF(ISNUMBER('FBPQ C2'!J29),'FBPQ C2'!J29,IF(ISNUMBER('FBPQ C2'!I29),'FBPQ C2'!I29,""))</f>
        <v/>
      </c>
      <c r="F37" s="2" t="s">
        <v>830</v>
      </c>
      <c r="G37" s="2" t="str">
        <f t="shared" si="0"/>
        <v>DATA</v>
      </c>
      <c r="H37" s="2">
        <f>IF(ISBLANK('FBPQ T4'!E29)," ",'FBPQ T4'!AE29)</f>
        <v>31376</v>
      </c>
      <c r="I37" s="2" t="str">
        <f t="shared" si="1"/>
        <v xml:space="preserve"> </v>
      </c>
    </row>
    <row r="38" spans="1:9">
      <c r="C38" s="2" t="s">
        <v>126</v>
      </c>
      <c r="D38" s="2" t="s">
        <v>542</v>
      </c>
      <c r="E38" s="2" t="str">
        <f>IF(ISNUMBER('FBPQ C2'!J30),'FBPQ C2'!J30,IF(ISNUMBER('FBPQ C2'!I30),'FBPQ C2'!I30,""))</f>
        <v/>
      </c>
      <c r="F38" s="2" t="s">
        <v>830</v>
      </c>
      <c r="G38" s="2" t="str">
        <f t="shared" si="0"/>
        <v>DATA</v>
      </c>
      <c r="H38" s="2">
        <f>IF(ISBLANK('FBPQ T4'!E30)," ",'FBPQ T4'!AE30)</f>
        <v>2653</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20.82</v>
      </c>
      <c r="F42" s="2" t="s">
        <v>830</v>
      </c>
      <c r="G42" s="2">
        <f t="shared" si="0"/>
        <v>20.82</v>
      </c>
      <c r="H42" s="2">
        <f>IF(ISBLANK('FBPQ T4'!E34)," ",'FBPQ T4'!AE34)</f>
        <v>12207</v>
      </c>
      <c r="I42" s="2">
        <f t="shared" si="1"/>
        <v>254149.74</v>
      </c>
    </row>
    <row r="43" spans="1:9">
      <c r="C43" s="2" t="s">
        <v>129</v>
      </c>
      <c r="D43" s="2" t="s">
        <v>541</v>
      </c>
      <c r="E43" s="2" t="str">
        <f>IF(ISNUMBER('FBPQ C2'!J35),'FBPQ C2'!J35,IF(ISNUMBER('FBPQ C2'!I35),'FBPQ C2'!I35,""))</f>
        <v/>
      </c>
      <c r="F43" s="2" t="s">
        <v>830</v>
      </c>
      <c r="G43" s="2" t="str">
        <f t="shared" si="0"/>
        <v xml:space="preserve"> </v>
      </c>
      <c r="H43" s="2">
        <f>IF(ISBLANK('FBPQ T4'!E35)," ",'FBPQ T4'!AE35)</f>
        <v>0</v>
      </c>
      <c r="I43" s="2" t="str">
        <f t="shared" si="1"/>
        <v xml:space="preserve"> </v>
      </c>
    </row>
    <row r="44" spans="1:9">
      <c r="C44" s="2" t="s">
        <v>130</v>
      </c>
      <c r="D44" s="2" t="s">
        <v>541</v>
      </c>
      <c r="E44" s="2" t="str">
        <f>IF(ISNUMBER('FBPQ C2'!J36),'FBPQ C2'!J36,IF(ISNUMBER('FBPQ C2'!I36),'FBPQ C2'!I36,""))</f>
        <v/>
      </c>
      <c r="F44" s="2" t="s">
        <v>830</v>
      </c>
      <c r="G44" s="2" t="str">
        <f t="shared" si="0"/>
        <v xml:space="preserve"> </v>
      </c>
      <c r="H44" s="2">
        <f>IF(ISBLANK('FBPQ T4'!E36)," ",'FBPQ T4'!AE36)</f>
        <v>0</v>
      </c>
      <c r="I44" s="2" t="str">
        <f t="shared" si="1"/>
        <v xml:space="preserve"> </v>
      </c>
    </row>
    <row r="45" spans="1:9">
      <c r="C45" s="2" t="s">
        <v>131</v>
      </c>
      <c r="D45" s="2" t="s">
        <v>541</v>
      </c>
      <c r="E45" s="2" t="str">
        <f>IF(ISNUMBER('FBPQ C2'!J37),'FBPQ C2'!J37,IF(ISNUMBER('FBPQ C2'!I37),'FBPQ C2'!I37,""))</f>
        <v/>
      </c>
      <c r="F45" s="2" t="s">
        <v>830</v>
      </c>
      <c r="G45" s="2" t="str">
        <f t="shared" si="0"/>
        <v xml:space="preserve"> </v>
      </c>
      <c r="H45" s="2">
        <f>IF(ISBLANK('FBPQ T4'!E37)," ",'FBPQ T4'!AE37)</f>
        <v>0</v>
      </c>
      <c r="I45" s="2" t="str">
        <f t="shared" si="1"/>
        <v xml:space="preserve"> </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2.0499999999999998</v>
      </c>
      <c r="F48" s="2" t="s">
        <v>830</v>
      </c>
      <c r="G48" s="2">
        <f t="shared" si="0"/>
        <v>2.0499999999999998</v>
      </c>
      <c r="H48" s="2">
        <f>IF(ISBLANK('FBPQ T4'!E40)," ",'FBPQ T4'!AE40)</f>
        <v>162533</v>
      </c>
      <c r="I48" s="2">
        <f t="shared" si="1"/>
        <v>333192.64999999997</v>
      </c>
    </row>
    <row r="49" spans="2:9">
      <c r="C49" s="2" t="s">
        <v>133</v>
      </c>
      <c r="D49" s="2" t="s">
        <v>542</v>
      </c>
      <c r="E49" s="2" t="str">
        <f>IF(ISNUMBER('FBPQ C2'!J41),'FBPQ C2'!J41,IF(ISNUMBER('FBPQ C2'!I41),'FBPQ C2'!I41,""))</f>
        <v/>
      </c>
      <c r="F49" s="2" t="s">
        <v>830</v>
      </c>
      <c r="G49" s="2" t="str">
        <f t="shared" si="0"/>
        <v xml:space="preserve"> </v>
      </c>
      <c r="H49" s="2">
        <f>IF(ISBLANK('FBPQ T4'!E41)," ",'FBPQ T4'!AE41)</f>
        <v>0</v>
      </c>
      <c r="I49" s="2" t="str">
        <f t="shared" si="1"/>
        <v xml:space="preserve"> </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84.36</v>
      </c>
      <c r="F52" s="2" t="s">
        <v>830</v>
      </c>
      <c r="G52" s="2">
        <f t="shared" si="0"/>
        <v>84.36</v>
      </c>
      <c r="H52" s="2">
        <f>IF(ISBLANK('FBPQ T4'!E44)," ",'FBPQ T4'!AE44)</f>
        <v>5461.7</v>
      </c>
      <c r="I52" s="2">
        <f t="shared" si="1"/>
        <v>460749.01199999999</v>
      </c>
    </row>
    <row r="53" spans="2:9">
      <c r="C53" s="2" t="s">
        <v>136</v>
      </c>
      <c r="D53" s="2" t="s">
        <v>541</v>
      </c>
      <c r="E53" s="2" t="str">
        <f>IF(ISNUMBER('FBPQ C2'!J45),'FBPQ C2'!J45,IF(ISNUMBER('FBPQ C2'!I45),'FBPQ C2'!I45,""))</f>
        <v/>
      </c>
      <c r="F53" s="2" t="s">
        <v>830</v>
      </c>
      <c r="G53" s="2" t="str">
        <f t="shared" si="0"/>
        <v xml:space="preserve"> </v>
      </c>
      <c r="H53" s="2">
        <f>IF(ISBLANK('FBPQ T4'!E45)," ",'FBPQ T4'!AE45)</f>
        <v>0</v>
      </c>
      <c r="I53" s="2" t="str">
        <f t="shared" si="1"/>
        <v xml:space="preserve"> </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535.69000000000005</v>
      </c>
      <c r="F56" s="2" t="s">
        <v>830</v>
      </c>
      <c r="G56" s="2">
        <f t="shared" si="0"/>
        <v>535.69000000000005</v>
      </c>
      <c r="H56" s="2">
        <f>IF(ISBLANK('FBPQ T4'!E48)," ",'FBPQ T4'!AE48)</f>
        <v>5</v>
      </c>
      <c r="I56" s="2">
        <f t="shared" si="1"/>
        <v>2678.4500000000003</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8.31</v>
      </c>
      <c r="F59" s="2" t="s">
        <v>830</v>
      </c>
      <c r="G59" s="2">
        <f t="shared" si="0"/>
        <v>8.31</v>
      </c>
      <c r="H59" s="2">
        <f>IF(ISBLANK('FBPQ T4'!E51)," ",'FBPQ T4'!AE51)</f>
        <v>913</v>
      </c>
      <c r="I59" s="2">
        <f t="shared" si="1"/>
        <v>7587.0300000000007</v>
      </c>
    </row>
    <row r="60" spans="2:9">
      <c r="C60" s="2" t="s">
        <v>140</v>
      </c>
      <c r="D60" s="2" t="s">
        <v>542</v>
      </c>
      <c r="E60" s="2">
        <f>IF(ISNUMBER('FBPQ C2'!J52),'FBPQ C2'!J52,IF(ISNUMBER('FBPQ C2'!I52),'FBPQ C2'!I52,""))</f>
        <v>24.52</v>
      </c>
      <c r="F60" s="2" t="s">
        <v>830</v>
      </c>
      <c r="G60" s="2">
        <f t="shared" si="0"/>
        <v>24.52</v>
      </c>
      <c r="H60" s="2">
        <f>IF(ISBLANK('FBPQ T4'!E52)," ",'FBPQ T4'!AE52)</f>
        <v>3015</v>
      </c>
      <c r="I60" s="2">
        <f t="shared" si="1"/>
        <v>73927.8</v>
      </c>
    </row>
    <row r="61" spans="2:9">
      <c r="C61" s="2" t="s">
        <v>141</v>
      </c>
      <c r="D61" s="2" t="s">
        <v>542</v>
      </c>
      <c r="E61" s="2">
        <f>IF(ISNUMBER('FBPQ C2'!J53),'FBPQ C2'!J53,IF(ISNUMBER('FBPQ C2'!I53),'FBPQ C2'!I53,""))</f>
        <v>7.06</v>
      </c>
      <c r="F61" s="2" t="s">
        <v>830</v>
      </c>
      <c r="G61" s="2">
        <f t="shared" si="0"/>
        <v>7.06</v>
      </c>
      <c r="H61" s="2">
        <f>IF(ISBLANK('FBPQ T4'!E53)," ",'FBPQ T4'!AE53)</f>
        <v>148</v>
      </c>
      <c r="I61" s="2">
        <f t="shared" si="1"/>
        <v>1044.8799999999999</v>
      </c>
    </row>
    <row r="62" spans="2:9">
      <c r="C62" s="2" t="s">
        <v>142</v>
      </c>
      <c r="D62" s="2" t="s">
        <v>542</v>
      </c>
      <c r="E62" s="2">
        <f>IF(ISNUMBER('FBPQ C2'!J54),'FBPQ C2'!J54,IF(ISNUMBER('FBPQ C2'!I54),'FBPQ C2'!I54,""))</f>
        <v>10.15</v>
      </c>
      <c r="F62" s="2" t="s">
        <v>830</v>
      </c>
      <c r="G62" s="2">
        <f t="shared" si="0"/>
        <v>10.15</v>
      </c>
      <c r="H62" s="2">
        <f>IF(ISBLANK('FBPQ T4'!E54)," ",'FBPQ T4'!AE54)</f>
        <v>2330</v>
      </c>
      <c r="I62" s="2">
        <f t="shared" si="1"/>
        <v>23649.5</v>
      </c>
    </row>
    <row r="63" spans="2:9">
      <c r="C63" s="2" t="s">
        <v>143</v>
      </c>
      <c r="D63" s="2" t="s">
        <v>542</v>
      </c>
      <c r="E63" s="2">
        <f>IF(ISNUMBER('FBPQ C2'!J55),'FBPQ C2'!J55,IF(ISNUMBER('FBPQ C2'!I55),'FBPQ C2'!I55,""))</f>
        <v>12.28</v>
      </c>
      <c r="F63" s="2" t="s">
        <v>830</v>
      </c>
      <c r="G63" s="2">
        <f t="shared" si="0"/>
        <v>12.28</v>
      </c>
      <c r="H63" s="2">
        <f>IF(ISBLANK('FBPQ T4'!E55)," ",'FBPQ T4'!AE55)</f>
        <v>7526</v>
      </c>
      <c r="I63" s="2">
        <f t="shared" si="1"/>
        <v>92419.28</v>
      </c>
    </row>
    <row r="64" spans="2:9">
      <c r="C64" s="2" t="s">
        <v>144</v>
      </c>
      <c r="D64" s="2" t="s">
        <v>542</v>
      </c>
      <c r="E64" s="2" t="str">
        <f>IF(ISNUMBER('FBPQ C2'!J56),'FBPQ C2'!J56,IF(ISNUMBER('FBPQ C2'!I56),'FBPQ C2'!I56,""))</f>
        <v/>
      </c>
      <c r="F64" s="2" t="s">
        <v>830</v>
      </c>
      <c r="G64" s="2" t="str">
        <f t="shared" si="0"/>
        <v>DATA</v>
      </c>
      <c r="H64" s="2">
        <f>IF(ISBLANK('FBPQ T4'!E56)," ",'FBPQ T4'!AE56)</f>
        <v>5702</v>
      </c>
      <c r="I64" s="2" t="str">
        <f t="shared" si="1"/>
        <v xml:space="preserve"> </v>
      </c>
    </row>
    <row r="65" spans="1:9">
      <c r="C65" s="2" t="s">
        <v>145</v>
      </c>
      <c r="D65" s="2" t="s">
        <v>542</v>
      </c>
      <c r="E65" s="2" t="str">
        <f>IF(ISNUMBER('FBPQ C2'!J57),'FBPQ C2'!J57,IF(ISNUMBER('FBPQ C2'!I57),'FBPQ C2'!I57,""))</f>
        <v/>
      </c>
      <c r="F65" s="2" t="s">
        <v>830</v>
      </c>
      <c r="G65" s="2" t="str">
        <f t="shared" si="0"/>
        <v>DATA</v>
      </c>
      <c r="H65" s="2">
        <f>IF(ISBLANK('FBPQ T4'!E57)," ",'FBPQ T4'!AE57)</f>
        <v>1</v>
      </c>
      <c r="I65" s="2" t="str">
        <f t="shared" si="1"/>
        <v xml:space="preserve"> </v>
      </c>
    </row>
    <row r="66" spans="1:9">
      <c r="C66" s="2" t="s">
        <v>146</v>
      </c>
      <c r="D66" s="2" t="s">
        <v>542</v>
      </c>
      <c r="E66" s="2" t="str">
        <f>IF(ISNUMBER('FBPQ C2'!J58),'FBPQ C2'!J58,IF(ISNUMBER('FBPQ C2'!I58),'FBPQ C2'!I58,""))</f>
        <v/>
      </c>
      <c r="F66" s="2" t="s">
        <v>830</v>
      </c>
      <c r="G66" s="2" t="str">
        <f t="shared" si="0"/>
        <v xml:space="preserve"> </v>
      </c>
      <c r="H66" s="2">
        <f>IF(ISBLANK('FBPQ T4'!E58)," ",'FBPQ T4'!AE58)</f>
        <v>0</v>
      </c>
      <c r="I66" s="2" t="str">
        <f t="shared" si="1"/>
        <v xml:space="preserve"> </v>
      </c>
    </row>
    <row r="67" spans="1:9">
      <c r="C67" s="2" t="s">
        <v>147</v>
      </c>
      <c r="D67" s="2" t="s">
        <v>542</v>
      </c>
      <c r="E67" s="2" t="str">
        <f>IF(ISNUMBER('FBPQ C2'!J59),'FBPQ C2'!J59,IF(ISNUMBER('FBPQ C2'!I59),'FBPQ C2'!I59,""))</f>
        <v/>
      </c>
      <c r="F67" s="2" t="s">
        <v>830</v>
      </c>
      <c r="G67" s="2" t="str">
        <f t="shared" si="0"/>
        <v xml:space="preserve"> </v>
      </c>
      <c r="H67" s="2">
        <f>IF(ISBLANK('FBPQ T4'!E59)," ",'FBPQ T4'!AE59)</f>
        <v>0</v>
      </c>
      <c r="I67" s="2" t="str">
        <f t="shared" si="1"/>
        <v xml:space="preserve"> </v>
      </c>
    </row>
    <row r="68" spans="1:9">
      <c r="C68" s="2" t="s">
        <v>148</v>
      </c>
      <c r="D68" s="2" t="s">
        <v>542</v>
      </c>
      <c r="E68" s="2" t="str">
        <f>IF(ISNUMBER('FBPQ C2'!J60),'FBPQ C2'!J60,IF(ISNUMBER('FBPQ C2'!I60),'FBPQ C2'!I60,""))</f>
        <v/>
      </c>
      <c r="F68" s="2" t="s">
        <v>830</v>
      </c>
      <c r="G68" s="2" t="str">
        <f t="shared" si="0"/>
        <v xml:space="preserve"> </v>
      </c>
      <c r="H68" s="2">
        <f>IF(ISBLANK('FBPQ T4'!E60)," ",'FBPQ T4'!AE60)</f>
        <v>0</v>
      </c>
      <c r="I68" s="2" t="str">
        <f t="shared" si="1"/>
        <v xml:space="preserve"> </v>
      </c>
    </row>
    <row r="69" spans="1:9">
      <c r="C69" s="2" t="s">
        <v>149</v>
      </c>
      <c r="D69" s="2" t="s">
        <v>542</v>
      </c>
      <c r="E69" s="2" t="str">
        <f>IF(ISNUMBER('FBPQ C2'!J61),'FBPQ C2'!J61,IF(ISNUMBER('FBPQ C2'!I61),'FBPQ C2'!I61,""))</f>
        <v/>
      </c>
      <c r="F69" s="2" t="s">
        <v>830</v>
      </c>
      <c r="G69" s="2" t="str">
        <f t="shared" si="0"/>
        <v xml:space="preserve"> </v>
      </c>
      <c r="H69" s="2">
        <f>IF(ISBLANK('FBPQ T4'!E61)," ",'FBPQ T4'!AE61)</f>
        <v>0</v>
      </c>
      <c r="I69" s="2" t="str">
        <f t="shared" si="1"/>
        <v xml:space="preserve"> </v>
      </c>
    </row>
    <row r="70" spans="1:9">
      <c r="C70" s="2" t="s">
        <v>150</v>
      </c>
      <c r="D70" s="2" t="s">
        <v>542</v>
      </c>
      <c r="E70" s="2" t="str">
        <f>IF(ISNUMBER('FBPQ C2'!J62),'FBPQ C2'!J62,IF(ISNUMBER('FBPQ C2'!I62),'FBPQ C2'!I62,""))</f>
        <v/>
      </c>
      <c r="F70" s="2" t="s">
        <v>830</v>
      </c>
      <c r="G70" s="2" t="str">
        <f t="shared" si="0"/>
        <v xml:space="preserve"> </v>
      </c>
      <c r="H70" s="2">
        <f>IF(ISBLANK('FBPQ T4'!E62)," ",'FBPQ T4'!AE62)</f>
        <v>0</v>
      </c>
      <c r="I70" s="2" t="str">
        <f t="shared" si="1"/>
        <v xml:space="preserve"> </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1.78</v>
      </c>
      <c r="F75" s="2" t="s">
        <v>830</v>
      </c>
      <c r="G75" s="2">
        <f t="shared" si="0"/>
        <v>1.78</v>
      </c>
      <c r="H75" s="2">
        <f>IF(ISBLANK('FBPQ T4'!E67)," ",'FBPQ T4'!AE67)</f>
        <v>31541</v>
      </c>
      <c r="I75" s="2">
        <f t="shared" si="1"/>
        <v>56142.98</v>
      </c>
    </row>
    <row r="76" spans="1:9">
      <c r="C76" s="2" t="s">
        <v>155</v>
      </c>
      <c r="D76" s="2" t="s">
        <v>542</v>
      </c>
      <c r="E76" s="2">
        <f>IF(ISNUMBER('FBPQ C2'!J68),'FBPQ C2'!J68,IF(ISNUMBER('FBPQ C2'!I68),'FBPQ C2'!I68,""))</f>
        <v>12.82</v>
      </c>
      <c r="F76" s="2" t="s">
        <v>830</v>
      </c>
      <c r="G76" s="2">
        <f t="shared" si="0"/>
        <v>12.82</v>
      </c>
      <c r="H76" s="2">
        <f>IF(ISBLANK('FBPQ T4'!E68)," ",'FBPQ T4'!AE68)</f>
        <v>8203</v>
      </c>
      <c r="I76" s="2">
        <f t="shared" si="1"/>
        <v>105162.46</v>
      </c>
    </row>
    <row r="77" spans="1:9">
      <c r="C77" s="2" t="s">
        <v>156</v>
      </c>
      <c r="D77" s="2" t="s">
        <v>542</v>
      </c>
      <c r="E77" s="2" t="str">
        <f>IF(ISNUMBER('FBPQ C2'!J69),'FBPQ C2'!J69,IF(ISNUMBER('FBPQ C2'!I69),'FBPQ C2'!I69,""))</f>
        <v/>
      </c>
      <c r="F77" s="2" t="s">
        <v>830</v>
      </c>
      <c r="G77" s="2" t="str">
        <f t="shared" si="0"/>
        <v xml:space="preserve"> </v>
      </c>
      <c r="H77" s="2">
        <f>IF(ISBLANK('FBPQ T4'!E69)," ",'FBPQ T4'!AE69)</f>
        <v>0</v>
      </c>
      <c r="I77" s="2" t="str">
        <f t="shared" si="1"/>
        <v xml:space="preserve"> </v>
      </c>
    </row>
    <row r="78" spans="1:9">
      <c r="C78" s="2" t="s">
        <v>157</v>
      </c>
      <c r="D78" s="2" t="s">
        <v>542</v>
      </c>
      <c r="E78" s="2" t="str">
        <f>IF(ISNUMBER('FBPQ C2'!J70),'FBPQ C2'!J70,IF(ISNUMBER('FBPQ C2'!I70),'FBPQ C2'!I70,""))</f>
        <v/>
      </c>
      <c r="F78" s="2" t="s">
        <v>830</v>
      </c>
      <c r="G78" s="2" t="str">
        <f t="shared" si="0"/>
        <v xml:space="preserve"> </v>
      </c>
      <c r="H78" s="2">
        <f>IF(ISBLANK('FBPQ T4'!E70)," ",'FBPQ T4'!AE70)</f>
        <v>0</v>
      </c>
      <c r="I78" s="2" t="str">
        <f t="shared" si="1"/>
        <v xml:space="preserve"> </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26.88</v>
      </c>
      <c r="F82" s="2" t="s">
        <v>830</v>
      </c>
      <c r="G82" s="2">
        <f t="shared" si="0"/>
        <v>26.88</v>
      </c>
      <c r="H82" s="2">
        <f>IF(ISBLANK('FBPQ T4'!E74)," ",'FBPQ T4'!AE74)</f>
        <v>1186</v>
      </c>
      <c r="I82" s="2">
        <f t="shared" si="1"/>
        <v>31879.68</v>
      </c>
    </row>
    <row r="83" spans="2:9">
      <c r="C83" s="2" t="s">
        <v>160</v>
      </c>
      <c r="D83" s="2" t="s">
        <v>541</v>
      </c>
      <c r="E83" s="2">
        <f>IF(ISNUMBER('FBPQ C2'!J75),'FBPQ C2'!J75,IF(ISNUMBER('FBPQ C2'!I75),'FBPQ C2'!I75,""))</f>
        <v>33.67</v>
      </c>
      <c r="F83" s="2" t="s">
        <v>830</v>
      </c>
      <c r="G83" s="2">
        <f t="shared" si="0"/>
        <v>33.67</v>
      </c>
      <c r="H83" s="2">
        <f>IF(ISBLANK('FBPQ T4'!E75)," ",'FBPQ T4'!AE75)</f>
        <v>41</v>
      </c>
      <c r="I83" s="2">
        <f t="shared" si="1"/>
        <v>1380.47</v>
      </c>
    </row>
    <row r="84" spans="2:9">
      <c r="C84" s="2" t="s">
        <v>161</v>
      </c>
      <c r="D84" s="2" t="s">
        <v>541</v>
      </c>
      <c r="E84" s="2">
        <f>IF(ISNUMBER('FBPQ C2'!J76),'FBPQ C2'!J76,IF(ISNUMBER('FBPQ C2'!I76),'FBPQ C2'!I76,""))</f>
        <v>41.55</v>
      </c>
      <c r="F84" s="2" t="s">
        <v>830</v>
      </c>
      <c r="G84" s="2">
        <f t="shared" ref="G84:G147" si="2">IF(ISNUMBER(E84),E84,IF(H84&gt;0,F84," "))</f>
        <v>41.55</v>
      </c>
      <c r="H84" s="2">
        <f>IF(ISBLANK('FBPQ T4'!E76)," ",'FBPQ T4'!AE76)</f>
        <v>329</v>
      </c>
      <c r="I84" s="2">
        <f t="shared" ref="I84:I147" si="3">IF(ISERROR(G84*H84)," ",G84*H84)</f>
        <v>13669.949999999999</v>
      </c>
    </row>
    <row r="85" spans="2:9">
      <c r="C85" s="2" t="s">
        <v>162</v>
      </c>
      <c r="D85" s="2" t="s">
        <v>541</v>
      </c>
      <c r="E85" s="2">
        <f>IF(ISNUMBER('FBPQ C2'!J77),'FBPQ C2'!J77,IF(ISNUMBER('FBPQ C2'!I77),'FBPQ C2'!I77,""))</f>
        <v>52.49</v>
      </c>
      <c r="F85" s="2" t="s">
        <v>830</v>
      </c>
      <c r="G85" s="2">
        <f t="shared" si="2"/>
        <v>52.49</v>
      </c>
      <c r="H85" s="2">
        <f>IF(ISBLANK('FBPQ T4'!E77)," ",'FBPQ T4'!AE77)</f>
        <v>28</v>
      </c>
      <c r="I85" s="2">
        <f t="shared" si="3"/>
        <v>1469.72</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2.61</v>
      </c>
      <c r="F88" s="2" t="s">
        <v>830</v>
      </c>
      <c r="G88" s="2">
        <f t="shared" si="2"/>
        <v>2.61</v>
      </c>
      <c r="H88" s="2">
        <f>IF(ISBLANK('FBPQ T4'!E80)," ",'FBPQ T4'!AE80)</f>
        <v>15324</v>
      </c>
      <c r="I88" s="2">
        <f t="shared" si="3"/>
        <v>39995.64</v>
      </c>
    </row>
    <row r="89" spans="2:9">
      <c r="C89" s="2" t="s">
        <v>164</v>
      </c>
      <c r="D89" s="2" t="s">
        <v>542</v>
      </c>
      <c r="E89" s="2">
        <f>IF(ISNUMBER('FBPQ C2'!J81),'FBPQ C2'!J81,IF(ISNUMBER('FBPQ C2'!I81),'FBPQ C2'!I81,""))</f>
        <v>45.36</v>
      </c>
      <c r="F89" s="2" t="s">
        <v>830</v>
      </c>
      <c r="G89" s="2">
        <f t="shared" si="2"/>
        <v>45.36</v>
      </c>
      <c r="H89" s="2">
        <f>IF(ISBLANK('FBPQ T4'!E81)," ",'FBPQ T4'!AE81)</f>
        <v>190</v>
      </c>
      <c r="I89" s="2">
        <f t="shared" si="3"/>
        <v>8618.4</v>
      </c>
    </row>
    <row r="90" spans="2:9">
      <c r="C90" s="2" t="s">
        <v>165</v>
      </c>
      <c r="D90" s="2" t="s">
        <v>542</v>
      </c>
      <c r="E90" s="2">
        <f>IF(ISNUMBER('FBPQ C2'!J82),'FBPQ C2'!J82,IF(ISNUMBER('FBPQ C2'!I82),'FBPQ C2'!I82,""))</f>
        <v>3.61</v>
      </c>
      <c r="F90" s="2" t="s">
        <v>830</v>
      </c>
      <c r="G90" s="2">
        <f t="shared" si="2"/>
        <v>3.61</v>
      </c>
      <c r="H90" s="2">
        <f>IF(ISBLANK('FBPQ T4'!E82)," ",'FBPQ T4'!AE82)</f>
        <v>4318</v>
      </c>
      <c r="I90" s="2">
        <f t="shared" si="3"/>
        <v>15587.98</v>
      </c>
    </row>
    <row r="91" spans="2:9">
      <c r="C91" s="2" t="s">
        <v>166</v>
      </c>
      <c r="D91" s="2" t="s">
        <v>542</v>
      </c>
      <c r="E91" s="2">
        <f>IF(ISNUMBER('FBPQ C2'!J83),'FBPQ C2'!J83,IF(ISNUMBER('FBPQ C2'!I83),'FBPQ C2'!I83,""))</f>
        <v>74.53</v>
      </c>
      <c r="F91" s="2" t="s">
        <v>830</v>
      </c>
      <c r="G91" s="2">
        <f t="shared" si="2"/>
        <v>74.53</v>
      </c>
      <c r="H91" s="2">
        <f>IF(ISBLANK('FBPQ T4'!E83)," ",'FBPQ T4'!AE83)</f>
        <v>251</v>
      </c>
      <c r="I91" s="2">
        <f t="shared" si="3"/>
        <v>18707.03</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173.04</v>
      </c>
      <c r="F94" s="2" t="s">
        <v>830</v>
      </c>
      <c r="G94" s="2">
        <f t="shared" si="2"/>
        <v>173.04</v>
      </c>
      <c r="H94" s="2">
        <f>IF(ISBLANK('FBPQ T4'!E86)," ",'FBPQ T4'!AE86)</f>
        <v>386.84</v>
      </c>
      <c r="I94" s="2">
        <f t="shared" si="3"/>
        <v>66938.79359999999</v>
      </c>
    </row>
    <row r="95" spans="2:9">
      <c r="C95" s="2" t="s">
        <v>168</v>
      </c>
      <c r="D95" s="2" t="s">
        <v>541</v>
      </c>
      <c r="E95" s="2">
        <f>IF(ISNUMBER('FBPQ C2'!J87),'FBPQ C2'!J87,IF(ISNUMBER('FBPQ C2'!I87),'FBPQ C2'!I87,""))</f>
        <v>152.88999999999999</v>
      </c>
      <c r="F95" s="2" t="s">
        <v>830</v>
      </c>
      <c r="G95" s="2">
        <f t="shared" si="2"/>
        <v>152.88999999999999</v>
      </c>
      <c r="H95" s="2">
        <f>IF(ISBLANK('FBPQ T4'!E87)," ",'FBPQ T4'!AE87)</f>
        <v>0</v>
      </c>
      <c r="I95" s="2">
        <f t="shared" si="3"/>
        <v>0</v>
      </c>
    </row>
    <row r="96" spans="2:9">
      <c r="C96" s="2" t="s">
        <v>169</v>
      </c>
      <c r="D96" s="2" t="s">
        <v>541</v>
      </c>
      <c r="E96" s="2">
        <f>IF(ISNUMBER('FBPQ C2'!J88),'FBPQ C2'!J88,IF(ISNUMBER('FBPQ C2'!I88),'FBPQ C2'!I88,""))</f>
        <v>173.42</v>
      </c>
      <c r="F96" s="2" t="s">
        <v>830</v>
      </c>
      <c r="G96" s="2">
        <f t="shared" si="2"/>
        <v>173.42</v>
      </c>
      <c r="H96" s="2">
        <f>IF(ISBLANK('FBPQ T4'!E88)," ",'FBPQ T4'!AE88)</f>
        <v>8.1240000000000006</v>
      </c>
      <c r="I96" s="2">
        <f t="shared" si="3"/>
        <v>1408.8640800000001</v>
      </c>
    </row>
    <row r="97" spans="2:9">
      <c r="C97" s="2" t="s">
        <v>170</v>
      </c>
      <c r="D97" s="2" t="s">
        <v>541</v>
      </c>
      <c r="E97" s="2">
        <f>IF(ISNUMBER('FBPQ C2'!J89),'FBPQ C2'!J89,IF(ISNUMBER('FBPQ C2'!I89),'FBPQ C2'!I89,""))</f>
        <v>444.45</v>
      </c>
      <c r="F97" s="2" t="s">
        <v>830</v>
      </c>
      <c r="G97" s="2">
        <f t="shared" si="2"/>
        <v>444.45</v>
      </c>
      <c r="H97" s="2">
        <f>IF(ISBLANK('FBPQ T4'!E89)," ",'FBPQ T4'!AE89)</f>
        <v>6</v>
      </c>
      <c r="I97" s="2">
        <f t="shared" si="3"/>
        <v>2666.7</v>
      </c>
    </row>
    <row r="98" spans="2:9">
      <c r="C98" s="2" t="s">
        <v>171</v>
      </c>
      <c r="D98" s="2" t="s">
        <v>541</v>
      </c>
      <c r="E98" s="2">
        <f>IF(ISNUMBER('FBPQ C2'!J90),'FBPQ C2'!J90,IF(ISNUMBER('FBPQ C2'!I90),'FBPQ C2'!I90,""))</f>
        <v>444.45</v>
      </c>
      <c r="F98" s="2" t="s">
        <v>830</v>
      </c>
      <c r="G98" s="2">
        <f t="shared" si="2"/>
        <v>444.45</v>
      </c>
      <c r="H98" s="2">
        <f>IF(ISBLANK('FBPQ T4'!E90)," ",'FBPQ T4'!AE90)</f>
        <v>2</v>
      </c>
      <c r="I98" s="2">
        <f t="shared" si="3"/>
        <v>888.9</v>
      </c>
    </row>
    <row r="99" spans="2:9">
      <c r="C99" s="2" t="s">
        <v>172</v>
      </c>
      <c r="D99" s="2" t="s">
        <v>541</v>
      </c>
      <c r="E99" s="2">
        <f>IF(ISNUMBER('FBPQ C2'!J91),'FBPQ C2'!J91,IF(ISNUMBER('FBPQ C2'!I91),'FBPQ C2'!I91,""))</f>
        <v>444.45</v>
      </c>
      <c r="F99" s="2" t="s">
        <v>830</v>
      </c>
      <c r="G99" s="2">
        <f t="shared" si="2"/>
        <v>444.45</v>
      </c>
      <c r="H99" s="2">
        <f>IF(ISBLANK('FBPQ T4'!E91)," ",'FBPQ T4'!AE91)</f>
        <v>1</v>
      </c>
      <c r="I99" s="2">
        <f t="shared" si="3"/>
        <v>444.45</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1134.52</v>
      </c>
      <c r="F102" s="2" t="s">
        <v>830</v>
      </c>
      <c r="G102" s="2">
        <f t="shared" si="2"/>
        <v>1134.52</v>
      </c>
      <c r="H102" s="2">
        <f>IF(ISBLANK('FBPQ T4'!E94)," ",'FBPQ T4'!AE94)</f>
        <v>1.3</v>
      </c>
      <c r="I102" s="2">
        <f t="shared" si="3"/>
        <v>1474.876</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66.58</v>
      </c>
      <c r="F105" s="2" t="s">
        <v>830</v>
      </c>
      <c r="G105" s="2">
        <f t="shared" si="2"/>
        <v>66.58</v>
      </c>
      <c r="H105" s="2">
        <f>IF(ISBLANK('FBPQ T4'!E97)," ",'FBPQ T4'!AE97)</f>
        <v>311</v>
      </c>
      <c r="I105" s="2">
        <f t="shared" si="3"/>
        <v>20706.38</v>
      </c>
    </row>
    <row r="106" spans="2:9">
      <c r="C106" s="2" t="s">
        <v>175</v>
      </c>
      <c r="D106" s="2" t="s">
        <v>542</v>
      </c>
      <c r="E106" s="2">
        <f>IF(ISNUMBER('FBPQ C2'!J98),'FBPQ C2'!J98,IF(ISNUMBER('FBPQ C2'!I98),'FBPQ C2'!I98,""))</f>
        <v>51.4</v>
      </c>
      <c r="F106" s="2" t="s">
        <v>830</v>
      </c>
      <c r="G106" s="2">
        <f t="shared" si="2"/>
        <v>51.4</v>
      </c>
      <c r="H106" s="2">
        <f>IF(ISBLANK('FBPQ T4'!E98)," ",'FBPQ T4'!AE98)</f>
        <v>274</v>
      </c>
      <c r="I106" s="2">
        <f t="shared" si="3"/>
        <v>14083.6</v>
      </c>
    </row>
    <row r="107" spans="2:9">
      <c r="C107" s="2" t="s">
        <v>176</v>
      </c>
      <c r="D107" s="2" t="s">
        <v>542</v>
      </c>
      <c r="E107" s="2">
        <f>IF(ISNUMBER('FBPQ C2'!J99),'FBPQ C2'!J99,IF(ISNUMBER('FBPQ C2'!I99),'FBPQ C2'!I99,""))</f>
        <v>33.17</v>
      </c>
      <c r="F107" s="2" t="s">
        <v>830</v>
      </c>
      <c r="G107" s="2">
        <f t="shared" si="2"/>
        <v>33.17</v>
      </c>
      <c r="H107" s="2">
        <f>IF(ISBLANK('FBPQ T4'!E99)," ",'FBPQ T4'!AE99)</f>
        <v>16</v>
      </c>
      <c r="I107" s="2">
        <f t="shared" si="3"/>
        <v>530.72</v>
      </c>
    </row>
    <row r="108" spans="2:9">
      <c r="C108" s="2" t="s">
        <v>177</v>
      </c>
      <c r="D108" s="2" t="s">
        <v>542</v>
      </c>
      <c r="E108" s="2" t="str">
        <f>IF(ISNUMBER('FBPQ C2'!J100),'FBPQ C2'!J100,IF(ISNUMBER('FBPQ C2'!I100),'FBPQ C2'!I100,""))</f>
        <v/>
      </c>
      <c r="F108" s="2" t="s">
        <v>830</v>
      </c>
      <c r="G108" s="2" t="str">
        <f t="shared" si="2"/>
        <v xml:space="preserve"> </v>
      </c>
      <c r="H108" s="2">
        <f>IF(ISBLANK('FBPQ T4'!E100)," ",'FBPQ T4'!AE100)</f>
        <v>0</v>
      </c>
      <c r="I108" s="2" t="str">
        <f t="shared" si="3"/>
        <v xml:space="preserve"> </v>
      </c>
    </row>
    <row r="109" spans="2:9">
      <c r="C109" s="2" t="s">
        <v>178</v>
      </c>
      <c r="D109" s="2" t="s">
        <v>542</v>
      </c>
      <c r="E109" s="2" t="str">
        <f>IF(ISNUMBER('FBPQ C2'!J101),'FBPQ C2'!J101,IF(ISNUMBER('FBPQ C2'!I101),'FBPQ C2'!I101,""))</f>
        <v/>
      </c>
      <c r="F109" s="2" t="s">
        <v>830</v>
      </c>
      <c r="G109" s="2" t="str">
        <f t="shared" si="2"/>
        <v xml:space="preserve"> </v>
      </c>
      <c r="H109" s="2">
        <f>IF(ISBLANK('FBPQ T4'!E101)," ",'FBPQ T4'!AE101)</f>
        <v>0</v>
      </c>
      <c r="I109" s="2" t="str">
        <f t="shared" si="3"/>
        <v xml:space="preserve"> </v>
      </c>
    </row>
    <row r="110" spans="2:9">
      <c r="C110" s="2" t="s">
        <v>179</v>
      </c>
      <c r="D110" s="2" t="s">
        <v>542</v>
      </c>
      <c r="E110" s="2" t="str">
        <f>IF(ISNUMBER('FBPQ C2'!J102),'FBPQ C2'!J102,IF(ISNUMBER('FBPQ C2'!I102),'FBPQ C2'!I102,""))</f>
        <v/>
      </c>
      <c r="F110" s="2" t="s">
        <v>830</v>
      </c>
      <c r="G110" s="2" t="str">
        <f t="shared" si="2"/>
        <v>DATA</v>
      </c>
      <c r="H110" s="2">
        <f>IF(ISBLANK('FBPQ T4'!E102)," ",'FBPQ T4'!AE102)</f>
        <v>1074</v>
      </c>
      <c r="I110" s="2" t="str">
        <f t="shared" si="3"/>
        <v xml:space="preserve"> </v>
      </c>
    </row>
    <row r="111" spans="2:9">
      <c r="C111" s="2" t="s">
        <v>180</v>
      </c>
      <c r="D111" s="2" t="s">
        <v>542</v>
      </c>
      <c r="E111" s="2">
        <f>IF(ISNUMBER('FBPQ C2'!J103),'FBPQ C2'!J103,IF(ISNUMBER('FBPQ C2'!I103),'FBPQ C2'!I103,""))</f>
        <v>88.11</v>
      </c>
      <c r="F111" s="2" t="s">
        <v>830</v>
      </c>
      <c r="G111" s="2">
        <f t="shared" si="2"/>
        <v>88.11</v>
      </c>
      <c r="H111" s="2">
        <f>IF(ISBLANK('FBPQ T4'!E103)," ",'FBPQ T4'!AE103)</f>
        <v>53</v>
      </c>
      <c r="I111" s="2">
        <f t="shared" si="3"/>
        <v>4669.83</v>
      </c>
    </row>
    <row r="112" spans="2:9">
      <c r="C112" s="2" t="s">
        <v>181</v>
      </c>
      <c r="D112" s="2" t="s">
        <v>542</v>
      </c>
      <c r="E112" s="2" t="str">
        <f>IF(ISNUMBER('FBPQ C2'!J104),'FBPQ C2'!J104,IF(ISNUMBER('FBPQ C2'!I104),'FBPQ C2'!I104,""))</f>
        <v/>
      </c>
      <c r="F112" s="2" t="s">
        <v>830</v>
      </c>
      <c r="G112" s="2" t="str">
        <f t="shared" si="2"/>
        <v>DATA</v>
      </c>
      <c r="H112" s="2">
        <f>IF(ISBLANK('FBPQ T4'!E104)," ",'FBPQ T4'!AE104)</f>
        <v>233</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t="str">
        <f>IF(ISNUMBER('FBPQ C2'!J107),'FBPQ C2'!J107,IF(ISNUMBER('FBPQ C2'!I107),'FBPQ C2'!I107,""))</f>
        <v/>
      </c>
      <c r="F115" s="2" t="s">
        <v>830</v>
      </c>
      <c r="G115" s="2" t="str">
        <f t="shared" si="2"/>
        <v xml:space="preserve"> </v>
      </c>
      <c r="H115" s="2">
        <f>IF(ISBLANK('FBPQ T4'!E107)," ",'FBPQ T4'!AE107)</f>
        <v>0</v>
      </c>
      <c r="I115" s="2" t="str">
        <f t="shared" si="3"/>
        <v xml:space="preserve"> </v>
      </c>
    </row>
    <row r="116" spans="1:9">
      <c r="C116" s="2" t="s">
        <v>183</v>
      </c>
      <c r="D116" s="2" t="s">
        <v>542</v>
      </c>
      <c r="E116" s="2">
        <f>IF(ISNUMBER('FBPQ C2'!J108),'FBPQ C2'!J108,IF(ISNUMBER('FBPQ C2'!I108),'FBPQ C2'!I108,""))</f>
        <v>262.73</v>
      </c>
      <c r="F116" s="2" t="s">
        <v>830</v>
      </c>
      <c r="G116" s="2">
        <f t="shared" si="2"/>
        <v>262.73</v>
      </c>
      <c r="H116" s="2">
        <f>IF(ISBLANK('FBPQ T4'!E108)," ",'FBPQ T4'!AE108)</f>
        <v>247</v>
      </c>
      <c r="I116" s="2">
        <f t="shared" si="3"/>
        <v>64894.310000000005</v>
      </c>
    </row>
    <row r="117" spans="1:9">
      <c r="C117" s="2" t="s">
        <v>184</v>
      </c>
      <c r="D117" s="2" t="s">
        <v>542</v>
      </c>
      <c r="E117" s="2" t="str">
        <f>IF(ISNUMBER('FBPQ C2'!J109),'FBPQ C2'!J109,IF(ISNUMBER('FBPQ C2'!I109),'FBPQ C2'!I109,""))</f>
        <v/>
      </c>
      <c r="F117" s="2" t="s">
        <v>830</v>
      </c>
      <c r="G117" s="2" t="str">
        <f t="shared" si="2"/>
        <v>DATA</v>
      </c>
      <c r="H117" s="2">
        <f>IF(ISBLANK('FBPQ T4'!E109)," ",'FBPQ T4'!AE109)</f>
        <v>244</v>
      </c>
      <c r="I117" s="2" t="str">
        <f t="shared" si="3"/>
        <v xml:space="preserve"> </v>
      </c>
    </row>
    <row r="118" spans="1:9">
      <c r="C118" s="2" t="s">
        <v>185</v>
      </c>
      <c r="D118" s="2" t="s">
        <v>542</v>
      </c>
      <c r="E118" s="2">
        <f>IF(ISNUMBER('FBPQ C2'!J110),'FBPQ C2'!J110,IF(ISNUMBER('FBPQ C2'!I110),'FBPQ C2'!I110,""))</f>
        <v>457.92</v>
      </c>
      <c r="F118" s="2" t="s">
        <v>830</v>
      </c>
      <c r="G118" s="2">
        <f t="shared" si="2"/>
        <v>457.92</v>
      </c>
      <c r="H118" s="2">
        <f>IF(ISBLANK('FBPQ T4'!E110)," ",'FBPQ T4'!AE110)</f>
        <v>30</v>
      </c>
      <c r="I118" s="2">
        <f t="shared" si="3"/>
        <v>13737.6</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52.85</v>
      </c>
      <c r="F123" s="2" t="s">
        <v>830</v>
      </c>
      <c r="G123" s="2">
        <f t="shared" si="2"/>
        <v>52.85</v>
      </c>
      <c r="H123" s="2">
        <f>IF(ISBLANK('FBPQ T4'!E115)," ",'FBPQ T4'!AE115)</f>
        <v>91</v>
      </c>
      <c r="I123" s="2">
        <f t="shared" si="3"/>
        <v>4809.3500000000004</v>
      </c>
    </row>
    <row r="124" spans="1:9">
      <c r="C124" s="2" t="s">
        <v>189</v>
      </c>
      <c r="D124" s="2" t="s">
        <v>541</v>
      </c>
      <c r="E124" s="2">
        <f>IF(ISNUMBER('FBPQ C2'!J116),'FBPQ C2'!J116,IF(ISNUMBER('FBPQ C2'!I116),'FBPQ C2'!I116,""))</f>
        <v>53.51</v>
      </c>
      <c r="F124" s="2" t="s">
        <v>830</v>
      </c>
      <c r="G124" s="2">
        <f t="shared" si="2"/>
        <v>53.51</v>
      </c>
      <c r="H124" s="2">
        <f>IF(ISBLANK('FBPQ T4'!E116)," ",'FBPQ T4'!AE116)</f>
        <v>1089</v>
      </c>
      <c r="I124" s="2">
        <f t="shared" si="3"/>
        <v>58272.39</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3.64</v>
      </c>
      <c r="F127" s="2" t="s">
        <v>830</v>
      </c>
      <c r="G127" s="2">
        <f t="shared" si="2"/>
        <v>3.64</v>
      </c>
      <c r="H127" s="2">
        <f>IF(ISBLANK('FBPQ T4'!E119)," ",'FBPQ T4'!AE119)</f>
        <v>835</v>
      </c>
      <c r="I127" s="2">
        <f t="shared" si="3"/>
        <v>3039.4</v>
      </c>
    </row>
    <row r="128" spans="1:9">
      <c r="C128" s="2" t="s">
        <v>191</v>
      </c>
      <c r="D128" s="2" t="s">
        <v>542</v>
      </c>
      <c r="E128" s="2">
        <f>IF(ISNUMBER('FBPQ C2'!J120),'FBPQ C2'!J120,IF(ISNUMBER('FBPQ C2'!I120),'FBPQ C2'!I120,""))</f>
        <v>98.62</v>
      </c>
      <c r="F128" s="2" t="s">
        <v>830</v>
      </c>
      <c r="G128" s="2">
        <f t="shared" si="2"/>
        <v>98.62</v>
      </c>
      <c r="H128" s="2">
        <f>IF(ISBLANK('FBPQ T4'!E120)," ",'FBPQ T4'!AE120)</f>
        <v>2354</v>
      </c>
      <c r="I128" s="2">
        <f t="shared" si="3"/>
        <v>232151.48</v>
      </c>
    </row>
    <row r="129" spans="2:9">
      <c r="C129" s="2" t="s">
        <v>192</v>
      </c>
      <c r="D129" s="2" t="s">
        <v>542</v>
      </c>
      <c r="E129" s="2">
        <f>IF(ISNUMBER('FBPQ C2'!J121),'FBPQ C2'!J121,IF(ISNUMBER('FBPQ C2'!I121),'FBPQ C2'!I121,""))</f>
        <v>3.8</v>
      </c>
      <c r="F129" s="2" t="s">
        <v>830</v>
      </c>
      <c r="G129" s="2">
        <f t="shared" si="2"/>
        <v>3.8</v>
      </c>
      <c r="H129" s="2">
        <f>IF(ISBLANK('FBPQ T4'!E121)," ",'FBPQ T4'!AE121)</f>
        <v>4708</v>
      </c>
      <c r="I129" s="2">
        <f t="shared" si="3"/>
        <v>17890.399999999998</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0</v>
      </c>
      <c r="F132" s="2" t="s">
        <v>830</v>
      </c>
      <c r="G132" s="2">
        <f t="shared" si="2"/>
        <v>0</v>
      </c>
      <c r="H132" s="2">
        <f>IF(ISBLANK('FBPQ T4'!E124)," ",'FBPQ T4'!AE124)</f>
        <v>35.4</v>
      </c>
      <c r="I132" s="2">
        <f t="shared" si="3"/>
        <v>0</v>
      </c>
    </row>
    <row r="133" spans="2:9">
      <c r="C133" s="2" t="s">
        <v>194</v>
      </c>
      <c r="D133" s="2" t="s">
        <v>541</v>
      </c>
      <c r="E133" s="2">
        <f>IF(ISNUMBER('FBPQ C2'!J125),'FBPQ C2'!J125,IF(ISNUMBER('FBPQ C2'!I125),'FBPQ C2'!I125,""))</f>
        <v>1323.44</v>
      </c>
      <c r="F133" s="2" t="s">
        <v>830</v>
      </c>
      <c r="G133" s="2">
        <f t="shared" si="2"/>
        <v>1323.44</v>
      </c>
      <c r="H133" s="2">
        <f>IF(ISBLANK('FBPQ T4'!E125)," ",'FBPQ T4'!AE125)</f>
        <v>58</v>
      </c>
      <c r="I133" s="2">
        <f t="shared" si="3"/>
        <v>76759.520000000004</v>
      </c>
    </row>
    <row r="134" spans="2:9">
      <c r="C134" s="2" t="s">
        <v>195</v>
      </c>
      <c r="D134" s="2" t="s">
        <v>541</v>
      </c>
      <c r="E134" s="2" t="str">
        <f>IF(ISNUMBER('FBPQ C2'!J126),'FBPQ C2'!J126,IF(ISNUMBER('FBPQ C2'!I126),'FBPQ C2'!I126,""))</f>
        <v/>
      </c>
      <c r="F134" s="2" t="s">
        <v>830</v>
      </c>
      <c r="G134" s="2" t="str">
        <f t="shared" si="2"/>
        <v xml:space="preserve"> </v>
      </c>
      <c r="H134" s="2">
        <f>IF(ISBLANK('FBPQ T4'!E126)," ",'FBPQ T4'!AE126)</f>
        <v>0</v>
      </c>
      <c r="I134" s="2" t="str">
        <f t="shared" si="3"/>
        <v xml:space="preserve"> </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t="str">
        <f>IF(ISNUMBER('FBPQ C2'!J129),'FBPQ C2'!J129,IF(ISNUMBER('FBPQ C2'!I129),'FBPQ C2'!I129,""))</f>
        <v/>
      </c>
      <c r="F137" s="2" t="s">
        <v>830</v>
      </c>
      <c r="G137" s="2" t="str">
        <f t="shared" si="2"/>
        <v xml:space="preserve"> </v>
      </c>
      <c r="H137" s="2">
        <f>IF(ISBLANK('FBPQ T4'!E129)," ",'FBPQ T4'!AE129)</f>
        <v>0</v>
      </c>
      <c r="I137" s="2" t="str">
        <f t="shared" si="3"/>
        <v xml:space="preserve"> </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146.88</v>
      </c>
      <c r="F140" s="2" t="s">
        <v>830</v>
      </c>
      <c r="G140" s="2">
        <f t="shared" si="2"/>
        <v>146.88</v>
      </c>
      <c r="H140" s="2">
        <f>IF(ISBLANK('FBPQ T4'!E132)," ",'FBPQ T4'!AE132)</f>
        <v>222</v>
      </c>
      <c r="I140" s="2">
        <f t="shared" si="3"/>
        <v>32607.360000000001</v>
      </c>
    </row>
    <row r="141" spans="2:9">
      <c r="C141" s="2" t="s">
        <v>198</v>
      </c>
      <c r="D141" s="2" t="s">
        <v>542</v>
      </c>
      <c r="E141" s="2" t="str">
        <f>IF(ISNUMBER('FBPQ C2'!J133),'FBPQ C2'!J133,IF(ISNUMBER('FBPQ C2'!I133),'FBPQ C2'!I133,""))</f>
        <v/>
      </c>
      <c r="F141" s="2" t="s">
        <v>830</v>
      </c>
      <c r="G141" s="2" t="str">
        <f t="shared" si="2"/>
        <v>DATA</v>
      </c>
      <c r="H141" s="2">
        <f>IF(ISBLANK('FBPQ T4'!E133)," ",'FBPQ T4'!AE133)</f>
        <v>727</v>
      </c>
      <c r="I141" s="2" t="str">
        <f t="shared" si="3"/>
        <v xml:space="preserve"> </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1139.95</v>
      </c>
      <c r="F144" s="2" t="s">
        <v>830</v>
      </c>
      <c r="G144" s="2">
        <f t="shared" si="2"/>
        <v>1139.95</v>
      </c>
      <c r="H144" s="2">
        <f>IF(ISBLANK('FBPQ T4'!E136)," ",'FBPQ T4'!AE136)</f>
        <v>131</v>
      </c>
      <c r="I144" s="2">
        <f t="shared" si="3"/>
        <v>149333.45000000001</v>
      </c>
    </row>
    <row r="145" spans="1:9">
      <c r="C145" s="2" t="s">
        <v>200</v>
      </c>
      <c r="D145" s="2" t="s">
        <v>542</v>
      </c>
      <c r="E145" s="2" t="str">
        <f>IF(ISNUMBER('FBPQ C2'!J137),'FBPQ C2'!J137,IF(ISNUMBER('FBPQ C2'!I137),'FBPQ C2'!I137,""))</f>
        <v/>
      </c>
      <c r="F145" s="2" t="s">
        <v>830</v>
      </c>
      <c r="G145" s="2" t="str">
        <f t="shared" si="2"/>
        <v>DATA</v>
      </c>
      <c r="H145" s="2">
        <f>IF(ISBLANK('FBPQ T4'!E137)," ",'FBPQ T4'!AE137)</f>
        <v>140</v>
      </c>
      <c r="I145" s="2" t="str">
        <f t="shared" si="3"/>
        <v xml:space="preserve"> </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2" t="str">
        <f>IF(ISNUMBER('FBPQ C2'!J141),'FBPQ C2'!J141,IF(ISNUMBER('FBPQ C2'!I141),'FBPQ C2'!I141,""))</f>
        <v/>
      </c>
      <c r="F149" s="2" t="s">
        <v>830</v>
      </c>
      <c r="G149" s="2" t="str">
        <f t="shared" si="4"/>
        <v>DATA</v>
      </c>
      <c r="H149" s="2">
        <f>IF(ISBLANK('FBPQ T4'!E141)," ",'FBPQ T4'!AE141)</f>
        <v>1</v>
      </c>
      <c r="I149" s="2" t="str">
        <f t="shared" si="5"/>
        <v xml:space="preserve"> </v>
      </c>
    </row>
    <row r="150" spans="1:9">
      <c r="C150" s="2" t="s">
        <v>204</v>
      </c>
      <c r="D150" s="2" t="s">
        <v>542</v>
      </c>
      <c r="E150" s="2" t="str">
        <f>IF(ISNUMBER('FBPQ C2'!J142),'FBPQ C2'!J142,IF(ISNUMBER('FBPQ C2'!I142),'FBPQ C2'!I142,""))</f>
        <v/>
      </c>
      <c r="F150" s="2" t="s">
        <v>830</v>
      </c>
      <c r="G150" s="2" t="str">
        <f t="shared" si="4"/>
        <v>DATA</v>
      </c>
      <c r="H150" s="2">
        <f>IF(ISBLANK('FBPQ T4'!E142)," ",'FBPQ T4'!AE142)</f>
        <v>272</v>
      </c>
      <c r="I150" s="2" t="str">
        <f t="shared" si="5"/>
        <v xml:space="preserve"> </v>
      </c>
    </row>
    <row r="151" spans="1:9">
      <c r="E151" s="2" t="str">
        <f>IF(ISNUMBER('FBPQ C2'!J143),'FBPQ C2'!J143,IF(ISNUMBER('FBPQ C2'!I143),'FBPQ C2'!I143,""))</f>
        <v/>
      </c>
      <c r="G151" s="2">
        <f t="shared" si="4"/>
        <v>0</v>
      </c>
      <c r="H151" s="2" t="str">
        <f>IF(ISBLANK('FBPQ T4'!E143)," ",'FBPQ T4'!AE143)</f>
        <v xml:space="preserve"> </v>
      </c>
      <c r="I151" s="2" t="str">
        <f t="shared" si="5"/>
        <v xml:space="preserve"> </v>
      </c>
    </row>
    <row r="152" spans="1:9">
      <c r="B152" s="2" t="s">
        <v>205</v>
      </c>
      <c r="E152" s="2" t="str">
        <f>IF(ISNUMBER('FBPQ C2'!J144),'FBPQ C2'!J144,IF(ISNUMBER('FBPQ C2'!I144),'FBPQ C2'!I144,""))</f>
        <v/>
      </c>
      <c r="G152" s="2">
        <f t="shared" si="4"/>
        <v>0</v>
      </c>
      <c r="H152" s="2" t="str">
        <f>IF(ISBLANK('FBPQ T4'!E144)," ",'FBPQ T4'!AE144)</f>
        <v xml:space="preserve"> </v>
      </c>
      <c r="I152" s="2" t="str">
        <f t="shared" si="5"/>
        <v xml:space="preserve"> </v>
      </c>
    </row>
    <row r="153" spans="1:9">
      <c r="C153" s="2" t="s">
        <v>206</v>
      </c>
      <c r="D153" s="2" t="s">
        <v>542</v>
      </c>
      <c r="E153" s="2" t="str">
        <f>IF(ISNUMBER('FBPQ C2'!J145),'FBPQ C2'!J145,IF(ISNUMBER('FBPQ C2'!I145),'FBPQ C2'!I145,""))</f>
        <v/>
      </c>
      <c r="F153" s="2" t="s">
        <v>830</v>
      </c>
      <c r="G153" s="2" t="str">
        <f t="shared" si="4"/>
        <v>DATA</v>
      </c>
      <c r="H153" s="2">
        <f>IF(ISBLANK('FBPQ T4'!E145)," ",'FBPQ T4'!AE145)</f>
        <v>1246</v>
      </c>
      <c r="I153" s="2" t="str">
        <f t="shared" si="5"/>
        <v xml:space="preserve"> </v>
      </c>
    </row>
    <row r="154" spans="1:9">
      <c r="C154" s="2" t="s">
        <v>207</v>
      </c>
      <c r="D154" s="2" t="s">
        <v>542</v>
      </c>
      <c r="E154" s="2" t="str">
        <f>IF(ISNUMBER('FBPQ C2'!J146),'FBPQ C2'!J146,IF(ISNUMBER('FBPQ C2'!I146),'FBPQ C2'!I146,""))</f>
        <v/>
      </c>
      <c r="F154" s="2" t="s">
        <v>830</v>
      </c>
      <c r="G154" s="2" t="str">
        <f t="shared" si="4"/>
        <v>DATA</v>
      </c>
      <c r="H154" s="2">
        <f>IF(ISBLANK('FBPQ T4'!E146)," ",'FBPQ T4'!AE146)</f>
        <v>143</v>
      </c>
      <c r="I154" s="2" t="str">
        <f t="shared" si="5"/>
        <v xml:space="preserve"> </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24.52</v>
      </c>
      <c r="F159" s="2" t="s">
        <v>830</v>
      </c>
      <c r="G159" s="2">
        <f t="shared" si="4"/>
        <v>24.52</v>
      </c>
      <c r="H159" s="2" t="str">
        <f>IF(ISBLANK('FBPQ T4'!E151)," ",'FBPQ T4'!AE151)</f>
        <v xml:space="preserve"> </v>
      </c>
      <c r="I159" s="2" t="str">
        <f t="shared" si="5"/>
        <v xml:space="preserve"> </v>
      </c>
    </row>
    <row r="160" spans="1:9">
      <c r="C160" s="2" t="s">
        <v>545</v>
      </c>
      <c r="D160" s="2" t="s">
        <v>542</v>
      </c>
      <c r="E160" s="2">
        <f>IF(ISNUMBER('FBPQ C2'!J152),'FBPQ C2'!J152,IF(ISNUMBER('FBPQ C2'!I152),'FBPQ C2'!I152,""))</f>
        <v>24.52</v>
      </c>
      <c r="F160" s="2" t="s">
        <v>830</v>
      </c>
      <c r="G160" s="2">
        <f t="shared" si="4"/>
        <v>24.52</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t="str">
        <f>IF(ISNUMBER('FBPQ C2'!J154),'FBPQ C2'!J154,IF(ISNUMBER('FBPQ C2'!I154),'FBPQ C2'!I154,""))</f>
        <v/>
      </c>
      <c r="F162" s="2" t="s">
        <v>830</v>
      </c>
      <c r="G162" s="2" t="str">
        <f t="shared" si="4"/>
        <v>DATA</v>
      </c>
      <c r="H162" s="2" t="str">
        <f>IF(ISBLANK('FBPQ T4'!E154)," ",'FBPQ T4'!AE154)</f>
        <v xml:space="preserve"> </v>
      </c>
      <c r="I162" s="2" t="str">
        <f t="shared" si="5"/>
        <v xml:space="preserve"> </v>
      </c>
    </row>
    <row r="163" spans="3:9">
      <c r="C163" s="2" t="s">
        <v>545</v>
      </c>
      <c r="D163" s="2" t="s">
        <v>542</v>
      </c>
      <c r="E163" s="2" t="str">
        <f>IF(ISNUMBER('FBPQ C2'!J155),'FBPQ C2'!J155,IF(ISNUMBER('FBPQ C2'!I155),'FBPQ C2'!I155,""))</f>
        <v/>
      </c>
      <c r="F163" s="2" t="s">
        <v>830</v>
      </c>
      <c r="G163" s="2" t="str">
        <f t="shared" si="4"/>
        <v>DATA</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14" workbookViewId="0">
      <selection activeCell="D33" sqref="D33"/>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WPD South Wales in 2016/17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1020</v>
      </c>
      <c r="D6" s="38" t="s">
        <v>1021</v>
      </c>
    </row>
    <row r="7" spans="1:7">
      <c r="C7" s="15"/>
    </row>
    <row r="8" spans="1:7">
      <c r="A8" s="5" t="s">
        <v>36</v>
      </c>
      <c r="B8" s="5"/>
    </row>
    <row r="9" spans="1:7">
      <c r="A9" s="2" t="s">
        <v>37</v>
      </c>
    </row>
    <row r="11" spans="1:7">
      <c r="B11" s="16" t="s">
        <v>38</v>
      </c>
    </row>
    <row r="12" spans="1:7" ht="17.25" customHeight="1">
      <c r="A12" s="13" t="s">
        <v>1011</v>
      </c>
      <c r="B12" s="17">
        <v>0.223</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444617487.9902603</v>
      </c>
      <c r="D30" s="40">
        <v>38773068.190434188</v>
      </c>
      <c r="E30" s="40">
        <v>119192270.26071441</v>
      </c>
      <c r="F30" s="40">
        <v>118034718.85534309</v>
      </c>
      <c r="G30" s="40">
        <v>39133241.219965197</v>
      </c>
      <c r="H30" s="40">
        <v>544777953.50280035</v>
      </c>
      <c r="I30" s="40">
        <v>179108846.89066872</v>
      </c>
      <c r="J30" s="40">
        <v>325561636.95556462</v>
      </c>
      <c r="K30" s="40">
        <v>349816935.56884533</v>
      </c>
      <c r="L30" s="40">
        <v>6179886.0841996502</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160551362.13624749</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headerFooter>
    <oddHeader>&amp;A&amp;RPage &amp;P</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4"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WPD South Wales in 2016/17  Status: Finals</v>
      </c>
    </row>
    <row r="3" spans="1:8" ht="26.25" customHeight="1">
      <c r="F3" s="2" t="s">
        <v>831</v>
      </c>
    </row>
    <row r="4" spans="1:8" ht="27.75" customHeight="1">
      <c r="F4" s="2" t="s">
        <v>832</v>
      </c>
    </row>
    <row r="5" spans="1:8">
      <c r="G5" s="2" t="s">
        <v>223</v>
      </c>
      <c r="H5" s="2" t="s">
        <v>833</v>
      </c>
    </row>
    <row r="6" spans="1:8">
      <c r="F6" s="2" t="s">
        <v>244</v>
      </c>
      <c r="G6" s="2">
        <f>SUM('Data-MEAV'!I20:I39)</f>
        <v>1763568.7248</v>
      </c>
      <c r="H6" s="2">
        <f>G6/$G$11</f>
        <v>0.45033555687347143</v>
      </c>
    </row>
    <row r="7" spans="1:8">
      <c r="F7" s="2" t="s">
        <v>550</v>
      </c>
      <c r="G7" s="2">
        <f>SUM('Data-MEAV'!I62:I63)+SUM('Data-MEAV'!I69:I70)+SUM('Data-MEAV'!I75:I78)</f>
        <v>277374.21999999997</v>
      </c>
      <c r="H7" s="2">
        <f>G7/$G$11</f>
        <v>7.0828809827193168E-2</v>
      </c>
    </row>
    <row r="8" spans="1:8">
      <c r="F8" s="2" t="s">
        <v>245</v>
      </c>
      <c r="G8" s="2">
        <f>SUM('Data-MEAV'!I42:I56)+SUM('Data-MEAV'!I59:I61)+SUM('Data-MEAV'!I64:I68)+SUM('Data-MEAV'!I71:I72)+SUM('Data-MEAV'!I158:I163)+SUM('Data-MEAV'!I153:I154)</f>
        <v>1133329.5619999999</v>
      </c>
      <c r="H8" s="2">
        <f>G8/$G$11</f>
        <v>0.28940102659300543</v>
      </c>
    </row>
    <row r="9" spans="1:8">
      <c r="F9" s="2" t="s">
        <v>427</v>
      </c>
      <c r="G9" s="2">
        <f>'Calc-Drivers'!E32*(SUM('Data-MEAV'!I81:I120)+SUM('Data-MEAV'!I149:I150))</f>
        <v>267273.39028954384</v>
      </c>
      <c r="H9" s="2">
        <f>G9/$G$11</f>
        <v>6.8249515519817519E-2</v>
      </c>
    </row>
    <row r="10" spans="1:8">
      <c r="F10" s="2" t="s">
        <v>506</v>
      </c>
      <c r="G10" s="2">
        <f>'Calc-Drivers'!E32*SUM('Data-MEAV'!I121:I146)</f>
        <v>474575.532548093</v>
      </c>
      <c r="H10" s="2">
        <f>G10/$G$11</f>
        <v>0.12118509118651259</v>
      </c>
    </row>
    <row r="11" spans="1:8">
      <c r="F11" s="2" t="s">
        <v>220</v>
      </c>
      <c r="G11" s="2">
        <f>SUM(G6:G10)</f>
        <v>3916121.4296376361</v>
      </c>
      <c r="H11" s="2">
        <f>SUM(H6:H10)</f>
        <v>1.0000000000000002</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WPD South Wales in 2016/17  Status: Finals</v>
      </c>
    </row>
    <row r="3" spans="1:6">
      <c r="A3" s="2" t="s">
        <v>834</v>
      </c>
    </row>
    <row r="4" spans="1:6">
      <c r="B4" s="2" t="s">
        <v>835</v>
      </c>
    </row>
    <row r="5" spans="1:6">
      <c r="A5" s="2" t="s">
        <v>836</v>
      </c>
      <c r="B5" s="2">
        <f>'RRP 5.1'!G36</f>
        <v>7216.2041944999992</v>
      </c>
    </row>
    <row r="6" spans="1:6">
      <c r="A6" s="2" t="s">
        <v>837</v>
      </c>
      <c r="B6" s="2">
        <f>'RRP 5.1'!G35</f>
        <v>2482.1083529999996</v>
      </c>
    </row>
    <row r="7" spans="1:6">
      <c r="A7" s="2" t="s">
        <v>838</v>
      </c>
      <c r="B7" s="2">
        <f>'RRP 5.1'!G34</f>
        <v>2954.8379382999997</v>
      </c>
    </row>
    <row r="8" spans="1:6">
      <c r="A8" s="2" t="s">
        <v>839</v>
      </c>
      <c r="B8" s="2">
        <f>'RRP 5.1'!G40</f>
        <v>675.23700000000008</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0.96579764021315795</v>
      </c>
      <c r="E13" s="2">
        <f>(1+$B$8/($B$5+$B$6/2+$B$7/4)/2)/(1+$B$8/($B$5+$B$6/2+$B$7/4))</f>
        <v>0.96579764021315795</v>
      </c>
      <c r="F13" s="2">
        <f>(1+$B$8/($B$5+$B$6/2+$B$7/4)/2)/(1+$B$8/($B$5+$B$6/2+$B$7/4))</f>
        <v>0.96579764021315795</v>
      </c>
    </row>
    <row r="14" spans="1:6">
      <c r="A14" s="2" t="s">
        <v>838</v>
      </c>
      <c r="B14" s="2">
        <v>0</v>
      </c>
      <c r="C14" s="2">
        <v>0</v>
      </c>
      <c r="D14" s="2">
        <v>0</v>
      </c>
      <c r="E14" s="2">
        <f>(1+$B$8/($B$5+$B$6/2+$B$7/4)/4)/(1+$B$8/($B$5+$B$6/2+$B$7/4))</f>
        <v>0.94869646031973676</v>
      </c>
      <c r="F14" s="2">
        <f>(1+$B$8/($B$5+$B$6/2+$B$7/4)/4)/(1+$B$8/($B$5+$B$6/2+$B$7/4))</f>
        <v>0.94869646031973676</v>
      </c>
    </row>
    <row r="21" spans="1:6">
      <c r="B21" s="2" t="s">
        <v>841</v>
      </c>
      <c r="C21" s="2" t="s">
        <v>244</v>
      </c>
      <c r="D21" s="2" t="s">
        <v>245</v>
      </c>
      <c r="E21" s="2" t="s">
        <v>427</v>
      </c>
      <c r="F21" s="2" t="s">
        <v>426</v>
      </c>
    </row>
    <row r="22" spans="1:6">
      <c r="A22" s="2" t="s">
        <v>842</v>
      </c>
      <c r="B22" s="2">
        <f>SUMPRODUCT(B$12:B$14,$B$5:$B$7)</f>
        <v>7216.2041944999992</v>
      </c>
      <c r="C22" s="2">
        <f>SUMPRODUCT(C$12:C$14,$B$5:$B$7)</f>
        <v>7216.2041944999992</v>
      </c>
      <c r="D22" s="2">
        <f>SUMPRODUCT(D$12:D$14,$B$5:$B$7)</f>
        <v>9613.418584580766</v>
      </c>
      <c r="E22" s="2">
        <f>SUMPRODUCT(E$12:E$14,$B$5:$B$7)</f>
        <v>12416.662877464445</v>
      </c>
      <c r="F22" s="2">
        <f>SUMPRODUCT(F$12:F$14,$B$5:$B$7)</f>
        <v>12416.662877464445</v>
      </c>
    </row>
    <row r="23" spans="1:6">
      <c r="A23" s="2" t="s">
        <v>843</v>
      </c>
      <c r="B23" s="2">
        <f>B22*1000000</f>
        <v>7216204194.499999</v>
      </c>
      <c r="C23" s="2">
        <f>C22*1000000</f>
        <v>7216204194.499999</v>
      </c>
      <c r="D23" s="2">
        <f>D22*1000000</f>
        <v>9613418584.5807667</v>
      </c>
      <c r="E23" s="2">
        <f>E22*1000000</f>
        <v>12416662877.464445</v>
      </c>
      <c r="F23" s="2">
        <f>F22*1000000</f>
        <v>12416662877.464445</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WPD South Wales in 2016/17  Status: Finals</v>
      </c>
    </row>
    <row r="3" spans="1:16" ht="26.25" customHeight="1">
      <c r="A3" s="33" t="s">
        <v>844</v>
      </c>
      <c r="B3" s="34"/>
      <c r="C3" s="34"/>
      <c r="D3" s="35"/>
      <c r="F3" s="1512" t="s">
        <v>845</v>
      </c>
      <c r="G3" s="1513"/>
      <c r="H3" s="1517"/>
      <c r="J3" s="1512" t="s">
        <v>546</v>
      </c>
      <c r="K3" s="1513"/>
      <c r="L3" s="1517"/>
      <c r="N3" s="1519" t="s">
        <v>547</v>
      </c>
      <c r="O3" s="1520"/>
      <c r="P3" s="1521"/>
    </row>
    <row r="4" spans="1:16" ht="12.75" customHeight="1">
      <c r="A4" s="24"/>
      <c r="B4" s="22"/>
      <c r="C4" s="22" t="s">
        <v>846</v>
      </c>
      <c r="D4" s="23" t="s">
        <v>847</v>
      </c>
      <c r="F4" s="24"/>
      <c r="G4" s="22"/>
      <c r="H4" s="23"/>
      <c r="J4" s="1522" t="s">
        <v>548</v>
      </c>
      <c r="K4" s="1523"/>
      <c r="L4" s="1524"/>
      <c r="N4" s="1522" t="s">
        <v>549</v>
      </c>
      <c r="O4" s="1523"/>
      <c r="P4" s="1524"/>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49.299918108546755</v>
      </c>
      <c r="H6" s="23">
        <f>G6/SUM($G$6:$G$10)</f>
        <v>0.19866329711072617</v>
      </c>
      <c r="J6" s="25" t="s">
        <v>426</v>
      </c>
      <c r="K6" s="26"/>
      <c r="L6" s="27">
        <f>K$5*(F22/(F21+F22))</f>
        <v>0</v>
      </c>
      <c r="N6" s="24" t="s">
        <v>244</v>
      </c>
      <c r="O6" s="22">
        <f>'Reductions to net capex'!O6</f>
        <v>0</v>
      </c>
      <c r="P6" s="23"/>
    </row>
    <row r="7" spans="1:16">
      <c r="F7" s="24" t="s">
        <v>550</v>
      </c>
      <c r="G7" s="22">
        <f>C40+F40+I40+C50+F50-O7</f>
        <v>23.067824613711821</v>
      </c>
      <c r="H7" s="23">
        <f>G7/SUM($G$6:$G$10)</f>
        <v>9.2956140106396648E-2</v>
      </c>
      <c r="N7" s="24" t="s">
        <v>550</v>
      </c>
      <c r="O7" s="22">
        <f>'Reductions to net capex'!O7</f>
        <v>0</v>
      </c>
      <c r="P7" s="23"/>
    </row>
    <row r="8" spans="1:16">
      <c r="F8" s="24" t="s">
        <v>245</v>
      </c>
      <c r="G8" s="22">
        <f>C41+F41+I41+C51+F51-O8</f>
        <v>93.064880701504492</v>
      </c>
      <c r="H8" s="23">
        <f>G8/SUM($G$6:$G$10)</f>
        <v>0.37502244942212282</v>
      </c>
      <c r="N8" s="24" t="s">
        <v>245</v>
      </c>
      <c r="O8" s="22">
        <f>'Reductions to net capex'!O8</f>
        <v>0</v>
      </c>
      <c r="P8" s="23"/>
    </row>
    <row r="9" spans="1:16">
      <c r="F9" s="24" t="s">
        <v>427</v>
      </c>
      <c r="G9" s="22">
        <f>'Calc-Drivers'!E32*(C42+F42+I42+C52+F52-L5-O9)</f>
        <v>47.922535020640638</v>
      </c>
      <c r="H9" s="23">
        <f>G9/SUM($G$6:$G$10)</f>
        <v>0.19311287276670389</v>
      </c>
      <c r="N9" s="24" t="s">
        <v>427</v>
      </c>
      <c r="O9" s="22">
        <f>'Reductions to net capex'!O9</f>
        <v>0</v>
      </c>
      <c r="P9" s="23"/>
    </row>
    <row r="10" spans="1:16">
      <c r="F10" s="25" t="s">
        <v>506</v>
      </c>
      <c r="G10" s="26">
        <f>'Calc-Drivers'!E32*(C43+F43+I43+C53+F53-L6-O10)</f>
        <v>34.803000740224931</v>
      </c>
      <c r="H10" s="27">
        <f>G10/SUM($G$6:$G$10)</f>
        <v>0.14024524059405052</v>
      </c>
      <c r="N10" s="25" t="s">
        <v>506</v>
      </c>
      <c r="O10" s="26">
        <f>'Reductions to net capex'!O10</f>
        <v>0</v>
      </c>
      <c r="P10" s="27"/>
    </row>
    <row r="12" spans="1:16" ht="12" customHeight="1"/>
    <row r="13" spans="1:16">
      <c r="A13" s="1" t="s">
        <v>848</v>
      </c>
    </row>
    <row r="15" spans="1:16" ht="5.25" customHeight="1"/>
    <row r="16" spans="1:16" ht="26.25" customHeight="1">
      <c r="A16" s="31"/>
      <c r="B16" s="1512" t="s">
        <v>849</v>
      </c>
      <c r="C16" s="1517"/>
      <c r="D16" s="31"/>
      <c r="E16" s="1512" t="s">
        <v>850</v>
      </c>
      <c r="F16" s="1517"/>
      <c r="G16" s="31"/>
      <c r="H16" s="1512" t="s">
        <v>851</v>
      </c>
      <c r="I16" s="1517"/>
    </row>
    <row r="17" spans="1:9" ht="45.95" customHeight="1">
      <c r="A17" s="31"/>
      <c r="B17" s="1508" t="s">
        <v>852</v>
      </c>
      <c r="C17" s="1518"/>
      <c r="D17" s="31"/>
      <c r="E17" s="1508" t="s">
        <v>853</v>
      </c>
      <c r="F17" s="1518"/>
      <c r="G17" s="31"/>
      <c r="H17" s="1508" t="s">
        <v>854</v>
      </c>
      <c r="I17" s="1518"/>
    </row>
    <row r="18" spans="1:9" ht="12.75" customHeight="1">
      <c r="B18" s="24"/>
      <c r="C18" s="23"/>
      <c r="E18" s="24"/>
      <c r="F18" s="23"/>
      <c r="H18" s="24"/>
      <c r="I18" s="23"/>
    </row>
    <row r="19" spans="1:9" ht="12" customHeight="1">
      <c r="B19" s="24" t="s">
        <v>244</v>
      </c>
      <c r="C19" s="23">
        <f>IF(Inputs!$A$20=1,C87,IF(Inputs!$A$20=2,C66,#VALUE!))</f>
        <v>3.0999999999999943</v>
      </c>
      <c r="E19" s="24" t="s">
        <v>244</v>
      </c>
      <c r="F19" s="23">
        <f>SUM('FBPQ LR4'!D11:M11)</f>
        <v>1.8999999999999997</v>
      </c>
      <c r="H19" s="24" t="s">
        <v>244</v>
      </c>
      <c r="I19" s="23">
        <f>SUM('FBPQ LR6'!C28:L28)</f>
        <v>0</v>
      </c>
    </row>
    <row r="20" spans="1:9" ht="12" customHeight="1">
      <c r="B20" s="24" t="s">
        <v>245</v>
      </c>
      <c r="C20" s="23">
        <f>IF(Inputs!$A$20=1,C88,IF(Inputs!$A$20=2,C67,#VALUE!))</f>
        <v>1.1999999999999993</v>
      </c>
      <c r="E20" s="24" t="s">
        <v>245</v>
      </c>
      <c r="F20" s="23">
        <f>SUM('FBPQ LR4'!D12:M12)</f>
        <v>12.600000000000003</v>
      </c>
      <c r="H20" s="24" t="s">
        <v>245</v>
      </c>
      <c r="I20" s="23">
        <f>SUM('FBPQ LR6'!C29:L29)</f>
        <v>0</v>
      </c>
    </row>
    <row r="21" spans="1:9">
      <c r="B21" s="24" t="s">
        <v>427</v>
      </c>
      <c r="C21" s="23">
        <f>IF(Inputs!$A$20=1,C89,IF(Inputs!$A$20=2,C68,#VALUE!))</f>
        <v>1.5500000000000016</v>
      </c>
      <c r="E21" s="24" t="s">
        <v>427</v>
      </c>
      <c r="F21" s="23">
        <f>SUM('FBPQ LR4'!D13:M13)</f>
        <v>17.700000000000003</v>
      </c>
      <c r="H21" s="24" t="s">
        <v>427</v>
      </c>
      <c r="I21" s="23">
        <f>SUM('FBPQ LR6'!C30:L30)</f>
        <v>0.7</v>
      </c>
    </row>
    <row r="22" spans="1:9">
      <c r="B22" s="25" t="s">
        <v>506</v>
      </c>
      <c r="C22" s="27">
        <f>IF(Inputs!$A$20=1,C90,IF(Inputs!$A$20=2,C69,#VALUE!))</f>
        <v>0</v>
      </c>
      <c r="E22" s="25" t="s">
        <v>506</v>
      </c>
      <c r="F22" s="27">
        <f>SUM('FBPQ LR4'!D14:M14)</f>
        <v>9.3000000000000007</v>
      </c>
      <c r="H22" s="25" t="s">
        <v>506</v>
      </c>
      <c r="I22" s="27">
        <f>SUM('FBPQ LR6'!C31:L31)</f>
        <v>0</v>
      </c>
    </row>
    <row r="25" spans="1:9" s="31" customFormat="1" ht="36.950000000000003" customHeight="1">
      <c r="B25" s="1512" t="s">
        <v>855</v>
      </c>
      <c r="C25" s="1517"/>
      <c r="E25" s="1514" t="s">
        <v>856</v>
      </c>
      <c r="F25" s="1515"/>
    </row>
    <row r="26" spans="1:9" s="31" customFormat="1" ht="27.75" customHeight="1">
      <c r="B26" s="1508" t="s">
        <v>857</v>
      </c>
      <c r="C26" s="1518"/>
      <c r="E26" s="1510" t="s">
        <v>858</v>
      </c>
      <c r="F26" s="1511"/>
    </row>
    <row r="27" spans="1:9">
      <c r="B27" s="24"/>
      <c r="C27" s="23"/>
      <c r="E27" s="24"/>
      <c r="F27" s="23"/>
    </row>
    <row r="28" spans="1:9">
      <c r="B28" s="24" t="s">
        <v>244</v>
      </c>
      <c r="C28" s="23">
        <f>SUM('FBPQ NL1'!D10:M16)</f>
        <v>44.299918108546763</v>
      </c>
      <c r="E28" s="24" t="s">
        <v>244</v>
      </c>
      <c r="F28" s="23">
        <f>SUM('NL9 - Legal &amp; Safety'!D33:M33,'NL9 - Legal &amp; Safety'!D42:M42)</f>
        <v>0</v>
      </c>
    </row>
    <row r="29" spans="1:9">
      <c r="B29" s="24" t="s">
        <v>245</v>
      </c>
      <c r="C29" s="23">
        <f>SUM('FBPQ NL1'!D17:M22)</f>
        <v>102.33270531521633</v>
      </c>
      <c r="E29" s="24" t="s">
        <v>245</v>
      </c>
      <c r="F29" s="23">
        <f>SUM('NL9 - Legal &amp; Safety'!D34:M34,'NL9 - Legal &amp; Safety'!D43:M43)</f>
        <v>0</v>
      </c>
    </row>
    <row r="30" spans="1:9">
      <c r="B30" s="24" t="s">
        <v>427</v>
      </c>
      <c r="C30" s="23">
        <f>SUM('FBPQ NL1'!D23:M28)</f>
        <v>38.099577218071225</v>
      </c>
      <c r="E30" s="24" t="s">
        <v>427</v>
      </c>
      <c r="F30" s="23">
        <f>SUM('NL9 - Legal &amp; Safety'!D35:M35,'NL9 - Legal &amp; Safety'!D44:M44)</f>
        <v>0</v>
      </c>
    </row>
    <row r="31" spans="1:9">
      <c r="B31" s="25" t="s">
        <v>506</v>
      </c>
      <c r="C31" s="27">
        <f>SUM('FBPQ NL1'!D29:M34)</f>
        <v>32.857608691195438</v>
      </c>
      <c r="E31" s="25" t="s">
        <v>506</v>
      </c>
      <c r="F31" s="27">
        <f>SUM('NL9 - Legal &amp; Safety'!D36:M36,'NL9 - Legal &amp; Safety'!D45:M45)</f>
        <v>0</v>
      </c>
    </row>
    <row r="33" spans="1:10" s="1" customFormat="1">
      <c r="A33" s="1" t="s">
        <v>859</v>
      </c>
    </row>
    <row r="35" spans="1:10" ht="5.25" customHeight="1"/>
    <row r="36" spans="1:10" s="31" customFormat="1" ht="51" customHeight="1">
      <c r="B36" s="1512" t="s">
        <v>849</v>
      </c>
      <c r="C36" s="1513"/>
      <c r="D36" s="36"/>
      <c r="E36" s="1512" t="s">
        <v>850</v>
      </c>
      <c r="F36" s="1513"/>
      <c r="G36" s="36"/>
      <c r="H36" s="1512" t="s">
        <v>851</v>
      </c>
      <c r="I36" s="1513"/>
      <c r="J36" s="36"/>
    </row>
    <row r="37" spans="1:10" s="31" customFormat="1" ht="51" customHeight="1">
      <c r="B37" s="1508" t="s">
        <v>852</v>
      </c>
      <c r="C37" s="1509"/>
      <c r="D37" s="37"/>
      <c r="E37" s="1508" t="s">
        <v>853</v>
      </c>
      <c r="F37" s="1509"/>
      <c r="G37" s="37"/>
      <c r="H37" s="1508" t="s">
        <v>854</v>
      </c>
      <c r="I37" s="1509"/>
      <c r="J37" s="37"/>
    </row>
    <row r="38" spans="1:10" ht="12.75" customHeight="1">
      <c r="B38" s="24"/>
      <c r="C38" s="22"/>
      <c r="D38" s="23"/>
      <c r="E38" s="24"/>
      <c r="F38" s="22"/>
      <c r="G38" s="23"/>
      <c r="H38" s="24"/>
      <c r="I38" s="22"/>
      <c r="J38" s="23"/>
    </row>
    <row r="39" spans="1:10">
      <c r="B39" s="24" t="s">
        <v>244</v>
      </c>
      <c r="C39" s="22">
        <f>IF(Inputs!$A$20=1,C96,IF(Inputs!$A$20=2,C75,#VALUE!))</f>
        <v>3.0999999999999943</v>
      </c>
      <c r="D39" s="23"/>
      <c r="E39" s="24" t="s">
        <v>244</v>
      </c>
      <c r="F39" s="22">
        <f>SUM('FBPQ LR4'!D11:M11)</f>
        <v>1.8999999999999997</v>
      </c>
      <c r="G39" s="23"/>
      <c r="H39" s="24" t="s">
        <v>244</v>
      </c>
      <c r="I39" s="22">
        <f>SUM('FBPQ LR6'!C28:L28)</f>
        <v>0</v>
      </c>
      <c r="J39" s="23"/>
    </row>
    <row r="40" spans="1:10">
      <c r="B40" s="24" t="s">
        <v>550</v>
      </c>
      <c r="C40" s="22">
        <f>IF(Inputs!$A$20=1,C97,IF(Inputs!$A$20=2,C76,#VALUE!))</f>
        <v>0.28724606794854218</v>
      </c>
      <c r="D40" s="23" t="s">
        <v>860</v>
      </c>
      <c r="E40" s="24" t="s">
        <v>550</v>
      </c>
      <c r="F40" s="22">
        <f>SUM('FBPQ LR4'!D12:M12)*(C55)</f>
        <v>3.0160837134596958</v>
      </c>
      <c r="G40" s="23" t="s">
        <v>860</v>
      </c>
      <c r="H40" s="24" t="s">
        <v>550</v>
      </c>
      <c r="I40" s="22">
        <f>SUM('FBPQ LR6'!C29:L29)*(C55)</f>
        <v>0</v>
      </c>
      <c r="J40" s="23" t="s">
        <v>860</v>
      </c>
    </row>
    <row r="41" spans="1:10">
      <c r="B41" s="24" t="s">
        <v>245</v>
      </c>
      <c r="C41" s="22">
        <f>IF(Inputs!$A$20=1,C98,IF(Inputs!$A$20=2,C77,#VALUE!))</f>
        <v>0.91275393205145705</v>
      </c>
      <c r="D41" s="23"/>
      <c r="E41" s="24" t="s">
        <v>245</v>
      </c>
      <c r="F41" s="22">
        <f>SUM('FBPQ LR4'!D12:M12)*(1-C55)</f>
        <v>9.5839162865403082</v>
      </c>
      <c r="G41" s="23"/>
      <c r="H41" s="24" t="s">
        <v>245</v>
      </c>
      <c r="I41" s="22">
        <f>SUM('FBPQ LR6'!C29:L29)*(1-C55)</f>
        <v>0</v>
      </c>
      <c r="J41" s="23"/>
    </row>
    <row r="42" spans="1:10">
      <c r="B42" s="24" t="s">
        <v>427</v>
      </c>
      <c r="C42" s="22">
        <f>IF(Inputs!$A$20=1,C99,IF(Inputs!$A$20=2,C78,#VALUE!))</f>
        <v>1.5500000000000016</v>
      </c>
      <c r="D42" s="23"/>
      <c r="E42" s="24" t="s">
        <v>427</v>
      </c>
      <c r="F42" s="22">
        <f>SUM('FBPQ LR4'!D13:M13)</f>
        <v>17.700000000000003</v>
      </c>
      <c r="G42" s="23"/>
      <c r="H42" s="24" t="s">
        <v>427</v>
      </c>
      <c r="I42" s="22">
        <f>SUM('FBPQ LR6'!C30:L30)</f>
        <v>0.7</v>
      </c>
      <c r="J42" s="23"/>
    </row>
    <row r="43" spans="1:10">
      <c r="B43" s="25" t="s">
        <v>506</v>
      </c>
      <c r="C43" s="26">
        <f>IF(Inputs!$A$20=1,C100,IF(Inputs!$A$20=2,C79,#VALUE!))</f>
        <v>0</v>
      </c>
      <c r="D43" s="27"/>
      <c r="E43" s="25" t="s">
        <v>506</v>
      </c>
      <c r="F43" s="26">
        <f>SUM('FBPQ LR4'!D14:M14)</f>
        <v>9.3000000000000007</v>
      </c>
      <c r="G43" s="27"/>
      <c r="H43" s="25" t="s">
        <v>506</v>
      </c>
      <c r="I43" s="26">
        <f>SUM('FBPQ LR6'!C31:L31)</f>
        <v>0</v>
      </c>
      <c r="J43" s="27"/>
    </row>
    <row r="46" spans="1:10" s="31" customFormat="1" ht="27.75" customHeight="1">
      <c r="B46" s="1512" t="s">
        <v>855</v>
      </c>
      <c r="C46" s="1513"/>
      <c r="D46" s="36"/>
      <c r="E46" s="1514" t="s">
        <v>856</v>
      </c>
      <c r="F46" s="1515"/>
      <c r="H46" s="1514" t="s">
        <v>856</v>
      </c>
      <c r="I46" s="1516"/>
      <c r="J46" s="36"/>
    </row>
    <row r="47" spans="1:10" s="31" customFormat="1" ht="27.75" customHeight="1">
      <c r="B47" s="1508" t="s">
        <v>857</v>
      </c>
      <c r="C47" s="1509"/>
      <c r="D47" s="37"/>
      <c r="E47" s="1510" t="s">
        <v>858</v>
      </c>
      <c r="F47" s="1511"/>
      <c r="H47" s="1508" t="s">
        <v>861</v>
      </c>
      <c r="I47" s="1509"/>
      <c r="J47" s="37"/>
    </row>
    <row r="48" spans="1:10">
      <c r="B48" s="24"/>
      <c r="C48" s="22"/>
      <c r="D48" s="23"/>
      <c r="E48" s="24"/>
      <c r="F48" s="23"/>
      <c r="H48" s="24"/>
      <c r="I48" s="22"/>
      <c r="J48" s="23"/>
    </row>
    <row r="49" spans="2:10">
      <c r="B49" s="24" t="s">
        <v>244</v>
      </c>
      <c r="C49" s="22">
        <f>SUM('FBPQ NL1'!D10:M16)</f>
        <v>44.299918108546763</v>
      </c>
      <c r="D49" s="23"/>
      <c r="E49" s="24" t="s">
        <v>244</v>
      </c>
      <c r="F49" s="23">
        <f>SUM('NL9 - Legal &amp; Safety'!D33:M33,'NL9 - Legal &amp; Safety'!D42:M42)</f>
        <v>0</v>
      </c>
      <c r="H49" s="24" t="s">
        <v>244</v>
      </c>
      <c r="I49" s="22">
        <f>F49+C49</f>
        <v>44.299918108546763</v>
      </c>
      <c r="J49" s="23">
        <f>I49/SUM($I$49:$I$53)</f>
        <v>0.20359371720733485</v>
      </c>
    </row>
    <row r="50" spans="2:10">
      <c r="B50" s="24" t="s">
        <v>550</v>
      </c>
      <c r="C50" s="22">
        <f>SUM('FBPQ NL1'!D21:M22)</f>
        <v>19.764494832303583</v>
      </c>
      <c r="D50" s="23" t="s">
        <v>862</v>
      </c>
      <c r="E50" s="24" t="s">
        <v>550</v>
      </c>
      <c r="F50" s="23">
        <f>SUM('NL9 - Legal &amp; Safety'!D34:M34,'NL9 - Legal &amp; Safety'!D43:M43)*C55</f>
        <v>0</v>
      </c>
      <c r="H50" s="24" t="s">
        <v>550</v>
      </c>
      <c r="I50" s="22">
        <f>F50+C50</f>
        <v>19.764494832303583</v>
      </c>
      <c r="J50" s="23">
        <f>I50/SUM($I$49:$I$53)</f>
        <v>9.0833733863212543E-2</v>
      </c>
    </row>
    <row r="51" spans="2:10">
      <c r="B51" s="24" t="s">
        <v>245</v>
      </c>
      <c r="C51" s="22">
        <f>SUM('FBPQ NL1'!D17:M20)</f>
        <v>82.568210482912733</v>
      </c>
      <c r="D51" s="23"/>
      <c r="E51" s="24" t="s">
        <v>245</v>
      </c>
      <c r="F51" s="23">
        <f>SUM('NL9 - Legal &amp; Safety'!D34:M34,'NL9 - Legal &amp; Safety'!D43:M43)*(1-C55)</f>
        <v>0</v>
      </c>
      <c r="H51" s="24" t="s">
        <v>245</v>
      </c>
      <c r="I51" s="22">
        <f>F51+C51</f>
        <v>82.568210482912733</v>
      </c>
      <c r="J51" s="23">
        <f>I51/SUM($I$49:$I$53)</f>
        <v>0.37946726795710756</v>
      </c>
    </row>
    <row r="52" spans="2:10">
      <c r="B52" s="24" t="s">
        <v>427</v>
      </c>
      <c r="C52" s="22">
        <f>SUM('FBPQ NL1'!D23:M28)</f>
        <v>38.099577218071225</v>
      </c>
      <c r="D52" s="23"/>
      <c r="E52" s="24" t="s">
        <v>427</v>
      </c>
      <c r="F52" s="23">
        <f>SUM('NL9 - Legal &amp; Safety'!D35:M35,'NL9 - Legal &amp; Safety'!D44:M44)</f>
        <v>0</v>
      </c>
      <c r="H52" s="24" t="s">
        <v>427</v>
      </c>
      <c r="I52" s="22">
        <f>F52+C52</f>
        <v>38.099577218071225</v>
      </c>
      <c r="J52" s="23">
        <f>I52/SUM($I$49:$I$53)</f>
        <v>0.17509816904962827</v>
      </c>
    </row>
    <row r="53" spans="2:10">
      <c r="B53" s="25" t="s">
        <v>506</v>
      </c>
      <c r="C53" s="26">
        <f>SUM('FBPQ NL1'!D29:M34)</f>
        <v>32.857608691195438</v>
      </c>
      <c r="D53" s="27"/>
      <c r="E53" s="25" t="s">
        <v>506</v>
      </c>
      <c r="F53" s="27">
        <f>SUM('NL9 - Legal &amp; Safety'!D36:M36,'NL9 - Legal &amp; Safety'!D45:M45)</f>
        <v>0</v>
      </c>
      <c r="H53" s="25" t="s">
        <v>506</v>
      </c>
      <c r="I53" s="26">
        <f>F53+C53</f>
        <v>32.857608691195438</v>
      </c>
      <c r="J53" s="27">
        <f>I53/SUM($I$49:$I$53)</f>
        <v>0.15100711192271685</v>
      </c>
    </row>
    <row r="55" spans="2:10">
      <c r="B55" s="20" t="s">
        <v>863</v>
      </c>
      <c r="C55" s="21">
        <f>C50/C51</f>
        <v>0.23937172329045198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3.0999999999999943</v>
      </c>
    </row>
    <row r="88" spans="2:3">
      <c r="B88" s="2" t="s">
        <v>245</v>
      </c>
      <c r="C88" s="3">
        <f>(SUM('FBPQ LR1'!D86:M86)-SUM('FBPQ LR1'!D114:M114))</f>
        <v>1.1999999999999993</v>
      </c>
    </row>
    <row r="89" spans="2:3">
      <c r="B89" s="2" t="s">
        <v>427</v>
      </c>
      <c r="C89" s="3">
        <f>(SUM('FBPQ LR1'!D90:M90)-SUM('FBPQ LR1'!D118:M118))</f>
        <v>1.5500000000000016</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3.0999999999999943</v>
      </c>
    </row>
    <row r="97" spans="2:3">
      <c r="B97" s="2" t="s">
        <v>550</v>
      </c>
      <c r="C97" s="3">
        <f>(SUM('FBPQ LR1'!D86:M86)-SUM('FBPQ LR1'!D114:M114))*C110</f>
        <v>0.28724606794854218</v>
      </c>
    </row>
    <row r="98" spans="2:3">
      <c r="B98" s="2" t="s">
        <v>245</v>
      </c>
      <c r="C98" s="3">
        <f>(SUM('FBPQ LR1'!D86:M86)-SUM('FBPQ LR1'!D114:M114))*(1-C110)</f>
        <v>0.91275393205145705</v>
      </c>
    </row>
    <row r="99" spans="2:3">
      <c r="B99" s="2" t="s">
        <v>427</v>
      </c>
      <c r="C99" s="3">
        <f>(SUM('FBPQ LR1'!D90:M90)-SUM('FBPQ LR1'!D118:M118))</f>
        <v>1.5500000000000016</v>
      </c>
    </row>
    <row r="100" spans="2:3">
      <c r="B100" s="2" t="s">
        <v>506</v>
      </c>
      <c r="C100" s="3">
        <f>(SUM('FBPQ LR1'!D94:M94)-SUM('FBPQ LR1'!D122:M122))</f>
        <v>0</v>
      </c>
    </row>
    <row r="110" spans="2:3">
      <c r="C110" s="2">
        <f>C50/C51</f>
        <v>0.23937172329045198</v>
      </c>
    </row>
  </sheetData>
  <sheetProtection sheet="1" objects="1" scenarios="1"/>
  <mergeCells count="27">
    <mergeCell ref="F3:H3"/>
    <mergeCell ref="J3:L3"/>
    <mergeCell ref="N3:P3"/>
    <mergeCell ref="J4:L4"/>
    <mergeCell ref="N4:P4"/>
    <mergeCell ref="B16:C16"/>
    <mergeCell ref="E16:F16"/>
    <mergeCell ref="H16:I16"/>
    <mergeCell ref="B17:C17"/>
    <mergeCell ref="E17:F17"/>
    <mergeCell ref="H17:I17"/>
    <mergeCell ref="B25:C25"/>
    <mergeCell ref="E25:F25"/>
    <mergeCell ref="B26:C26"/>
    <mergeCell ref="E26:F26"/>
    <mergeCell ref="B36:C36"/>
    <mergeCell ref="E36:F36"/>
    <mergeCell ref="H47:I47"/>
    <mergeCell ref="B47:C47"/>
    <mergeCell ref="E47:F47"/>
    <mergeCell ref="H36:I36"/>
    <mergeCell ref="B37:C37"/>
    <mergeCell ref="E37:F37"/>
    <mergeCell ref="H37:I37"/>
    <mergeCell ref="B46:C46"/>
    <mergeCell ref="E46:F46"/>
    <mergeCell ref="H46:I46"/>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WPD South Wales in 2016/17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2.6550000000000002</v>
      </c>
      <c r="F7" s="2">
        <f>MAX(0,'Calc-Net capex'!C20)/10+'RRP 2.4'!L17</f>
        <v>1.02</v>
      </c>
      <c r="H7" s="2">
        <f>MAX(0,'Calc-Net capex'!C19)/10+'RRP 2.4'!L16</f>
        <v>0.60999999999999943</v>
      </c>
      <c r="I7" s="2">
        <v>0</v>
      </c>
      <c r="K7" s="2" t="s">
        <v>893</v>
      </c>
      <c r="L7" s="2">
        <f>IF(ISERROR(VLOOKUP($K7,'Calc-Drivers'!$B$17:$G$27,L$43,FALSE))," ",VLOOKUP($K7,'Calc-Drivers'!$B$17:$G$27,L$43,FALSE))</f>
        <v>0.18943460670633011</v>
      </c>
      <c r="M7" s="2">
        <f>IF(ISERROR(VLOOKUP($K7,'Calc-Drivers'!$B$17:$G$27,M$43,FALSE))," ",VLOOKUP($K7,'Calc-Drivers'!$B$17:$G$27,M$43,FALSE))</f>
        <v>0.28940102659300543</v>
      </c>
      <c r="N7" s="2">
        <f>IF(ISERROR(VLOOKUP($K7,'Calc-Drivers'!$B$17:$G$27,N$43,FALSE))," ",VLOOKUP($K7,'Calc-Drivers'!$B$17:$G$27,N$43,FALSE))</f>
        <v>7.0828809827193168E-2</v>
      </c>
      <c r="O7" s="2">
        <f>IF(ISERROR(VLOOKUP($K7,'Calc-Drivers'!$B$17:$G$27,O$43,FALSE))," ",VLOOKUP($K7,'Calc-Drivers'!$B$17:$G$27,O$43,FALSE))</f>
        <v>0.28322616770916398</v>
      </c>
      <c r="P7" s="2">
        <f>IF(ISERROR(VLOOKUP($K7,'Calc-Drivers'!$B$17:$G$27,P$43,FALSE))," ",VLOOKUP($K7,'Calc-Drivers'!$B$17:$G$27,P$43,FALSE))</f>
        <v>0.16710938916430748</v>
      </c>
      <c r="S7" s="2">
        <f t="shared" ref="S7:W7" si="0">IF(ISERROR($I7*L7)," ",$I7*L7)</f>
        <v>0</v>
      </c>
      <c r="T7" s="2">
        <f t="shared" si="0"/>
        <v>0</v>
      </c>
      <c r="U7" s="2">
        <f t="shared" si="0"/>
        <v>0</v>
      </c>
      <c r="V7" s="2">
        <f t="shared" si="0"/>
        <v>0</v>
      </c>
      <c r="W7" s="2">
        <f t="shared" si="0"/>
        <v>0</v>
      </c>
      <c r="Z7" s="2">
        <f t="shared" ref="Z7:AB7" si="1">IF($K7="Do not allocate"," ",S7+E7)</f>
        <v>2.6550000000000002</v>
      </c>
      <c r="AA7" s="2">
        <f t="shared" si="1"/>
        <v>1.02</v>
      </c>
      <c r="AB7" s="2">
        <f t="shared" si="1"/>
        <v>0</v>
      </c>
      <c r="AC7" s="2">
        <f t="shared" ref="AC7:AD7" si="2">IF($K7="Do not allocate"," ",($H7*O7/($O7+$P7)+V7))</f>
        <v>0.3836427296615435</v>
      </c>
      <c r="AD7" s="2">
        <f t="shared" si="2"/>
        <v>0.2263572703384559</v>
      </c>
      <c r="AG7" s="2">
        <f>IF(ISERROR(Z7*100000000/'Calc-Units'!$E$23)," ",Z7*100000000/'Calc-Units'!$E$23)</f>
        <v>2.138255686089922E-2</v>
      </c>
      <c r="AH7" s="2">
        <f>IF(ISERROR(AA7*100000000/'Calc-Units'!$D$23)," ",AA7*100000000/'Calc-Units'!$D$23)</f>
        <v>1.061016943167342E-2</v>
      </c>
      <c r="AI7" s="2">
        <f>IF(ISERROR(AB7*100000000/'Calc-Units'!$C$23)," ",AB7*100000000/'Calc-Units'!$C$23)</f>
        <v>0</v>
      </c>
      <c r="AJ7" s="2">
        <f>IF(ISERROR(AC7*100000000/'Calc-Units'!$C$23)," ",AC7*100000000/'Calc-Units'!$C$23)</f>
        <v>5.3164062340966727E-3</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32.299999999999997</v>
      </c>
      <c r="E8" s="2">
        <f>SUM('RRP 2.4'!G44:G55)+'RRP 2.4'!G71+'RRP 2.4'!H71</f>
        <v>8.5</v>
      </c>
      <c r="F8" s="2">
        <f>SUM('RRP 2.4'!G38:G40)+'RRP 2.4'!F71</f>
        <v>14.299999999999999</v>
      </c>
      <c r="G8" s="2">
        <f>'RRP 2.4'!G41+'RRP 2.4'!G42+'RRP 2.4'!G43</f>
        <v>4.2</v>
      </c>
      <c r="H8" s="2">
        <f>SUM('RRP 2.4'!G31:G37)+'RRP 2.4'!E71</f>
        <v>5.1999999999999993</v>
      </c>
      <c r="I8" s="2">
        <f t="shared" ref="I8:I40" si="5">D8-E8-F8-G8-H8</f>
        <v>9.9999999999998757E-2</v>
      </c>
      <c r="K8" s="2" t="s">
        <v>893</v>
      </c>
      <c r="L8" s="2">
        <f>IF(ISERROR(VLOOKUP($K8,'Calc-Drivers'!$B$17:$G$27,L$43,FALSE))," ",VLOOKUP($K8,'Calc-Drivers'!$B$17:$G$27,L$43,FALSE))</f>
        <v>0.18943460670633011</v>
      </c>
      <c r="M8" s="2">
        <f>IF(ISERROR(VLOOKUP($K8,'Calc-Drivers'!$B$17:$G$27,M$43,FALSE))," ",VLOOKUP($K8,'Calc-Drivers'!$B$17:$G$27,M$43,FALSE))</f>
        <v>0.28940102659300543</v>
      </c>
      <c r="N8" s="2">
        <f>IF(ISERROR(VLOOKUP($K8,'Calc-Drivers'!$B$17:$G$27,N$43,FALSE))," ",VLOOKUP($K8,'Calc-Drivers'!$B$17:$G$27,N$43,FALSE))</f>
        <v>7.0828809827193168E-2</v>
      </c>
      <c r="O8" s="2">
        <f>IF(ISERROR(VLOOKUP($K8,'Calc-Drivers'!$B$17:$G$27,O$43,FALSE))," ",VLOOKUP($K8,'Calc-Drivers'!$B$17:$G$27,O$43,FALSE))</f>
        <v>0.28322616770916398</v>
      </c>
      <c r="P8" s="2">
        <f>IF(ISERROR(VLOOKUP($K8,'Calc-Drivers'!$B$17:$G$27,P$43,FALSE))," ",VLOOKUP($K8,'Calc-Drivers'!$B$17:$G$27,P$43,FALSE))</f>
        <v>0.16710938916430748</v>
      </c>
      <c r="S8" s="2">
        <f t="shared" ref="S8:W39" si="6">IF(ISERROR($I8*L8)," ",$I8*L8)</f>
        <v>1.8943460670632777E-2</v>
      </c>
      <c r="T8" s="2">
        <f t="shared" si="6"/>
        <v>2.8940102659300183E-2</v>
      </c>
      <c r="U8" s="2">
        <f t="shared" si="6"/>
        <v>7.0828809827192286E-3</v>
      </c>
      <c r="V8" s="2">
        <f t="shared" si="6"/>
        <v>2.8322616770916045E-2</v>
      </c>
      <c r="W8" s="2">
        <f t="shared" si="6"/>
        <v>1.6710938916430541E-2</v>
      </c>
      <c r="Z8" s="2">
        <f t="shared" ref="Z8:AB39" si="7">IF($K8="Do not allocate"," ",S8+E8)</f>
        <v>8.5189434606706325</v>
      </c>
      <c r="AA8" s="2">
        <f t="shared" si="7"/>
        <v>14.328940102659299</v>
      </c>
      <c r="AB8" s="2">
        <f t="shared" si="7"/>
        <v>4.2070828809827194</v>
      </c>
      <c r="AC8" s="2">
        <f t="shared" ref="AC8:AD39" si="8">IF($K8="Do not allocate"," ",($H8*O8/($O8+$P8)+V8))</f>
        <v>3.2987196565086658</v>
      </c>
      <c r="AD8" s="2">
        <f t="shared" si="8"/>
        <v>1.946313899178679</v>
      </c>
      <c r="AG8" s="2">
        <f>IF(ISERROR(Z8*100000000/'Calc-Units'!$E$23)," ",Z8*100000000/'Calc-Units'!$E$23)</f>
        <v>6.8608961560292031E-2</v>
      </c>
      <c r="AH8" s="2">
        <f>IF(ISERROR(AA8*100000000/'Calc-Units'!$D$23)," ",AA8*100000000/'Calc-Units'!$D$23)</f>
        <v>0.14905145320148538</v>
      </c>
      <c r="AI8" s="2">
        <f>IF(ISERROR(AB8*100000000/'Calc-Units'!$C$23)," ",AB8*100000000/'Calc-Units'!$C$23)</f>
        <v>5.8300496598880161E-2</v>
      </c>
      <c r="AJ8" s="2">
        <f>IF(ISERROR(AC8*100000000/'Calc-Units'!$C$23)," ",AC8*100000000/'Calc-Units'!$C$23)</f>
        <v>4.5712670645086002E-2</v>
      </c>
      <c r="AL8" s="2">
        <v>1</v>
      </c>
      <c r="AM8" s="2">
        <f t="shared" ref="AM8:AM39" si="9">AL8*D8</f>
        <v>32.299999999999997</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3</v>
      </c>
      <c r="E9" s="2">
        <v>0</v>
      </c>
      <c r="F9" s="2">
        <v>0</v>
      </c>
      <c r="G9" s="2">
        <v>0</v>
      </c>
      <c r="H9" s="2">
        <v>0</v>
      </c>
      <c r="I9" s="2">
        <f t="shared" si="5"/>
        <v>3</v>
      </c>
      <c r="K9" s="2" t="s">
        <v>893</v>
      </c>
      <c r="L9" s="2">
        <f>IF(ISERROR(VLOOKUP($K9,'Calc-Drivers'!$B$17:$G$27,L$43,FALSE))," ",VLOOKUP($K9,'Calc-Drivers'!$B$17:$G$27,L$43,FALSE))</f>
        <v>0.18943460670633011</v>
      </c>
      <c r="M9" s="2">
        <f>IF(ISERROR(VLOOKUP($K9,'Calc-Drivers'!$B$17:$G$27,M$43,FALSE))," ",VLOOKUP($K9,'Calc-Drivers'!$B$17:$G$27,M$43,FALSE))</f>
        <v>0.28940102659300543</v>
      </c>
      <c r="N9" s="2">
        <f>IF(ISERROR(VLOOKUP($K9,'Calc-Drivers'!$B$17:$G$27,N$43,FALSE))," ",VLOOKUP($K9,'Calc-Drivers'!$B$17:$G$27,N$43,FALSE))</f>
        <v>7.0828809827193168E-2</v>
      </c>
      <c r="O9" s="2">
        <f>IF(ISERROR(VLOOKUP($K9,'Calc-Drivers'!$B$17:$G$27,O$43,FALSE))," ",VLOOKUP($K9,'Calc-Drivers'!$B$17:$G$27,O$43,FALSE))</f>
        <v>0.28322616770916398</v>
      </c>
      <c r="P9" s="2">
        <f>IF(ISERROR(VLOOKUP($K9,'Calc-Drivers'!$B$17:$G$27,P$43,FALSE))," ",VLOOKUP($K9,'Calc-Drivers'!$B$17:$G$27,P$43,FALSE))</f>
        <v>0.16710938916430748</v>
      </c>
      <c r="S9" s="2">
        <f t="shared" si="6"/>
        <v>0.56830382011899028</v>
      </c>
      <c r="T9" s="2">
        <f t="shared" si="6"/>
        <v>0.86820307977901634</v>
      </c>
      <c r="U9" s="2">
        <f t="shared" si="6"/>
        <v>0.2124864294815795</v>
      </c>
      <c r="V9" s="2">
        <f t="shared" si="6"/>
        <v>0.84967850312749194</v>
      </c>
      <c r="W9" s="2">
        <f t="shared" si="6"/>
        <v>0.50132816749292242</v>
      </c>
      <c r="Z9" s="2">
        <f t="shared" si="7"/>
        <v>0.56830382011899028</v>
      </c>
      <c r="AA9" s="2">
        <f t="shared" si="7"/>
        <v>0.86820307977901634</v>
      </c>
      <c r="AB9" s="2">
        <f t="shared" si="7"/>
        <v>0.2124864294815795</v>
      </c>
      <c r="AC9" s="2">
        <f t="shared" si="8"/>
        <v>0.84967850312749194</v>
      </c>
      <c r="AD9" s="2">
        <f t="shared" si="8"/>
        <v>0.50132816749292242</v>
      </c>
      <c r="AG9" s="2">
        <f>IF(ISERROR(Z9*100000000/'Calc-Units'!$E$23)," ",Z9*100000000/'Calc-Units'!$E$23)</f>
        <v>4.5769449144860827E-3</v>
      </c>
      <c r="AH9" s="2">
        <f>IF(ISERROR(AA9*100000000/'Calc-Units'!$D$23)," ",AA9*100000000/'Calc-Units'!$D$23)</f>
        <v>9.0311586054470962E-3</v>
      </c>
      <c r="AI9" s="2">
        <f>IF(ISERROR(AB9*100000000/'Calc-Units'!$C$23)," ",AB9*100000000/'Calc-Units'!$C$23)</f>
        <v>2.9445734038891398E-3</v>
      </c>
      <c r="AJ9" s="2">
        <f>IF(ISERROR(AC9*100000000/'Calc-Units'!$C$23)," ",AC9*100000000/'Calc-Units'!$C$23)</f>
        <v>1.17745906327747E-2</v>
      </c>
      <c r="AL9" s="2">
        <v>0.23499999999999999</v>
      </c>
      <c r="AM9" s="2">
        <f t="shared" si="9"/>
        <v>0.70499999999999996</v>
      </c>
      <c r="AN9" s="2">
        <f t="shared" si="10"/>
        <v>2.2949999999999999</v>
      </c>
      <c r="AQ9" s="2">
        <f t="shared" si="11"/>
        <v>0.43475242239102757</v>
      </c>
      <c r="AR9" s="2">
        <f t="shared" si="11"/>
        <v>0.66417535603094746</v>
      </c>
      <c r="AS9" s="2">
        <f t="shared" si="11"/>
        <v>0.16255211855340831</v>
      </c>
      <c r="AT9" s="2">
        <f t="shared" si="11"/>
        <v>0.65000405489253132</v>
      </c>
      <c r="AU9" s="2">
        <f t="shared" si="11"/>
        <v>0.38351604813208567</v>
      </c>
      <c r="AX9" s="2">
        <f>IF(ISERROR(AQ9*100000000/'Calc-Units'!$E$23)," ",AQ9*100000000/'Calc-Units'!$E$23)</f>
        <v>3.5013628595818537E-3</v>
      </c>
      <c r="AY9" s="2">
        <f>IF(ISERROR(AR9*100000000/'Calc-Units'!$D$23)," ",AR9*100000000/'Calc-Units'!$D$23)</f>
        <v>6.9088363331670285E-3</v>
      </c>
      <c r="AZ9" s="2">
        <f>IF(ISERROR(AS9*100000000/'Calc-Units'!$C$23)," ",AS9*100000000/'Calc-Units'!$C$23)</f>
        <v>2.2525986539751919E-3</v>
      </c>
      <c r="BA9" s="2">
        <f>IF(ISERROR(AT9*100000000/'Calc-Units'!$C$23)," ",AT9*100000000/'Calc-Units'!$C$23)</f>
        <v>9.0075618340726468E-3</v>
      </c>
    </row>
    <row r="10" spans="1:53">
      <c r="C10" s="2" t="s">
        <v>573</v>
      </c>
      <c r="D10" s="2">
        <f>'RRP 1.3'!G$12</f>
        <v>8.3000000000000007</v>
      </c>
      <c r="E10" s="2">
        <f>SUM('RRP 2.3'!I20:I27)</f>
        <v>0.60000000000000009</v>
      </c>
      <c r="F10" s="2">
        <f>SUM('RRP 2.3'!I17:I18)</f>
        <v>2.2999999999999998</v>
      </c>
      <c r="G10" s="2">
        <f>SUM('RRP 2.3'!I19)</f>
        <v>0.2</v>
      </c>
      <c r="H10" s="2">
        <f>SUM('RRP 2.3'!I11:I16)</f>
        <v>4.8999999999999995</v>
      </c>
      <c r="I10" s="2">
        <f t="shared" si="5"/>
        <v>0.3000000000000016</v>
      </c>
      <c r="K10" s="2" t="s">
        <v>893</v>
      </c>
      <c r="L10" s="2">
        <f>IF(ISERROR(VLOOKUP($K10,'Calc-Drivers'!$B$17:$G$27,L$43,FALSE))," ",VLOOKUP($K10,'Calc-Drivers'!$B$17:$G$27,L$43,FALSE))</f>
        <v>0.18943460670633011</v>
      </c>
      <c r="M10" s="2">
        <f>IF(ISERROR(VLOOKUP($K10,'Calc-Drivers'!$B$17:$G$27,M$43,FALSE))," ",VLOOKUP($K10,'Calc-Drivers'!$B$17:$G$27,M$43,FALSE))</f>
        <v>0.28940102659300543</v>
      </c>
      <c r="N10" s="2">
        <f>IF(ISERROR(VLOOKUP($K10,'Calc-Drivers'!$B$17:$G$27,N$43,FALSE))," ",VLOOKUP($K10,'Calc-Drivers'!$B$17:$G$27,N$43,FALSE))</f>
        <v>7.0828809827193168E-2</v>
      </c>
      <c r="O10" s="2">
        <f>IF(ISERROR(VLOOKUP($K10,'Calc-Drivers'!$B$17:$G$27,O$43,FALSE))," ",VLOOKUP($K10,'Calc-Drivers'!$B$17:$G$27,O$43,FALSE))</f>
        <v>0.28322616770916398</v>
      </c>
      <c r="P10" s="2">
        <f>IF(ISERROR(VLOOKUP($K10,'Calc-Drivers'!$B$17:$G$27,P$43,FALSE))," ",VLOOKUP($K10,'Calc-Drivers'!$B$17:$G$27,P$43,FALSE))</f>
        <v>0.16710938916430748</v>
      </c>
      <c r="S10" s="2">
        <f t="shared" si="6"/>
        <v>5.6830382011899334E-2</v>
      </c>
      <c r="T10" s="2">
        <f t="shared" si="6"/>
        <v>8.6820307977902092E-2</v>
      </c>
      <c r="U10" s="2">
        <f t="shared" si="6"/>
        <v>2.1248642948158064E-2</v>
      </c>
      <c r="V10" s="2">
        <f t="shared" si="6"/>
        <v>8.4967850312749643E-2</v>
      </c>
      <c r="W10" s="2">
        <f t="shared" si="6"/>
        <v>5.0132816749292514E-2</v>
      </c>
      <c r="Z10" s="2">
        <f t="shared" si="7"/>
        <v>0.65683038201189947</v>
      </c>
      <c r="AA10" s="2">
        <f t="shared" si="7"/>
        <v>2.386820307977902</v>
      </c>
      <c r="AB10" s="2">
        <f t="shared" si="7"/>
        <v>0.22124864294815808</v>
      </c>
      <c r="AC10" s="2">
        <f t="shared" si="8"/>
        <v>3.1666881377579377</v>
      </c>
      <c r="AD10" s="2">
        <f t="shared" si="8"/>
        <v>1.8684125293041038</v>
      </c>
      <c r="AG10" s="2">
        <f>IF(ISERROR(Z10*100000000/'Calc-Units'!$E$23)," ",Z10*100000000/'Calc-Units'!$E$23)</f>
        <v>5.2899107311998482E-3</v>
      </c>
      <c r="AH10" s="2">
        <f>IF(ISERROR(AA10*100000000/'Calc-Units'!$D$23)," ",AA10*100000000/'Calc-Units'!$D$23)</f>
        <v>2.4828007716278893E-2</v>
      </c>
      <c r="AI10" s="2">
        <f>IF(ISERROR(AB10*100000000/'Calc-Units'!$C$23)," ",AB10*100000000/'Calc-Units'!$C$23)</f>
        <v>3.0659975381071946E-3</v>
      </c>
      <c r="AJ10" s="2">
        <f>IF(ISERROR(AC10*100000000/'Calc-Units'!$C$23)," ",AC10*100000000/'Calc-Units'!$C$23)</f>
        <v>4.3883017337168817E-2</v>
      </c>
      <c r="AL10" s="2">
        <v>0.23499999999999999</v>
      </c>
      <c r="AM10" s="2">
        <f t="shared" si="9"/>
        <v>1.9505000000000001</v>
      </c>
      <c r="AN10" s="2">
        <f t="shared" si="10"/>
        <v>6.3495000000000008</v>
      </c>
      <c r="AQ10" s="2">
        <f t="shared" si="11"/>
        <v>0.50247524223910311</v>
      </c>
      <c r="AR10" s="2">
        <f t="shared" si="11"/>
        <v>1.825917535603095</v>
      </c>
      <c r="AS10" s="2">
        <f t="shared" si="11"/>
        <v>0.16925521185534093</v>
      </c>
      <c r="AT10" s="2">
        <f t="shared" si="11"/>
        <v>2.4225164253848224</v>
      </c>
      <c r="AU10" s="2">
        <f t="shared" si="11"/>
        <v>1.4293355849176395</v>
      </c>
      <c r="AX10" s="2">
        <f>IF(ISERROR(AQ10*100000000/'Calc-Units'!$E$23)," ",AQ10*100000000/'Calc-Units'!$E$23)</f>
        <v>4.0467817093678832E-3</v>
      </c>
      <c r="AY10" s="2">
        <f>IF(ISERROR(AR10*100000000/'Calc-Units'!$D$23)," ",AR10*100000000/'Calc-Units'!$D$23)</f>
        <v>1.8993425902953352E-2</v>
      </c>
      <c r="AZ10" s="2">
        <f>IF(ISERROR(AS10*100000000/'Calc-Units'!$C$23)," ",AS10*100000000/'Calc-Units'!$C$23)</f>
        <v>2.3454881166520038E-3</v>
      </c>
      <c r="BA10" s="2">
        <f>IF(ISERROR(AT10*100000000/'Calc-Units'!$C$23)," ",AT10*100000000/'Calc-Units'!$C$23)</f>
        <v>3.3570508262934146E-2</v>
      </c>
    </row>
    <row r="11" spans="1:53">
      <c r="C11" s="2" t="s">
        <v>574</v>
      </c>
      <c r="D11" s="2">
        <f>'RRP 1.3'!H$12</f>
        <v>5.5</v>
      </c>
      <c r="E11" s="2">
        <f>SUM('RRP 2.3'!G20:G27)</f>
        <v>2.3000000000000003</v>
      </c>
      <c r="F11" s="2">
        <f>SUM('RRP 2.3'!G17:G18)</f>
        <v>0.6</v>
      </c>
      <c r="G11" s="2">
        <f>SUM('RRP 2.3'!G19)</f>
        <v>1.6</v>
      </c>
      <c r="H11" s="2">
        <f>SUM('RRP 2.3'!G11:G16)</f>
        <v>0.70000000000000007</v>
      </c>
      <c r="I11" s="2">
        <f t="shared" si="5"/>
        <v>0.29999999999999949</v>
      </c>
      <c r="K11" s="2" t="s">
        <v>893</v>
      </c>
      <c r="L11" s="2">
        <f>IF(ISERROR(VLOOKUP($K11,'Calc-Drivers'!$B$17:$G$27,L$43,FALSE))," ",VLOOKUP($K11,'Calc-Drivers'!$B$17:$G$27,L$43,FALSE))</f>
        <v>0.18943460670633011</v>
      </c>
      <c r="M11" s="2">
        <f>IF(ISERROR(VLOOKUP($K11,'Calc-Drivers'!$B$17:$G$27,M$43,FALSE))," ",VLOOKUP($K11,'Calc-Drivers'!$B$17:$G$27,M$43,FALSE))</f>
        <v>0.28940102659300543</v>
      </c>
      <c r="N11" s="2">
        <f>IF(ISERROR(VLOOKUP($K11,'Calc-Drivers'!$B$17:$G$27,N$43,FALSE))," ",VLOOKUP($K11,'Calc-Drivers'!$B$17:$G$27,N$43,FALSE))</f>
        <v>7.0828809827193168E-2</v>
      </c>
      <c r="O11" s="2">
        <f>IF(ISERROR(VLOOKUP($K11,'Calc-Drivers'!$B$17:$G$27,O$43,FALSE))," ",VLOOKUP($K11,'Calc-Drivers'!$B$17:$G$27,O$43,FALSE))</f>
        <v>0.28322616770916398</v>
      </c>
      <c r="P11" s="2">
        <f>IF(ISERROR(VLOOKUP($K11,'Calc-Drivers'!$B$17:$G$27,P$43,FALSE))," ",VLOOKUP($K11,'Calc-Drivers'!$B$17:$G$27,P$43,FALSE))</f>
        <v>0.16710938916430748</v>
      </c>
      <c r="S11" s="2">
        <f t="shared" si="6"/>
        <v>5.6830382011898939E-2</v>
      </c>
      <c r="T11" s="2">
        <f t="shared" si="6"/>
        <v>8.6820307977901481E-2</v>
      </c>
      <c r="U11" s="2">
        <f t="shared" si="6"/>
        <v>2.1248642948157915E-2</v>
      </c>
      <c r="V11" s="2">
        <f t="shared" si="6"/>
        <v>8.4967850312749046E-2</v>
      </c>
      <c r="W11" s="2">
        <f t="shared" si="6"/>
        <v>5.013281674929216E-2</v>
      </c>
      <c r="Z11" s="2">
        <f t="shared" si="7"/>
        <v>2.356830382011899</v>
      </c>
      <c r="AA11" s="2">
        <f t="shared" si="7"/>
        <v>0.6868203079779015</v>
      </c>
      <c r="AB11" s="2">
        <f t="shared" si="7"/>
        <v>1.6212486429481581</v>
      </c>
      <c r="AC11" s="2">
        <f t="shared" si="8"/>
        <v>0.52521360566206166</v>
      </c>
      <c r="AD11" s="2">
        <f t="shared" si="8"/>
        <v>0.30988706139997951</v>
      </c>
      <c r="AG11" s="2">
        <f>IF(ISERROR(Z11*100000000/'Calc-Units'!$E$23)," ",Z11*100000000/'Calc-Units'!$E$23)</f>
        <v>1.8981190077161678E-2</v>
      </c>
      <c r="AH11" s="2">
        <f>IF(ISERROR(AA11*100000000/'Calc-Units'!$D$23)," ",AA11*100000000/'Calc-Units'!$D$23)</f>
        <v>7.1443919968231908E-3</v>
      </c>
      <c r="AI11" s="2">
        <f>IF(ISERROR(AB11*100000000/'Calc-Units'!$C$23)," ",AB11*100000000/'Calc-Units'!$C$23)</f>
        <v>2.2466778922135146E-2</v>
      </c>
      <c r="AJ11" s="2">
        <f>IF(ISERROR(AC11*100000000/'Calc-Units'!$C$23)," ",AC11*100000000/'Calc-Units'!$C$23)</f>
        <v>7.2782531024048018E-3</v>
      </c>
      <c r="AL11" s="2">
        <v>0.23499999999999999</v>
      </c>
      <c r="AM11" s="2">
        <f t="shared" si="9"/>
        <v>1.2925</v>
      </c>
      <c r="AN11" s="2">
        <f t="shared" si="10"/>
        <v>4.2075000000000005</v>
      </c>
      <c r="AQ11" s="2">
        <f t="shared" si="11"/>
        <v>1.8029752422391028</v>
      </c>
      <c r="AR11" s="2">
        <f t="shared" si="11"/>
        <v>0.52541753560309468</v>
      </c>
      <c r="AS11" s="2">
        <f t="shared" si="11"/>
        <v>1.2402552118553409</v>
      </c>
      <c r="AT11" s="2">
        <f t="shared" si="11"/>
        <v>0.40178840833147716</v>
      </c>
      <c r="AU11" s="2">
        <f t="shared" si="11"/>
        <v>0.23706360197098433</v>
      </c>
      <c r="AX11" s="2">
        <f>IF(ISERROR(AQ11*100000000/'Calc-Units'!$E$23)," ",AQ11*100000000/'Calc-Units'!$E$23)</f>
        <v>1.4520610409028684E-2</v>
      </c>
      <c r="AY11" s="2">
        <f>IF(ISERROR(AR11*100000000/'Calc-Units'!$D$23)," ",AR11*100000000/'Calc-Units'!$D$23)</f>
        <v>5.4654598775697406E-3</v>
      </c>
      <c r="AZ11" s="2">
        <f>IF(ISERROR(AS11*100000000/'Calc-Units'!$C$23)," ",AS11*100000000/'Calc-Units'!$C$23)</f>
        <v>1.7187085875433387E-2</v>
      </c>
      <c r="BA11" s="2">
        <f>IF(ISERROR(AT11*100000000/'Calc-Units'!$C$23)," ",AT11*100000000/'Calc-Units'!$C$23)</f>
        <v>5.5678636233396743E-3</v>
      </c>
    </row>
    <row r="12" spans="1:53" ht="16.5" customHeight="1">
      <c r="C12" s="2" t="s">
        <v>575</v>
      </c>
      <c r="D12" s="2">
        <f>'RRP 1.3'!I$12</f>
        <v>4.0999999999999996</v>
      </c>
      <c r="E12" s="2">
        <f>'RRP 2.3'!G46+'RRP 2.3'!G47</f>
        <v>0.6297770891609763</v>
      </c>
      <c r="F12" s="2">
        <f>'RRP 2.3'!G45</f>
        <v>2.3630693363750601</v>
      </c>
      <c r="G12" s="2">
        <v>0</v>
      </c>
      <c r="H12" s="2">
        <f>'RRP 2.3'!G44</f>
        <v>1.1655181170566711</v>
      </c>
      <c r="I12" s="2">
        <f t="shared" si="5"/>
        <v>-5.8364542592707735E-2</v>
      </c>
      <c r="K12" s="2" t="s">
        <v>893</v>
      </c>
      <c r="L12" s="2">
        <f>IF(ISERROR(VLOOKUP($K12,'Calc-Drivers'!$B$17:$G$27,L$43,FALSE))," ",VLOOKUP($K12,'Calc-Drivers'!$B$17:$G$27,L$43,FALSE))</f>
        <v>0.18943460670633011</v>
      </c>
      <c r="M12" s="2">
        <f>IF(ISERROR(VLOOKUP($K12,'Calc-Drivers'!$B$17:$G$27,M$43,FALSE))," ",VLOOKUP($K12,'Calc-Drivers'!$B$17:$G$27,M$43,FALSE))</f>
        <v>0.28940102659300543</v>
      </c>
      <c r="N12" s="2">
        <f>IF(ISERROR(VLOOKUP($K12,'Calc-Drivers'!$B$17:$G$27,N$43,FALSE))," ",VLOOKUP($K12,'Calc-Drivers'!$B$17:$G$27,N$43,FALSE))</f>
        <v>7.0828809827193168E-2</v>
      </c>
      <c r="O12" s="2">
        <f>IF(ISERROR(VLOOKUP($K12,'Calc-Drivers'!$B$17:$G$27,O$43,FALSE))," ",VLOOKUP($K12,'Calc-Drivers'!$B$17:$G$27,O$43,FALSE))</f>
        <v>0.28322616770916398</v>
      </c>
      <c r="P12" s="2">
        <f>IF(ISERROR(VLOOKUP($K12,'Calc-Drivers'!$B$17:$G$27,P$43,FALSE))," ",VLOOKUP($K12,'Calc-Drivers'!$B$17:$G$27,P$43,FALSE))</f>
        <v>0.16710938916430748</v>
      </c>
      <c r="S12" s="2">
        <f t="shared" si="6"/>
        <v>-1.1056264171644441E-2</v>
      </c>
      <c r="T12" s="2">
        <f t="shared" si="6"/>
        <v>-1.6890758542960811E-2</v>
      </c>
      <c r="U12" s="2">
        <f t="shared" si="6"/>
        <v>-4.1338910879500116E-3</v>
      </c>
      <c r="V12" s="2">
        <f t="shared" si="6"/>
        <v>-1.6530365728630887E-2</v>
      </c>
      <c r="W12" s="2">
        <f t="shared" si="6"/>
        <v>-9.7532630615215967E-3</v>
      </c>
      <c r="Z12" s="2">
        <f t="shared" si="7"/>
        <v>0.6187208249893319</v>
      </c>
      <c r="AA12" s="2">
        <f t="shared" si="7"/>
        <v>2.3461785778320992</v>
      </c>
      <c r="AB12" s="2">
        <f t="shared" si="7"/>
        <v>-4.1338910879500116E-3</v>
      </c>
      <c r="AC12" s="2">
        <f t="shared" si="8"/>
        <v>0.7164902111526873</v>
      </c>
      <c r="AD12" s="2">
        <f t="shared" si="8"/>
        <v>0.42274427711383128</v>
      </c>
      <c r="AG12" s="2">
        <f>IF(ISERROR(Z12*100000000/'Calc-Units'!$E$23)," ",Z12*100000000/'Calc-Units'!$E$23)</f>
        <v>4.9829880306428865E-3</v>
      </c>
      <c r="AH12" s="2">
        <f>IF(ISERROR(AA12*100000000/'Calc-Units'!$D$23)," ",AA12*100000000/'Calc-Units'!$D$23)</f>
        <v>2.4405247282118781E-2</v>
      </c>
      <c r="AI12" s="2">
        <f>IF(ISERROR(AB12*100000000/'Calc-Units'!$C$23)," ",AB12*100000000/'Calc-Units'!$C$23)</f>
        <v>-5.7286226616214028E-5</v>
      </c>
      <c r="AJ12" s="2">
        <f>IF(ISERROR(AC12*100000000/'Calc-Units'!$C$23)," ",AC12*100000000/'Calc-Units'!$C$23)</f>
        <v>9.9289071074066503E-3</v>
      </c>
      <c r="AL12" s="2">
        <v>0.23499999999999999</v>
      </c>
      <c r="AM12" s="2">
        <f t="shared" si="9"/>
        <v>0.96349999999999991</v>
      </c>
      <c r="AN12" s="2">
        <f t="shared" si="10"/>
        <v>3.1364999999999998</v>
      </c>
      <c r="AQ12" s="2">
        <f t="shared" si="11"/>
        <v>0.47332143111683889</v>
      </c>
      <c r="AR12" s="2">
        <f t="shared" si="11"/>
        <v>1.7948266120415559</v>
      </c>
      <c r="AS12" s="2">
        <f t="shared" si="11"/>
        <v>-3.1624266822817592E-3</v>
      </c>
      <c r="AT12" s="2">
        <f t="shared" si="11"/>
        <v>0.54811501153180575</v>
      </c>
      <c r="AU12" s="2">
        <f t="shared" si="11"/>
        <v>0.32339937199208091</v>
      </c>
      <c r="AX12" s="2">
        <f>IF(ISERROR(AQ12*100000000/'Calc-Units'!$E$23)," ",AQ12*100000000/'Calc-Units'!$E$23)</f>
        <v>3.8119858434418081E-3</v>
      </c>
      <c r="AY12" s="2">
        <f>IF(ISERROR(AR12*100000000/'Calc-Units'!$D$23)," ",AR12*100000000/'Calc-Units'!$D$23)</f>
        <v>1.8670014170820867E-2</v>
      </c>
      <c r="AZ12" s="2">
        <f>IF(ISERROR(AS12*100000000/'Calc-Units'!$C$23)," ",AS12*100000000/'Calc-Units'!$C$23)</f>
        <v>-4.3823963361403735E-5</v>
      </c>
      <c r="BA12" s="2">
        <f>IF(ISERROR(AT12*100000000/'Calc-Units'!$C$23)," ",AT12*100000000/'Calc-Units'!$C$23)</f>
        <v>7.595613937166088E-3</v>
      </c>
    </row>
    <row r="13" spans="1:53" ht="12.75" customHeight="1">
      <c r="B13" s="2" t="s">
        <v>894</v>
      </c>
      <c r="C13" s="2" t="s">
        <v>576</v>
      </c>
      <c r="D13" s="2">
        <f>'RRP 1.3'!J$12</f>
        <v>0.6</v>
      </c>
      <c r="E13" s="2">
        <v>0</v>
      </c>
      <c r="F13" s="2">
        <v>0</v>
      </c>
      <c r="G13" s="2">
        <v>0</v>
      </c>
      <c r="H13" s="2">
        <v>0</v>
      </c>
      <c r="I13" s="2">
        <f t="shared" si="5"/>
        <v>0.6</v>
      </c>
      <c r="K13" s="2" t="s">
        <v>893</v>
      </c>
      <c r="L13" s="2">
        <f>IF(ISERROR(VLOOKUP($K13,'Calc-Drivers'!$B$17:$G$27,L$43,FALSE))," ",VLOOKUP($K13,'Calc-Drivers'!$B$17:$G$27,L$43,FALSE))</f>
        <v>0.18943460670633011</v>
      </c>
      <c r="M13" s="2">
        <f>IF(ISERROR(VLOOKUP($K13,'Calc-Drivers'!$B$17:$G$27,M$43,FALSE))," ",VLOOKUP($K13,'Calc-Drivers'!$B$17:$G$27,M$43,FALSE))</f>
        <v>0.28940102659300543</v>
      </c>
      <c r="N13" s="2">
        <f>IF(ISERROR(VLOOKUP($K13,'Calc-Drivers'!$B$17:$G$27,N$43,FALSE))," ",VLOOKUP($K13,'Calc-Drivers'!$B$17:$G$27,N$43,FALSE))</f>
        <v>7.0828809827193168E-2</v>
      </c>
      <c r="O13" s="2">
        <f>IF(ISERROR(VLOOKUP($K13,'Calc-Drivers'!$B$17:$G$27,O$43,FALSE))," ",VLOOKUP($K13,'Calc-Drivers'!$B$17:$G$27,O$43,FALSE))</f>
        <v>0.28322616770916398</v>
      </c>
      <c r="P13" s="2">
        <f>IF(ISERROR(VLOOKUP($K13,'Calc-Drivers'!$B$17:$G$27,P$43,FALSE))," ",VLOOKUP($K13,'Calc-Drivers'!$B$17:$G$27,P$43,FALSE))</f>
        <v>0.16710938916430748</v>
      </c>
      <c r="S13" s="2">
        <f t="shared" si="6"/>
        <v>0.11366076402379806</v>
      </c>
      <c r="T13" s="2">
        <f t="shared" si="6"/>
        <v>0.17364061595580324</v>
      </c>
      <c r="U13" s="2">
        <f t="shared" si="6"/>
        <v>4.2497285896315899E-2</v>
      </c>
      <c r="V13" s="2">
        <f t="shared" si="6"/>
        <v>0.16993570062549837</v>
      </c>
      <c r="W13" s="2">
        <f t="shared" si="6"/>
        <v>0.10026563349858449</v>
      </c>
      <c r="Z13" s="2">
        <f t="shared" si="7"/>
        <v>0.11366076402379806</v>
      </c>
      <c r="AA13" s="2">
        <f t="shared" si="7"/>
        <v>0.17364061595580324</v>
      </c>
      <c r="AB13" s="2">
        <f t="shared" si="7"/>
        <v>4.2497285896315899E-2</v>
      </c>
      <c r="AC13" s="2">
        <f t="shared" si="8"/>
        <v>0.16993570062549837</v>
      </c>
      <c r="AD13" s="2">
        <f t="shared" si="8"/>
        <v>0.10026563349858449</v>
      </c>
      <c r="AG13" s="2">
        <f>IF(ISERROR(Z13*100000000/'Calc-Units'!$E$23)," ",Z13*100000000/'Calc-Units'!$E$23)</f>
        <v>9.1538898289721658E-4</v>
      </c>
      <c r="AH13" s="2">
        <f>IF(ISERROR(AA13*100000000/'Calc-Units'!$D$23)," ",AA13*100000000/'Calc-Units'!$D$23)</f>
        <v>1.806231721089419E-3</v>
      </c>
      <c r="AI13" s="2">
        <f>IF(ISERROR(AB13*100000000/'Calc-Units'!$C$23)," ",AB13*100000000/'Calc-Units'!$C$23)</f>
        <v>5.8891468077782794E-4</v>
      </c>
      <c r="AJ13" s="2">
        <f>IF(ISERROR(AC13*100000000/'Calc-Units'!$C$23)," ",AC13*100000000/'Calc-Units'!$C$23)</f>
        <v>2.3549181265549398E-3</v>
      </c>
      <c r="AL13" s="2">
        <v>0.52569999999999995</v>
      </c>
      <c r="AM13" s="2">
        <f t="shared" si="9"/>
        <v>0.31541999999999998</v>
      </c>
      <c r="AN13" s="2">
        <f t="shared" si="10"/>
        <v>0.28458</v>
      </c>
      <c r="AQ13" s="2">
        <f t="shared" si="11"/>
        <v>5.3909300376487425E-2</v>
      </c>
      <c r="AR13" s="2">
        <f t="shared" si="11"/>
        <v>8.2357744147837489E-2</v>
      </c>
      <c r="AS13" s="2">
        <f t="shared" si="11"/>
        <v>2.0156462700622633E-2</v>
      </c>
      <c r="AT13" s="2">
        <f t="shared" si="11"/>
        <v>8.0600502806673885E-2</v>
      </c>
      <c r="AU13" s="2">
        <f t="shared" si="11"/>
        <v>4.7555989968378627E-2</v>
      </c>
      <c r="AX13" s="2">
        <f>IF(ISERROR(AQ13*100000000/'Calc-Units'!$E$23)," ",AQ13*100000000/'Calc-Units'!$E$23)</f>
        <v>4.3416899458814987E-4</v>
      </c>
      <c r="AY13" s="2">
        <f>IF(ISERROR(AR13*100000000/'Calc-Units'!$D$23)," ",AR13*100000000/'Calc-Units'!$D$23)</f>
        <v>8.5669570531271154E-4</v>
      </c>
      <c r="AZ13" s="2">
        <f>IF(ISERROR(AS13*100000000/'Calc-Units'!$C$23)," ",AS13*100000000/'Calc-Units'!$C$23)</f>
        <v>2.7932223309292385E-4</v>
      </c>
      <c r="BA13" s="2">
        <f>IF(ISERROR(AT13*100000000/'Calc-Units'!$C$23)," ",AT13*100000000/'Calc-Units'!$C$23)</f>
        <v>1.1169376674250082E-3</v>
      </c>
    </row>
    <row r="14" spans="1:53">
      <c r="C14" s="2" t="s">
        <v>577</v>
      </c>
      <c r="D14" s="2">
        <f>'RRP 1.3'!K$12</f>
        <v>3.5</v>
      </c>
      <c r="E14" s="2">
        <v>0</v>
      </c>
      <c r="F14" s="2">
        <v>0</v>
      </c>
      <c r="G14" s="2">
        <v>0</v>
      </c>
      <c r="H14" s="2">
        <v>0</v>
      </c>
      <c r="I14" s="2">
        <f t="shared" si="5"/>
        <v>3.5</v>
      </c>
      <c r="K14" s="2" t="s">
        <v>893</v>
      </c>
      <c r="L14" s="2">
        <f>IF(ISERROR(VLOOKUP($K14,'Calc-Drivers'!$B$17:$G$27,L$43,FALSE))," ",VLOOKUP($K14,'Calc-Drivers'!$B$17:$G$27,L$43,FALSE))</f>
        <v>0.18943460670633011</v>
      </c>
      <c r="M14" s="2">
        <f>IF(ISERROR(VLOOKUP($K14,'Calc-Drivers'!$B$17:$G$27,M$43,FALSE))," ",VLOOKUP($K14,'Calc-Drivers'!$B$17:$G$27,M$43,FALSE))</f>
        <v>0.28940102659300543</v>
      </c>
      <c r="N14" s="2">
        <f>IF(ISERROR(VLOOKUP($K14,'Calc-Drivers'!$B$17:$G$27,N$43,FALSE))," ",VLOOKUP($K14,'Calc-Drivers'!$B$17:$G$27,N$43,FALSE))</f>
        <v>7.0828809827193168E-2</v>
      </c>
      <c r="O14" s="2">
        <f>IF(ISERROR(VLOOKUP($K14,'Calc-Drivers'!$B$17:$G$27,O$43,FALSE))," ",VLOOKUP($K14,'Calc-Drivers'!$B$17:$G$27,O$43,FALSE))</f>
        <v>0.28322616770916398</v>
      </c>
      <c r="P14" s="2">
        <f>IF(ISERROR(VLOOKUP($K14,'Calc-Drivers'!$B$17:$G$27,P$43,FALSE))," ",VLOOKUP($K14,'Calc-Drivers'!$B$17:$G$27,P$43,FALSE))</f>
        <v>0.16710938916430748</v>
      </c>
      <c r="S14" s="2">
        <f t="shared" si="6"/>
        <v>0.66302112347215536</v>
      </c>
      <c r="T14" s="2">
        <f t="shared" si="6"/>
        <v>1.012903593075519</v>
      </c>
      <c r="U14" s="2">
        <f t="shared" si="6"/>
        <v>0.24790083439517607</v>
      </c>
      <c r="V14" s="2">
        <f t="shared" si="6"/>
        <v>0.99129158698207398</v>
      </c>
      <c r="W14" s="2">
        <f t="shared" si="6"/>
        <v>0.58488286207507623</v>
      </c>
      <c r="Z14" s="2">
        <f t="shared" si="7"/>
        <v>0.66302112347215536</v>
      </c>
      <c r="AA14" s="2">
        <f t="shared" si="7"/>
        <v>1.012903593075519</v>
      </c>
      <c r="AB14" s="2">
        <f t="shared" si="7"/>
        <v>0.24790083439517607</v>
      </c>
      <c r="AC14" s="2">
        <f t="shared" si="8"/>
        <v>0.99129158698207398</v>
      </c>
      <c r="AD14" s="2">
        <f t="shared" si="8"/>
        <v>0.58488286207507623</v>
      </c>
      <c r="AG14" s="2">
        <f>IF(ISERROR(Z14*100000000/'Calc-Units'!$E$23)," ",Z14*100000000/'Calc-Units'!$E$23)</f>
        <v>5.3397690669004308E-3</v>
      </c>
      <c r="AH14" s="2">
        <f>IF(ISERROR(AA14*100000000/'Calc-Units'!$D$23)," ",AA14*100000000/'Calc-Units'!$D$23)</f>
        <v>1.0536351706354946E-2</v>
      </c>
      <c r="AI14" s="2">
        <f>IF(ISERROR(AB14*100000000/'Calc-Units'!$C$23)," ",AB14*100000000/'Calc-Units'!$C$23)</f>
        <v>3.4353356378706628E-3</v>
      </c>
      <c r="AJ14" s="2">
        <f>IF(ISERROR(AC14*100000000/'Calc-Units'!$C$23)," ",AC14*100000000/'Calc-Units'!$C$23)</f>
        <v>1.3737022404903817E-2</v>
      </c>
      <c r="AL14" s="2">
        <v>0.52569999999999995</v>
      </c>
      <c r="AM14" s="2">
        <f t="shared" si="9"/>
        <v>1.8399499999999998</v>
      </c>
      <c r="AN14" s="2">
        <f t="shared" si="10"/>
        <v>1.6600500000000002</v>
      </c>
      <c r="AQ14" s="2">
        <f t="shared" si="11"/>
        <v>0.31447091886284334</v>
      </c>
      <c r="AR14" s="2">
        <f t="shared" si="11"/>
        <v>0.48042017419571875</v>
      </c>
      <c r="AS14" s="2">
        <f t="shared" si="11"/>
        <v>0.11757936575363202</v>
      </c>
      <c r="AT14" s="2">
        <f t="shared" si="11"/>
        <v>0.47016959970559774</v>
      </c>
      <c r="AU14" s="2">
        <f t="shared" si="11"/>
        <v>0.27740994148220871</v>
      </c>
      <c r="AX14" s="2">
        <f>IF(ISERROR(AQ14*100000000/'Calc-Units'!$E$23)," ",AQ14*100000000/'Calc-Units'!$E$23)</f>
        <v>2.5326524684308746E-3</v>
      </c>
      <c r="AY14" s="2">
        <f>IF(ISERROR(AR14*100000000/'Calc-Units'!$D$23)," ",AR14*100000000/'Calc-Units'!$D$23)</f>
        <v>4.9973916143241518E-3</v>
      </c>
      <c r="AZ14" s="2">
        <f>IF(ISERROR(AS14*100000000/'Calc-Units'!$C$23)," ",AS14*100000000/'Calc-Units'!$C$23)</f>
        <v>1.6293796930420556E-3</v>
      </c>
      <c r="BA14" s="2">
        <f>IF(ISERROR(AT14*100000000/'Calc-Units'!$C$23)," ",AT14*100000000/'Calc-Units'!$C$23)</f>
        <v>6.5154697266458818E-3</v>
      </c>
    </row>
    <row r="15" spans="1:53">
      <c r="C15" s="2" t="s">
        <v>578</v>
      </c>
      <c r="D15" s="2">
        <f>'RRP 1.3'!L$12</f>
        <v>2.9</v>
      </c>
      <c r="E15" s="2">
        <v>0</v>
      </c>
      <c r="F15" s="2">
        <v>0</v>
      </c>
      <c r="G15" s="2">
        <v>0</v>
      </c>
      <c r="H15" s="2">
        <v>0</v>
      </c>
      <c r="I15" s="2">
        <f t="shared" si="5"/>
        <v>2.9</v>
      </c>
      <c r="K15" s="2" t="s">
        <v>893</v>
      </c>
      <c r="L15" s="2">
        <f>IF(ISERROR(VLOOKUP($K15,'Calc-Drivers'!$B$17:$G$27,L$43,FALSE))," ",VLOOKUP($K15,'Calc-Drivers'!$B$17:$G$27,L$43,FALSE))</f>
        <v>0.18943460670633011</v>
      </c>
      <c r="M15" s="2">
        <f>IF(ISERROR(VLOOKUP($K15,'Calc-Drivers'!$B$17:$G$27,M$43,FALSE))," ",VLOOKUP($K15,'Calc-Drivers'!$B$17:$G$27,M$43,FALSE))</f>
        <v>0.28940102659300543</v>
      </c>
      <c r="N15" s="2">
        <f>IF(ISERROR(VLOOKUP($K15,'Calc-Drivers'!$B$17:$G$27,N$43,FALSE))," ",VLOOKUP($K15,'Calc-Drivers'!$B$17:$G$27,N$43,FALSE))</f>
        <v>7.0828809827193168E-2</v>
      </c>
      <c r="O15" s="2">
        <f>IF(ISERROR(VLOOKUP($K15,'Calc-Drivers'!$B$17:$G$27,O$43,FALSE))," ",VLOOKUP($K15,'Calc-Drivers'!$B$17:$G$27,O$43,FALSE))</f>
        <v>0.28322616770916398</v>
      </c>
      <c r="P15" s="2">
        <f>IF(ISERROR(VLOOKUP($K15,'Calc-Drivers'!$B$17:$G$27,P$43,FALSE))," ",VLOOKUP($K15,'Calc-Drivers'!$B$17:$G$27,P$43,FALSE))</f>
        <v>0.16710938916430748</v>
      </c>
      <c r="S15" s="2">
        <f t="shared" si="6"/>
        <v>0.54936035944835726</v>
      </c>
      <c r="T15" s="2">
        <f t="shared" si="6"/>
        <v>0.83926297711971576</v>
      </c>
      <c r="U15" s="2">
        <f t="shared" si="6"/>
        <v>0.20540354849886017</v>
      </c>
      <c r="V15" s="2">
        <f t="shared" si="6"/>
        <v>0.82135588635657553</v>
      </c>
      <c r="W15" s="2">
        <f t="shared" si="6"/>
        <v>0.4846172285764917</v>
      </c>
      <c r="Z15" s="2">
        <f t="shared" si="7"/>
        <v>0.54936035944835726</v>
      </c>
      <c r="AA15" s="2">
        <f t="shared" si="7"/>
        <v>0.83926297711971576</v>
      </c>
      <c r="AB15" s="2">
        <f t="shared" si="7"/>
        <v>0.20540354849886017</v>
      </c>
      <c r="AC15" s="2">
        <f t="shared" si="8"/>
        <v>0.82135588635657553</v>
      </c>
      <c r="AD15" s="2">
        <f t="shared" si="8"/>
        <v>0.4846172285764917</v>
      </c>
      <c r="AG15" s="2">
        <f>IF(ISERROR(Z15*100000000/'Calc-Units'!$E$23)," ",Z15*100000000/'Calc-Units'!$E$23)</f>
        <v>4.4243800840032136E-3</v>
      </c>
      <c r="AH15" s="2">
        <f>IF(ISERROR(AA15*100000000/'Calc-Units'!$D$23)," ",AA15*100000000/'Calc-Units'!$D$23)</f>
        <v>8.7301199852655269E-3</v>
      </c>
      <c r="AI15" s="2">
        <f>IF(ISERROR(AB15*100000000/'Calc-Units'!$C$23)," ",AB15*100000000/'Calc-Units'!$C$23)</f>
        <v>2.8464209570928348E-3</v>
      </c>
      <c r="AJ15" s="2">
        <f>IF(ISERROR(AC15*100000000/'Calc-Units'!$C$23)," ",AC15*100000000/'Calc-Units'!$C$23)</f>
        <v>1.1382104278348877E-2</v>
      </c>
      <c r="AL15" s="2">
        <v>0.52569999999999995</v>
      </c>
      <c r="AM15" s="2">
        <f t="shared" si="9"/>
        <v>1.5245299999999997</v>
      </c>
      <c r="AN15" s="2">
        <f t="shared" si="10"/>
        <v>1.3754700000000002</v>
      </c>
      <c r="AQ15" s="2">
        <f t="shared" si="11"/>
        <v>0.26056161848635589</v>
      </c>
      <c r="AR15" s="2">
        <f t="shared" si="11"/>
        <v>0.39806243004788122</v>
      </c>
      <c r="AS15" s="2">
        <f t="shared" si="11"/>
        <v>9.7422903053009394E-2</v>
      </c>
      <c r="AT15" s="2">
        <f t="shared" si="11"/>
        <v>0.38956909689892383</v>
      </c>
      <c r="AU15" s="2">
        <f t="shared" si="11"/>
        <v>0.22985395151383003</v>
      </c>
      <c r="AX15" s="2">
        <f>IF(ISERROR(AQ15*100000000/'Calc-Units'!$E$23)," ",AQ15*100000000/'Calc-Units'!$E$23)</f>
        <v>2.0984834738427246E-3</v>
      </c>
      <c r="AY15" s="2">
        <f>IF(ISERROR(AR15*100000000/'Calc-Units'!$D$23)," ",AR15*100000000/'Calc-Units'!$D$23)</f>
        <v>4.1406959090114397E-3</v>
      </c>
      <c r="AZ15" s="2">
        <f>IF(ISERROR(AS15*100000000/'Calc-Units'!$C$23)," ",AS15*100000000/'Calc-Units'!$C$23)</f>
        <v>1.3500574599491319E-3</v>
      </c>
      <c r="BA15" s="2">
        <f>IF(ISERROR(AT15*100000000/'Calc-Units'!$C$23)," ",AT15*100000000/'Calc-Units'!$C$23)</f>
        <v>5.3985320592208732E-3</v>
      </c>
    </row>
    <row r="16" spans="1:53">
      <c r="C16" s="2" t="s">
        <v>579</v>
      </c>
      <c r="D16" s="2">
        <f>'RRP 1.3'!M$12</f>
        <v>7.2</v>
      </c>
      <c r="E16" s="2">
        <v>0</v>
      </c>
      <c r="F16" s="2">
        <v>0</v>
      </c>
      <c r="G16" s="2">
        <v>0</v>
      </c>
      <c r="H16" s="2">
        <v>0</v>
      </c>
      <c r="I16" s="2">
        <f t="shared" si="5"/>
        <v>7.2</v>
      </c>
      <c r="K16" s="2" t="s">
        <v>893</v>
      </c>
      <c r="L16" s="2">
        <f>IF(ISERROR(VLOOKUP($K16,'Calc-Drivers'!$B$17:$G$27,L$43,FALSE))," ",VLOOKUP($K16,'Calc-Drivers'!$B$17:$G$27,L$43,FALSE))</f>
        <v>0.18943460670633011</v>
      </c>
      <c r="M16" s="2">
        <f>IF(ISERROR(VLOOKUP($K16,'Calc-Drivers'!$B$17:$G$27,M$43,FALSE))," ",VLOOKUP($K16,'Calc-Drivers'!$B$17:$G$27,M$43,FALSE))</f>
        <v>0.28940102659300543</v>
      </c>
      <c r="N16" s="2">
        <f>IF(ISERROR(VLOOKUP($K16,'Calc-Drivers'!$B$17:$G$27,N$43,FALSE))," ",VLOOKUP($K16,'Calc-Drivers'!$B$17:$G$27,N$43,FALSE))</f>
        <v>7.0828809827193168E-2</v>
      </c>
      <c r="O16" s="2">
        <f>IF(ISERROR(VLOOKUP($K16,'Calc-Drivers'!$B$17:$G$27,O$43,FALSE))," ",VLOOKUP($K16,'Calc-Drivers'!$B$17:$G$27,O$43,FALSE))</f>
        <v>0.28322616770916398</v>
      </c>
      <c r="P16" s="2">
        <f>IF(ISERROR(VLOOKUP($K16,'Calc-Drivers'!$B$17:$G$27,P$43,FALSE))," ",VLOOKUP($K16,'Calc-Drivers'!$B$17:$G$27,P$43,FALSE))</f>
        <v>0.16710938916430748</v>
      </c>
      <c r="S16" s="2">
        <f t="shared" si="6"/>
        <v>1.3639291682855768</v>
      </c>
      <c r="T16" s="2">
        <f t="shared" si="6"/>
        <v>2.0836873914696392</v>
      </c>
      <c r="U16" s="2">
        <f t="shared" si="6"/>
        <v>0.50996743075579087</v>
      </c>
      <c r="V16" s="2">
        <f t="shared" si="6"/>
        <v>2.0392284075059806</v>
      </c>
      <c r="W16" s="2">
        <f t="shared" si="6"/>
        <v>1.2031876019830139</v>
      </c>
      <c r="Z16" s="2">
        <f t="shared" si="7"/>
        <v>1.3639291682855768</v>
      </c>
      <c r="AA16" s="2">
        <f t="shared" si="7"/>
        <v>2.0836873914696392</v>
      </c>
      <c r="AB16" s="2">
        <f t="shared" si="7"/>
        <v>0.50996743075579087</v>
      </c>
      <c r="AC16" s="2">
        <f t="shared" si="8"/>
        <v>2.0392284075059806</v>
      </c>
      <c r="AD16" s="2">
        <f t="shared" si="8"/>
        <v>1.2031876019830139</v>
      </c>
      <c r="AG16" s="2">
        <f>IF(ISERROR(Z16*100000000/'Calc-Units'!$E$23)," ",Z16*100000000/'Calc-Units'!$E$23)</f>
        <v>1.09846677947666E-2</v>
      </c>
      <c r="AH16" s="2">
        <f>IF(ISERROR(AA16*100000000/'Calc-Units'!$D$23)," ",AA16*100000000/'Calc-Units'!$D$23)</f>
        <v>2.1674780653073031E-2</v>
      </c>
      <c r="AI16" s="2">
        <f>IF(ISERROR(AB16*100000000/'Calc-Units'!$C$23)," ",AB16*100000000/'Calc-Units'!$C$23)</f>
        <v>7.0669761693339357E-3</v>
      </c>
      <c r="AJ16" s="2">
        <f>IF(ISERROR(AC16*100000000/'Calc-Units'!$C$23)," ",AC16*100000000/'Calc-Units'!$C$23)</f>
        <v>2.825901751865928E-2</v>
      </c>
      <c r="AL16" s="2">
        <v>0.52569999999999995</v>
      </c>
      <c r="AM16" s="2">
        <f t="shared" si="9"/>
        <v>3.7850399999999995</v>
      </c>
      <c r="AN16" s="2">
        <f t="shared" si="10"/>
        <v>3.4149600000000007</v>
      </c>
      <c r="AQ16" s="2">
        <f t="shared" si="11"/>
        <v>0.64691160451784913</v>
      </c>
      <c r="AR16" s="2">
        <f t="shared" si="11"/>
        <v>0.98829292977405003</v>
      </c>
      <c r="AS16" s="2">
        <f t="shared" si="11"/>
        <v>0.24187755240747164</v>
      </c>
      <c r="AT16" s="2">
        <f t="shared" si="11"/>
        <v>0.96720603368008673</v>
      </c>
      <c r="AU16" s="2">
        <f t="shared" si="11"/>
        <v>0.57067187962054355</v>
      </c>
      <c r="AX16" s="2">
        <f>IF(ISERROR(AQ16*100000000/'Calc-Units'!$E$23)," ",AQ16*100000000/'Calc-Units'!$E$23)</f>
        <v>5.2100279350577993E-3</v>
      </c>
      <c r="AY16" s="2">
        <f>IF(ISERROR(AR16*100000000/'Calc-Units'!$D$23)," ",AR16*100000000/'Calc-Units'!$D$23)</f>
        <v>1.028034846375254E-2</v>
      </c>
      <c r="AZ16" s="2">
        <f>IF(ISERROR(AS16*100000000/'Calc-Units'!$C$23)," ",AS16*100000000/'Calc-Units'!$C$23)</f>
        <v>3.3518667971150864E-3</v>
      </c>
      <c r="BA16" s="2">
        <f>IF(ISERROR(AT16*100000000/'Calc-Units'!$C$23)," ",AT16*100000000/'Calc-Units'!$C$23)</f>
        <v>1.3403252009100098E-2</v>
      </c>
    </row>
    <row r="17" spans="1:53">
      <c r="C17" s="2" t="s">
        <v>580</v>
      </c>
      <c r="D17" s="2">
        <f>'RRP 1.3'!N$12</f>
        <v>1.9</v>
      </c>
      <c r="E17" s="2">
        <v>0</v>
      </c>
      <c r="F17" s="2">
        <v>0</v>
      </c>
      <c r="G17" s="2">
        <v>0</v>
      </c>
      <c r="H17" s="2">
        <v>0</v>
      </c>
      <c r="I17" s="2">
        <f t="shared" si="5"/>
        <v>1.9</v>
      </c>
      <c r="K17" s="2" t="s">
        <v>893</v>
      </c>
      <c r="L17" s="2">
        <f>IF(ISERROR(VLOOKUP($K17,'Calc-Drivers'!$B$17:$G$27,L$43,FALSE))," ",VLOOKUP($K17,'Calc-Drivers'!$B$17:$G$27,L$43,FALSE))</f>
        <v>0.18943460670633011</v>
      </c>
      <c r="M17" s="2">
        <f>IF(ISERROR(VLOOKUP($K17,'Calc-Drivers'!$B$17:$G$27,M$43,FALSE))," ",VLOOKUP($K17,'Calc-Drivers'!$B$17:$G$27,M$43,FALSE))</f>
        <v>0.28940102659300543</v>
      </c>
      <c r="N17" s="2">
        <f>IF(ISERROR(VLOOKUP($K17,'Calc-Drivers'!$B$17:$G$27,N$43,FALSE))," ",VLOOKUP($K17,'Calc-Drivers'!$B$17:$G$27,N$43,FALSE))</f>
        <v>7.0828809827193168E-2</v>
      </c>
      <c r="O17" s="2">
        <f>IF(ISERROR(VLOOKUP($K17,'Calc-Drivers'!$B$17:$G$27,O$43,FALSE))," ",VLOOKUP($K17,'Calc-Drivers'!$B$17:$G$27,O$43,FALSE))</f>
        <v>0.28322616770916398</v>
      </c>
      <c r="P17" s="2">
        <f>IF(ISERROR(VLOOKUP($K17,'Calc-Drivers'!$B$17:$G$27,P$43,FALSE))," ",VLOOKUP($K17,'Calc-Drivers'!$B$17:$G$27,P$43,FALSE))</f>
        <v>0.16710938916430748</v>
      </c>
      <c r="S17" s="2">
        <f t="shared" si="6"/>
        <v>0.35992575274202721</v>
      </c>
      <c r="T17" s="2">
        <f t="shared" si="6"/>
        <v>0.54986195052671027</v>
      </c>
      <c r="U17" s="2">
        <f t="shared" si="6"/>
        <v>0.134574738671667</v>
      </c>
      <c r="V17" s="2">
        <f t="shared" si="6"/>
        <v>0.53812971864741155</v>
      </c>
      <c r="W17" s="2">
        <f t="shared" si="6"/>
        <v>0.31750783941218419</v>
      </c>
      <c r="Z17" s="2">
        <f t="shared" si="7"/>
        <v>0.35992575274202721</v>
      </c>
      <c r="AA17" s="2">
        <f t="shared" si="7"/>
        <v>0.54986195052671027</v>
      </c>
      <c r="AB17" s="2">
        <f t="shared" si="7"/>
        <v>0.134574738671667</v>
      </c>
      <c r="AC17" s="2">
        <f t="shared" si="8"/>
        <v>0.53812971864741155</v>
      </c>
      <c r="AD17" s="2">
        <f t="shared" si="8"/>
        <v>0.31750783941218419</v>
      </c>
      <c r="AG17" s="2">
        <f>IF(ISERROR(Z17*100000000/'Calc-Units'!$E$23)," ",Z17*100000000/'Calc-Units'!$E$23)</f>
        <v>2.8987317791745195E-3</v>
      </c>
      <c r="AH17" s="2">
        <f>IF(ISERROR(AA17*100000000/'Calc-Units'!$D$23)," ",AA17*100000000/'Calc-Units'!$D$23)</f>
        <v>5.719733783449827E-3</v>
      </c>
      <c r="AI17" s="2">
        <f>IF(ISERROR(AB17*100000000/'Calc-Units'!$C$23)," ",AB17*100000000/'Calc-Units'!$C$23)</f>
        <v>1.8648964891297883E-3</v>
      </c>
      <c r="AJ17" s="2">
        <f>IF(ISERROR(AC17*100000000/'Calc-Units'!$C$23)," ",AC17*100000000/'Calc-Units'!$C$23)</f>
        <v>7.4572407340906437E-3</v>
      </c>
      <c r="AL17" s="2">
        <v>0.52569999999999995</v>
      </c>
      <c r="AM17" s="2">
        <f t="shared" si="9"/>
        <v>0.99882999999999988</v>
      </c>
      <c r="AN17" s="2">
        <f t="shared" si="10"/>
        <v>0.90117000000000003</v>
      </c>
      <c r="AQ17" s="2">
        <f t="shared" si="11"/>
        <v>0.17071278452554353</v>
      </c>
      <c r="AR17" s="2">
        <f t="shared" si="11"/>
        <v>0.26079952313481869</v>
      </c>
      <c r="AS17" s="2">
        <f t="shared" si="11"/>
        <v>6.3828798551971669E-2</v>
      </c>
      <c r="AT17" s="2">
        <f t="shared" si="11"/>
        <v>0.25523492555446731</v>
      </c>
      <c r="AU17" s="2">
        <f t="shared" si="11"/>
        <v>0.15059396823319898</v>
      </c>
      <c r="AX17" s="2">
        <f>IF(ISERROR(AQ17*100000000/'Calc-Units'!$E$23)," ",AQ17*100000000/'Calc-Units'!$E$23)</f>
        <v>1.3748684828624748E-3</v>
      </c>
      <c r="AY17" s="2">
        <f>IF(ISERROR(AR17*100000000/'Calc-Units'!$D$23)," ",AR17*100000000/'Calc-Units'!$D$23)</f>
        <v>2.7128697334902526E-3</v>
      </c>
      <c r="AZ17" s="2">
        <f>IF(ISERROR(AS17*100000000/'Calc-Units'!$C$23)," ",AS17*100000000/'Calc-Units'!$C$23)</f>
        <v>8.8452040479425874E-4</v>
      </c>
      <c r="BA17" s="2">
        <f>IF(ISERROR(AT17*100000000/'Calc-Units'!$C$23)," ",AT17*100000000/'Calc-Units'!$C$23)</f>
        <v>3.5369692801791924E-3</v>
      </c>
    </row>
    <row r="18" spans="1:53">
      <c r="C18" s="2" t="s">
        <v>581</v>
      </c>
      <c r="D18" s="2">
        <f>'RRP 1.3'!O$12</f>
        <v>1</v>
      </c>
      <c r="E18" s="2">
        <v>0</v>
      </c>
      <c r="F18" s="2">
        <v>0</v>
      </c>
      <c r="G18" s="2">
        <v>0</v>
      </c>
      <c r="H18" s="2">
        <v>0</v>
      </c>
      <c r="I18" s="2">
        <f t="shared" si="5"/>
        <v>1</v>
      </c>
      <c r="K18" s="2" t="s">
        <v>893</v>
      </c>
      <c r="L18" s="2">
        <f>IF(ISERROR(VLOOKUP($K18,'Calc-Drivers'!$B$17:$G$27,L$43,FALSE))," ",VLOOKUP($K18,'Calc-Drivers'!$B$17:$G$27,L$43,FALSE))</f>
        <v>0.18943460670633011</v>
      </c>
      <c r="M18" s="2">
        <f>IF(ISERROR(VLOOKUP($K18,'Calc-Drivers'!$B$17:$G$27,M$43,FALSE))," ",VLOOKUP($K18,'Calc-Drivers'!$B$17:$G$27,M$43,FALSE))</f>
        <v>0.28940102659300543</v>
      </c>
      <c r="N18" s="2">
        <f>IF(ISERROR(VLOOKUP($K18,'Calc-Drivers'!$B$17:$G$27,N$43,FALSE))," ",VLOOKUP($K18,'Calc-Drivers'!$B$17:$G$27,N$43,FALSE))</f>
        <v>7.0828809827193168E-2</v>
      </c>
      <c r="O18" s="2">
        <f>IF(ISERROR(VLOOKUP($K18,'Calc-Drivers'!$B$17:$G$27,O$43,FALSE))," ",VLOOKUP($K18,'Calc-Drivers'!$B$17:$G$27,O$43,FALSE))</f>
        <v>0.28322616770916398</v>
      </c>
      <c r="P18" s="2">
        <f>IF(ISERROR(VLOOKUP($K18,'Calc-Drivers'!$B$17:$G$27,P$43,FALSE))," ",VLOOKUP($K18,'Calc-Drivers'!$B$17:$G$27,P$43,FALSE))</f>
        <v>0.16710938916430748</v>
      </c>
      <c r="S18" s="2">
        <f t="shared" si="6"/>
        <v>0.18943460670633011</v>
      </c>
      <c r="T18" s="2">
        <f t="shared" si="6"/>
        <v>0.28940102659300543</v>
      </c>
      <c r="U18" s="2">
        <f t="shared" si="6"/>
        <v>7.0828809827193168E-2</v>
      </c>
      <c r="V18" s="2">
        <f t="shared" si="6"/>
        <v>0.28322616770916398</v>
      </c>
      <c r="W18" s="2">
        <f t="shared" si="6"/>
        <v>0.16710938916430748</v>
      </c>
      <c r="Z18" s="2">
        <f t="shared" si="7"/>
        <v>0.18943460670633011</v>
      </c>
      <c r="AA18" s="2">
        <f t="shared" si="7"/>
        <v>0.28940102659300543</v>
      </c>
      <c r="AB18" s="2">
        <f t="shared" si="7"/>
        <v>7.0828809827193168E-2</v>
      </c>
      <c r="AC18" s="2">
        <f t="shared" si="8"/>
        <v>0.28322616770916398</v>
      </c>
      <c r="AD18" s="2">
        <f t="shared" si="8"/>
        <v>0.16710938916430748</v>
      </c>
      <c r="AG18" s="2">
        <f>IF(ISERROR(Z18*100000000/'Calc-Units'!$E$23)," ",Z18*100000000/'Calc-Units'!$E$23)</f>
        <v>1.5256483048286945E-3</v>
      </c>
      <c r="AH18" s="2">
        <f>IF(ISERROR(AA18*100000000/'Calc-Units'!$D$23)," ",AA18*100000000/'Calc-Units'!$D$23)</f>
        <v>3.0103862018156986E-3</v>
      </c>
      <c r="AI18" s="2">
        <f>IF(ISERROR(AB18*100000000/'Calc-Units'!$C$23)," ",AB18*100000000/'Calc-Units'!$C$23)</f>
        <v>9.8152446796304668E-4</v>
      </c>
      <c r="AJ18" s="2">
        <f>IF(ISERROR(AC18*100000000/'Calc-Units'!$C$23)," ",AC18*100000000/'Calc-Units'!$C$23)</f>
        <v>3.9248635442582338E-3</v>
      </c>
      <c r="AL18" s="2">
        <v>0.52569999999999995</v>
      </c>
      <c r="AM18" s="2">
        <f t="shared" si="9"/>
        <v>0.52569999999999995</v>
      </c>
      <c r="AN18" s="2">
        <f t="shared" si="10"/>
        <v>0.47430000000000005</v>
      </c>
      <c r="AQ18" s="2">
        <f t="shared" si="11"/>
        <v>8.9848833960812377E-2</v>
      </c>
      <c r="AR18" s="2">
        <f t="shared" si="11"/>
        <v>0.13726290691306248</v>
      </c>
      <c r="AS18" s="2">
        <f t="shared" si="11"/>
        <v>3.3594104501037725E-2</v>
      </c>
      <c r="AT18" s="2">
        <f t="shared" si="11"/>
        <v>0.13433417134445649</v>
      </c>
      <c r="AU18" s="2">
        <f t="shared" si="11"/>
        <v>7.9259983280631052E-2</v>
      </c>
      <c r="AX18" s="2">
        <f>IF(ISERROR(AQ18*100000000/'Calc-Units'!$E$23)," ",AQ18*100000000/'Calc-Units'!$E$23)</f>
        <v>7.2361499098024982E-4</v>
      </c>
      <c r="AY18" s="2">
        <f>IF(ISERROR(AR18*100000000/'Calc-Units'!$D$23)," ",AR18*100000000/'Calc-Units'!$D$23)</f>
        <v>1.427826175521186E-3</v>
      </c>
      <c r="AZ18" s="2">
        <f>IF(ISERROR(AS18*100000000/'Calc-Units'!$C$23)," ",AS18*100000000/'Calc-Units'!$C$23)</f>
        <v>4.6553705515487304E-4</v>
      </c>
      <c r="BA18" s="2">
        <f>IF(ISERROR(AT18*100000000/'Calc-Units'!$C$23)," ",AT18*100000000/'Calc-Units'!$C$23)</f>
        <v>1.8615627790416803E-3</v>
      </c>
    </row>
    <row r="19" spans="1:53">
      <c r="C19" s="2" t="s">
        <v>582</v>
      </c>
      <c r="D19" s="2">
        <f>'RRP 1.3'!P$12</f>
        <v>0.7</v>
      </c>
      <c r="E19" s="2">
        <v>0</v>
      </c>
      <c r="F19" s="2">
        <v>0</v>
      </c>
      <c r="G19" s="2">
        <v>0</v>
      </c>
      <c r="H19" s="2">
        <v>0</v>
      </c>
      <c r="I19" s="2">
        <f t="shared" si="5"/>
        <v>0.7</v>
      </c>
      <c r="K19" s="2" t="s">
        <v>893</v>
      </c>
      <c r="L19" s="2">
        <f>IF(ISERROR(VLOOKUP($K19,'Calc-Drivers'!$B$17:$G$27,L$43,FALSE))," ",VLOOKUP($K19,'Calc-Drivers'!$B$17:$G$27,L$43,FALSE))</f>
        <v>0.18943460670633011</v>
      </c>
      <c r="M19" s="2">
        <f>IF(ISERROR(VLOOKUP($K19,'Calc-Drivers'!$B$17:$G$27,M$43,FALSE))," ",VLOOKUP($K19,'Calc-Drivers'!$B$17:$G$27,M$43,FALSE))</f>
        <v>0.28940102659300543</v>
      </c>
      <c r="N19" s="2">
        <f>IF(ISERROR(VLOOKUP($K19,'Calc-Drivers'!$B$17:$G$27,N$43,FALSE))," ",VLOOKUP($K19,'Calc-Drivers'!$B$17:$G$27,N$43,FALSE))</f>
        <v>7.0828809827193168E-2</v>
      </c>
      <c r="O19" s="2">
        <f>IF(ISERROR(VLOOKUP($K19,'Calc-Drivers'!$B$17:$G$27,O$43,FALSE))," ",VLOOKUP($K19,'Calc-Drivers'!$B$17:$G$27,O$43,FALSE))</f>
        <v>0.28322616770916398</v>
      </c>
      <c r="P19" s="2">
        <f>IF(ISERROR(VLOOKUP($K19,'Calc-Drivers'!$B$17:$G$27,P$43,FALSE))," ",VLOOKUP($K19,'Calc-Drivers'!$B$17:$G$27,P$43,FALSE))</f>
        <v>0.16710938916430748</v>
      </c>
      <c r="S19" s="2">
        <f t="shared" si="6"/>
        <v>0.13260422469443106</v>
      </c>
      <c r="T19" s="2">
        <f t="shared" si="6"/>
        <v>0.20258071861510379</v>
      </c>
      <c r="U19" s="2">
        <f t="shared" si="6"/>
        <v>4.9580166879035215E-2</v>
      </c>
      <c r="V19" s="2">
        <f t="shared" si="6"/>
        <v>0.19825831739641478</v>
      </c>
      <c r="W19" s="2">
        <f t="shared" si="6"/>
        <v>0.11697657241501523</v>
      </c>
      <c r="Z19" s="2">
        <f t="shared" si="7"/>
        <v>0.13260422469443106</v>
      </c>
      <c r="AA19" s="2">
        <f t="shared" si="7"/>
        <v>0.20258071861510379</v>
      </c>
      <c r="AB19" s="2">
        <f t="shared" si="7"/>
        <v>4.9580166879035215E-2</v>
      </c>
      <c r="AC19" s="2">
        <f t="shared" si="8"/>
        <v>0.19825831739641478</v>
      </c>
      <c r="AD19" s="2">
        <f t="shared" si="8"/>
        <v>0.11697657241501523</v>
      </c>
      <c r="AG19" s="2">
        <f>IF(ISERROR(Z19*100000000/'Calc-Units'!$E$23)," ",Z19*100000000/'Calc-Units'!$E$23)</f>
        <v>1.0679538133800861E-3</v>
      </c>
      <c r="AH19" s="2">
        <f>IF(ISERROR(AA19*100000000/'Calc-Units'!$D$23)," ",AA19*100000000/'Calc-Units'!$D$23)</f>
        <v>2.107270341270989E-3</v>
      </c>
      <c r="AI19" s="2">
        <f>IF(ISERROR(AB19*100000000/'Calc-Units'!$C$23)," ",AB19*100000000/'Calc-Units'!$C$23)</f>
        <v>6.8706712757413255E-4</v>
      </c>
      <c r="AJ19" s="2">
        <f>IF(ISERROR(AC19*100000000/'Calc-Units'!$C$23)," ",AC19*100000000/'Calc-Units'!$C$23)</f>
        <v>2.7474044809807632E-3</v>
      </c>
      <c r="AL19" s="2">
        <v>0.52569999999999995</v>
      </c>
      <c r="AM19" s="2">
        <f t="shared" si="9"/>
        <v>0.36798999999999993</v>
      </c>
      <c r="AN19" s="2">
        <f t="shared" si="10"/>
        <v>0.33201000000000003</v>
      </c>
      <c r="AQ19" s="2">
        <f t="shared" si="11"/>
        <v>6.2894183772568654E-2</v>
      </c>
      <c r="AR19" s="2">
        <f t="shared" si="11"/>
        <v>9.6084034839143739E-2</v>
      </c>
      <c r="AS19" s="2">
        <f t="shared" si="11"/>
        <v>2.3515873150726407E-2</v>
      </c>
      <c r="AT19" s="2">
        <f t="shared" si="11"/>
        <v>9.4033919941119537E-2</v>
      </c>
      <c r="AU19" s="2">
        <f t="shared" si="11"/>
        <v>5.5481988296441728E-2</v>
      </c>
      <c r="AX19" s="2">
        <f>IF(ISERROR(AQ19*100000000/'Calc-Units'!$E$23)," ",AQ19*100000000/'Calc-Units'!$E$23)</f>
        <v>5.0653049368617488E-4</v>
      </c>
      <c r="AY19" s="2">
        <f>IF(ISERROR(AR19*100000000/'Calc-Units'!$D$23)," ",AR19*100000000/'Calc-Units'!$D$23)</f>
        <v>9.9947832286483018E-4</v>
      </c>
      <c r="AZ19" s="2">
        <f>IF(ISERROR(AS19*100000000/'Calc-Units'!$C$23)," ",AS19*100000000/'Calc-Units'!$C$23)</f>
        <v>3.2587593860841115E-4</v>
      </c>
      <c r="BA19" s="2">
        <f>IF(ISERROR(AT19*100000000/'Calc-Units'!$C$23)," ",AT19*100000000/'Calc-Units'!$C$23)</f>
        <v>1.3030939453291762E-3</v>
      </c>
    </row>
    <row r="20" spans="1:53">
      <c r="C20" s="2" t="s">
        <v>583</v>
      </c>
      <c r="D20" s="2">
        <f>'RRP 1.3'!Q$12</f>
        <v>0.9</v>
      </c>
      <c r="E20" s="2">
        <v>0</v>
      </c>
      <c r="F20" s="2">
        <v>0</v>
      </c>
      <c r="G20" s="2">
        <v>0</v>
      </c>
      <c r="H20" s="2">
        <v>0</v>
      </c>
      <c r="I20" s="2">
        <f t="shared" si="5"/>
        <v>0.9</v>
      </c>
      <c r="K20" s="2" t="s">
        <v>893</v>
      </c>
      <c r="L20" s="2">
        <f>IF(ISERROR(VLOOKUP($K20,'Calc-Drivers'!$B$17:$G$27,L$43,FALSE))," ",VLOOKUP($K20,'Calc-Drivers'!$B$17:$G$27,L$43,FALSE))</f>
        <v>0.18943460670633011</v>
      </c>
      <c r="M20" s="2">
        <f>IF(ISERROR(VLOOKUP($K20,'Calc-Drivers'!$B$17:$G$27,M$43,FALSE))," ",VLOOKUP($K20,'Calc-Drivers'!$B$17:$G$27,M$43,FALSE))</f>
        <v>0.28940102659300543</v>
      </c>
      <c r="N20" s="2">
        <f>IF(ISERROR(VLOOKUP($K20,'Calc-Drivers'!$B$17:$G$27,N$43,FALSE))," ",VLOOKUP($K20,'Calc-Drivers'!$B$17:$G$27,N$43,FALSE))</f>
        <v>7.0828809827193168E-2</v>
      </c>
      <c r="O20" s="2">
        <f>IF(ISERROR(VLOOKUP($K20,'Calc-Drivers'!$B$17:$G$27,O$43,FALSE))," ",VLOOKUP($K20,'Calc-Drivers'!$B$17:$G$27,O$43,FALSE))</f>
        <v>0.28322616770916398</v>
      </c>
      <c r="P20" s="2">
        <f>IF(ISERROR(VLOOKUP($K20,'Calc-Drivers'!$B$17:$G$27,P$43,FALSE))," ",VLOOKUP($K20,'Calc-Drivers'!$B$17:$G$27,P$43,FALSE))</f>
        <v>0.16710938916430748</v>
      </c>
      <c r="S20" s="2">
        <f t="shared" si="6"/>
        <v>0.17049114603569709</v>
      </c>
      <c r="T20" s="2">
        <f t="shared" si="6"/>
        <v>0.2604609239337049</v>
      </c>
      <c r="U20" s="2">
        <f t="shared" si="6"/>
        <v>6.3745928844473859E-2</v>
      </c>
      <c r="V20" s="2">
        <f t="shared" si="6"/>
        <v>0.25490355093824757</v>
      </c>
      <c r="W20" s="2">
        <f t="shared" si="6"/>
        <v>0.15039845024787674</v>
      </c>
      <c r="Z20" s="2">
        <f t="shared" si="7"/>
        <v>0.17049114603569709</v>
      </c>
      <c r="AA20" s="2">
        <f t="shared" si="7"/>
        <v>0.2604609239337049</v>
      </c>
      <c r="AB20" s="2">
        <f t="shared" si="7"/>
        <v>6.3745928844473859E-2</v>
      </c>
      <c r="AC20" s="2">
        <f t="shared" si="8"/>
        <v>0.25490355093824757</v>
      </c>
      <c r="AD20" s="2">
        <f t="shared" si="8"/>
        <v>0.15039845024787674</v>
      </c>
      <c r="AG20" s="2">
        <f>IF(ISERROR(Z20*100000000/'Calc-Units'!$E$23)," ",Z20*100000000/'Calc-Units'!$E$23)</f>
        <v>1.373083474345825E-3</v>
      </c>
      <c r="AH20" s="2">
        <f>IF(ISERROR(AA20*100000000/'Calc-Units'!$D$23)," ",AA20*100000000/'Calc-Units'!$D$23)</f>
        <v>2.7093475816341289E-3</v>
      </c>
      <c r="AI20" s="2">
        <f>IF(ISERROR(AB20*100000000/'Calc-Units'!$C$23)," ",AB20*100000000/'Calc-Units'!$C$23)</f>
        <v>8.8337202116674197E-4</v>
      </c>
      <c r="AJ20" s="2">
        <f>IF(ISERROR(AC20*100000000/'Calc-Units'!$C$23)," ",AC20*100000000/'Calc-Units'!$C$23)</f>
        <v>3.5323771898324099E-3</v>
      </c>
      <c r="AL20" s="2">
        <v>0.52569999999999995</v>
      </c>
      <c r="AM20" s="2">
        <f t="shared" si="9"/>
        <v>0.47312999999999994</v>
      </c>
      <c r="AN20" s="2">
        <f t="shared" si="10"/>
        <v>0.42687000000000008</v>
      </c>
      <c r="AQ20" s="2">
        <f t="shared" si="11"/>
        <v>8.0863950564731141E-2</v>
      </c>
      <c r="AR20" s="2">
        <f t="shared" si="11"/>
        <v>0.12353661622175625</v>
      </c>
      <c r="AS20" s="2">
        <f t="shared" si="11"/>
        <v>3.0234694050933954E-2</v>
      </c>
      <c r="AT20" s="2">
        <f t="shared" si="11"/>
        <v>0.12090075421001084</v>
      </c>
      <c r="AU20" s="2">
        <f t="shared" si="11"/>
        <v>7.1333984952567944E-2</v>
      </c>
      <c r="AX20" s="2">
        <f>IF(ISERROR(AQ20*100000000/'Calc-Units'!$E$23)," ",AQ20*100000000/'Calc-Units'!$E$23)</f>
        <v>6.5125349188222491E-4</v>
      </c>
      <c r="AY20" s="2">
        <f>IF(ISERROR(AR20*100000000/'Calc-Units'!$D$23)," ",AR20*100000000/'Calc-Units'!$D$23)</f>
        <v>1.2850435579690675E-3</v>
      </c>
      <c r="AZ20" s="2">
        <f>IF(ISERROR(AS20*100000000/'Calc-Units'!$C$23)," ",AS20*100000000/'Calc-Units'!$C$23)</f>
        <v>4.189833496393858E-4</v>
      </c>
      <c r="BA20" s="2">
        <f>IF(ISERROR(AT20*100000000/'Calc-Units'!$C$23)," ",AT20*100000000/'Calc-Units'!$C$23)</f>
        <v>1.6754065011375123E-3</v>
      </c>
    </row>
    <row r="21" spans="1:53">
      <c r="C21" s="2" t="s">
        <v>584</v>
      </c>
      <c r="D21" s="2">
        <f>'RRP 1.3'!R$12</f>
        <v>2.7</v>
      </c>
      <c r="E21" s="2">
        <v>0</v>
      </c>
      <c r="F21" s="2">
        <v>0</v>
      </c>
      <c r="G21" s="2">
        <v>0</v>
      </c>
      <c r="H21" s="2">
        <v>0</v>
      </c>
      <c r="I21" s="2">
        <f t="shared" si="5"/>
        <v>2.7</v>
      </c>
      <c r="K21" s="2" t="s">
        <v>893</v>
      </c>
      <c r="L21" s="2">
        <f>IF(ISERROR(VLOOKUP($K21,'Calc-Drivers'!$B$17:$G$27,L$43,FALSE))," ",VLOOKUP($K21,'Calc-Drivers'!$B$17:$G$27,L$43,FALSE))</f>
        <v>0.18943460670633011</v>
      </c>
      <c r="M21" s="2">
        <f>IF(ISERROR(VLOOKUP($K21,'Calc-Drivers'!$B$17:$G$27,M$43,FALSE))," ",VLOOKUP($K21,'Calc-Drivers'!$B$17:$G$27,M$43,FALSE))</f>
        <v>0.28940102659300543</v>
      </c>
      <c r="N21" s="2">
        <f>IF(ISERROR(VLOOKUP($K21,'Calc-Drivers'!$B$17:$G$27,N$43,FALSE))," ",VLOOKUP($K21,'Calc-Drivers'!$B$17:$G$27,N$43,FALSE))</f>
        <v>7.0828809827193168E-2</v>
      </c>
      <c r="O21" s="2">
        <f>IF(ISERROR(VLOOKUP($K21,'Calc-Drivers'!$B$17:$G$27,O$43,FALSE))," ",VLOOKUP($K21,'Calc-Drivers'!$B$17:$G$27,O$43,FALSE))</f>
        <v>0.28322616770916398</v>
      </c>
      <c r="P21" s="2">
        <f>IF(ISERROR(VLOOKUP($K21,'Calc-Drivers'!$B$17:$G$27,P$43,FALSE))," ",VLOOKUP($K21,'Calc-Drivers'!$B$17:$G$27,P$43,FALSE))</f>
        <v>0.16710938916430748</v>
      </c>
      <c r="S21" s="2">
        <f t="shared" si="6"/>
        <v>0.51147343810709134</v>
      </c>
      <c r="T21" s="2">
        <f t="shared" si="6"/>
        <v>0.78138277180111471</v>
      </c>
      <c r="U21" s="2">
        <f t="shared" si="6"/>
        <v>0.19123778653342158</v>
      </c>
      <c r="V21" s="2">
        <f t="shared" si="6"/>
        <v>0.76471065281474282</v>
      </c>
      <c r="W21" s="2">
        <f t="shared" si="6"/>
        <v>0.45119535074363021</v>
      </c>
      <c r="Z21" s="2">
        <f t="shared" si="7"/>
        <v>0.51147343810709134</v>
      </c>
      <c r="AA21" s="2">
        <f t="shared" si="7"/>
        <v>0.78138277180111471</v>
      </c>
      <c r="AB21" s="2">
        <f t="shared" si="7"/>
        <v>0.19123778653342158</v>
      </c>
      <c r="AC21" s="2">
        <f t="shared" si="8"/>
        <v>0.76471065281474282</v>
      </c>
      <c r="AD21" s="2">
        <f t="shared" si="8"/>
        <v>0.45119535074363021</v>
      </c>
      <c r="AG21" s="2">
        <f>IF(ISERROR(Z21*100000000/'Calc-Units'!$E$23)," ",Z21*100000000/'Calc-Units'!$E$23)</f>
        <v>4.1192504230374754E-3</v>
      </c>
      <c r="AH21" s="2">
        <f>IF(ISERROR(AA21*100000000/'Calc-Units'!$D$23)," ",AA21*100000000/'Calc-Units'!$D$23)</f>
        <v>8.1280427449023866E-3</v>
      </c>
      <c r="AI21" s="2">
        <f>IF(ISERROR(AB21*100000000/'Calc-Units'!$C$23)," ",AB21*100000000/'Calc-Units'!$C$23)</f>
        <v>2.650116063500226E-3</v>
      </c>
      <c r="AJ21" s="2">
        <f>IF(ISERROR(AC21*100000000/'Calc-Units'!$C$23)," ",AC21*100000000/'Calc-Units'!$C$23)</f>
        <v>1.0597131569497232E-2</v>
      </c>
      <c r="AL21" s="2">
        <v>0.52569999999999995</v>
      </c>
      <c r="AM21" s="2">
        <f t="shared" si="9"/>
        <v>1.4193899999999999</v>
      </c>
      <c r="AN21" s="2">
        <f t="shared" si="10"/>
        <v>1.2806100000000002</v>
      </c>
      <c r="AQ21" s="2">
        <f t="shared" si="11"/>
        <v>0.24259185169419345</v>
      </c>
      <c r="AR21" s="2">
        <f t="shared" si="11"/>
        <v>0.37060984866526875</v>
      </c>
      <c r="AS21" s="2">
        <f t="shared" si="11"/>
        <v>9.070408215280186E-2</v>
      </c>
      <c r="AT21" s="2">
        <f t="shared" si="11"/>
        <v>0.36270226263003258</v>
      </c>
      <c r="AU21" s="2">
        <f t="shared" si="11"/>
        <v>0.21400195485770382</v>
      </c>
      <c r="AX21" s="2">
        <f>IF(ISERROR(AQ21*100000000/'Calc-Units'!$E$23)," ",AQ21*100000000/'Calc-Units'!$E$23)</f>
        <v>1.953760475646675E-3</v>
      </c>
      <c r="AY21" s="2">
        <f>IF(ISERROR(AR21*100000000/'Calc-Units'!$D$23)," ",AR21*100000000/'Calc-Units'!$D$23)</f>
        <v>3.8551306739072022E-3</v>
      </c>
      <c r="AZ21" s="2">
        <f>IF(ISERROR(AS21*100000000/'Calc-Units'!$C$23)," ",AS21*100000000/'Calc-Units'!$C$23)</f>
        <v>1.2569500489181575E-3</v>
      </c>
      <c r="BA21" s="2">
        <f>IF(ISERROR(AT21*100000000/'Calc-Units'!$C$23)," ",AT21*100000000/'Calc-Units'!$C$23)</f>
        <v>5.0262195034125384E-3</v>
      </c>
    </row>
    <row r="22" spans="1:53">
      <c r="C22" s="2" t="s">
        <v>585</v>
      </c>
      <c r="D22" s="2">
        <f>'RRP 1.3'!S$12</f>
        <v>6.8</v>
      </c>
      <c r="E22" s="2">
        <v>0</v>
      </c>
      <c r="F22" s="2">
        <v>0</v>
      </c>
      <c r="G22" s="2">
        <v>0</v>
      </c>
      <c r="H22" s="2">
        <v>0</v>
      </c>
      <c r="I22" s="2">
        <f t="shared" si="5"/>
        <v>6.8</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3.5747599999999995</v>
      </c>
      <c r="AN22" s="2">
        <f t="shared" si="10"/>
        <v>3.2252400000000003</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2.1</v>
      </c>
      <c r="E23" s="2">
        <v>0</v>
      </c>
      <c r="F23" s="2">
        <v>0</v>
      </c>
      <c r="G23" s="2">
        <v>0</v>
      </c>
      <c r="H23" s="2">
        <v>0</v>
      </c>
      <c r="I23" s="2">
        <f t="shared" si="5"/>
        <v>2.1</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1.1039699999999999</v>
      </c>
      <c r="AN23" s="2">
        <f t="shared" si="10"/>
        <v>0.99603000000000019</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0.9</v>
      </c>
      <c r="E24" s="2">
        <v>0</v>
      </c>
      <c r="F24" s="2">
        <v>0</v>
      </c>
      <c r="G24" s="2">
        <v>0</v>
      </c>
      <c r="H24" s="2">
        <v>0</v>
      </c>
      <c r="I24" s="2">
        <f t="shared" si="5"/>
        <v>0.9</v>
      </c>
      <c r="K24" s="2" t="s">
        <v>893</v>
      </c>
      <c r="L24" s="2">
        <f>IF(ISERROR(VLOOKUP($K24,'Calc-Drivers'!$B$17:$G$27,L$43,FALSE))," ",VLOOKUP($K24,'Calc-Drivers'!$B$17:$G$27,L$43,FALSE))</f>
        <v>0.18943460670633011</v>
      </c>
      <c r="M24" s="2">
        <f>IF(ISERROR(VLOOKUP($K24,'Calc-Drivers'!$B$17:$G$27,M$43,FALSE))," ",VLOOKUP($K24,'Calc-Drivers'!$B$17:$G$27,M$43,FALSE))</f>
        <v>0.28940102659300543</v>
      </c>
      <c r="N24" s="2">
        <f>IF(ISERROR(VLOOKUP($K24,'Calc-Drivers'!$B$17:$G$27,N$43,FALSE))," ",VLOOKUP($K24,'Calc-Drivers'!$B$17:$G$27,N$43,FALSE))</f>
        <v>7.0828809827193168E-2</v>
      </c>
      <c r="O24" s="2">
        <f>IF(ISERROR(VLOOKUP($K24,'Calc-Drivers'!$B$17:$G$27,O$43,FALSE))," ",VLOOKUP($K24,'Calc-Drivers'!$B$17:$G$27,O$43,FALSE))</f>
        <v>0.28322616770916398</v>
      </c>
      <c r="P24" s="2">
        <f>IF(ISERROR(VLOOKUP($K24,'Calc-Drivers'!$B$17:$G$27,P$43,FALSE))," ",VLOOKUP($K24,'Calc-Drivers'!$B$17:$G$27,P$43,FALSE))</f>
        <v>0.16710938916430748</v>
      </c>
      <c r="S24" s="2">
        <f t="shared" si="6"/>
        <v>0.17049114603569709</v>
      </c>
      <c r="T24" s="2">
        <f t="shared" si="6"/>
        <v>0.2604609239337049</v>
      </c>
      <c r="U24" s="2">
        <f t="shared" si="6"/>
        <v>6.3745928844473859E-2</v>
      </c>
      <c r="V24" s="2">
        <f t="shared" si="6"/>
        <v>0.25490355093824757</v>
      </c>
      <c r="W24" s="2">
        <f t="shared" si="6"/>
        <v>0.15039845024787674</v>
      </c>
      <c r="Z24" s="2">
        <f t="shared" si="7"/>
        <v>0.17049114603569709</v>
      </c>
      <c r="AA24" s="2">
        <f t="shared" si="7"/>
        <v>0.2604609239337049</v>
      </c>
      <c r="AB24" s="2">
        <f t="shared" si="7"/>
        <v>6.3745928844473859E-2</v>
      </c>
      <c r="AC24" s="2">
        <f t="shared" si="8"/>
        <v>0.25490355093824757</v>
      </c>
      <c r="AD24" s="2">
        <f t="shared" si="8"/>
        <v>0.15039845024787674</v>
      </c>
      <c r="AG24" s="2">
        <f>IF(ISERROR(Z24*100000000/'Calc-Units'!$E$23)," ",Z24*100000000/'Calc-Units'!$E$23)</f>
        <v>1.373083474345825E-3</v>
      </c>
      <c r="AH24" s="2">
        <f>IF(ISERROR(AA24*100000000/'Calc-Units'!$D$23)," ",AA24*100000000/'Calc-Units'!$D$23)</f>
        <v>2.7093475816341289E-3</v>
      </c>
      <c r="AI24" s="2">
        <f>IF(ISERROR(AB24*100000000/'Calc-Units'!$C$23)," ",AB24*100000000/'Calc-Units'!$C$23)</f>
        <v>8.8337202116674197E-4</v>
      </c>
      <c r="AJ24" s="2">
        <f>IF(ISERROR(AC24*100000000/'Calc-Units'!$C$23)," ",AC24*100000000/'Calc-Units'!$C$23)</f>
        <v>3.5323771898324099E-3</v>
      </c>
      <c r="AL24" s="2">
        <v>0.52569999999999995</v>
      </c>
      <c r="AM24" s="2">
        <f t="shared" si="9"/>
        <v>0.47312999999999994</v>
      </c>
      <c r="AN24" s="2">
        <f t="shared" si="10"/>
        <v>0.42687000000000008</v>
      </c>
      <c r="AQ24" s="2">
        <f t="shared" si="11"/>
        <v>8.0863950564731141E-2</v>
      </c>
      <c r="AR24" s="2">
        <f t="shared" si="11"/>
        <v>0.12353661622175625</v>
      </c>
      <c r="AS24" s="2">
        <f t="shared" si="11"/>
        <v>3.0234694050933954E-2</v>
      </c>
      <c r="AT24" s="2">
        <f t="shared" si="11"/>
        <v>0.12090075421001084</v>
      </c>
      <c r="AU24" s="2">
        <f t="shared" si="11"/>
        <v>7.1333984952567944E-2</v>
      </c>
      <c r="AX24" s="2">
        <f>IF(ISERROR(AQ24*100000000/'Calc-Units'!$E$23)," ",AQ24*100000000/'Calc-Units'!$E$23)</f>
        <v>6.5125349188222491E-4</v>
      </c>
      <c r="AY24" s="2">
        <f>IF(ISERROR(AR24*100000000/'Calc-Units'!$D$23)," ",AR24*100000000/'Calc-Units'!$D$23)</f>
        <v>1.2850435579690675E-3</v>
      </c>
      <c r="AZ24" s="2">
        <f>IF(ISERROR(AS24*100000000/'Calc-Units'!$C$23)," ",AS24*100000000/'Calc-Units'!$C$23)</f>
        <v>4.189833496393858E-4</v>
      </c>
      <c r="BA24" s="2">
        <f>IF(ISERROR(AT24*100000000/'Calc-Units'!$C$23)," ",AT24*100000000/'Calc-Units'!$C$23)</f>
        <v>1.6754065011375123E-3</v>
      </c>
    </row>
    <row r="25" spans="1:53">
      <c r="C25" s="2" t="s">
        <v>588</v>
      </c>
      <c r="D25" s="2">
        <f>'RRP 1.3'!V$12</f>
        <v>1.1000000000000001</v>
      </c>
      <c r="E25" s="2">
        <v>0</v>
      </c>
      <c r="F25" s="2">
        <v>0</v>
      </c>
      <c r="G25" s="2">
        <v>0</v>
      </c>
      <c r="H25" s="2">
        <v>0</v>
      </c>
      <c r="I25" s="2">
        <f t="shared" si="5"/>
        <v>1.1000000000000001</v>
      </c>
      <c r="K25" s="2" t="s">
        <v>893</v>
      </c>
      <c r="L25" s="2">
        <f>IF(ISERROR(VLOOKUP($K25,'Calc-Drivers'!$B$17:$G$27,L$43,FALSE))," ",VLOOKUP($K25,'Calc-Drivers'!$B$17:$G$27,L$43,FALSE))</f>
        <v>0.18943460670633011</v>
      </c>
      <c r="M25" s="2">
        <f>IF(ISERROR(VLOOKUP($K25,'Calc-Drivers'!$B$17:$G$27,M$43,FALSE))," ",VLOOKUP($K25,'Calc-Drivers'!$B$17:$G$27,M$43,FALSE))</f>
        <v>0.28940102659300543</v>
      </c>
      <c r="N25" s="2">
        <f>IF(ISERROR(VLOOKUP($K25,'Calc-Drivers'!$B$17:$G$27,N$43,FALSE))," ",VLOOKUP($K25,'Calc-Drivers'!$B$17:$G$27,N$43,FALSE))</f>
        <v>7.0828809827193168E-2</v>
      </c>
      <c r="O25" s="2">
        <f>IF(ISERROR(VLOOKUP($K25,'Calc-Drivers'!$B$17:$G$27,O$43,FALSE))," ",VLOOKUP($K25,'Calc-Drivers'!$B$17:$G$27,O$43,FALSE))</f>
        <v>0.28322616770916398</v>
      </c>
      <c r="P25" s="2">
        <f>IF(ISERROR(VLOOKUP($K25,'Calc-Drivers'!$B$17:$G$27,P$43,FALSE))," ",VLOOKUP($K25,'Calc-Drivers'!$B$17:$G$27,P$43,FALSE))</f>
        <v>0.16710938916430748</v>
      </c>
      <c r="S25" s="2">
        <f t="shared" si="6"/>
        <v>0.20837806737696313</v>
      </c>
      <c r="T25" s="2">
        <f t="shared" si="6"/>
        <v>0.31834112925230601</v>
      </c>
      <c r="U25" s="2">
        <f t="shared" si="6"/>
        <v>7.791169080991249E-2</v>
      </c>
      <c r="V25" s="2">
        <f t="shared" si="6"/>
        <v>0.31154878448008039</v>
      </c>
      <c r="W25" s="2">
        <f t="shared" si="6"/>
        <v>0.18382032808073825</v>
      </c>
      <c r="Z25" s="2">
        <f t="shared" si="7"/>
        <v>0.20837806737696313</v>
      </c>
      <c r="AA25" s="2">
        <f t="shared" si="7"/>
        <v>0.31834112925230601</v>
      </c>
      <c r="AB25" s="2">
        <f t="shared" si="7"/>
        <v>7.791169080991249E-2</v>
      </c>
      <c r="AC25" s="2">
        <f t="shared" si="8"/>
        <v>0.31154878448008039</v>
      </c>
      <c r="AD25" s="2">
        <f t="shared" si="8"/>
        <v>0.18382032808073825</v>
      </c>
      <c r="AG25" s="2">
        <f>IF(ISERROR(Z25*100000000/'Calc-Units'!$E$23)," ",Z25*100000000/'Calc-Units'!$E$23)</f>
        <v>1.6782131353115641E-3</v>
      </c>
      <c r="AH25" s="2">
        <f>IF(ISERROR(AA25*100000000/'Calc-Units'!$D$23)," ",AA25*100000000/'Calc-Units'!$D$23)</f>
        <v>3.3114248219972687E-3</v>
      </c>
      <c r="AI25" s="2">
        <f>IF(ISERROR(AB25*100000000/'Calc-Units'!$C$23)," ",AB25*100000000/'Calc-Units'!$C$23)</f>
        <v>1.0796769147593513E-3</v>
      </c>
      <c r="AJ25" s="2">
        <f>IF(ISERROR(AC25*100000000/'Calc-Units'!$C$23)," ",AC25*100000000/'Calc-Units'!$C$23)</f>
        <v>4.3173498986840567E-3</v>
      </c>
      <c r="AL25" s="2">
        <v>0.52569999999999995</v>
      </c>
      <c r="AM25" s="2">
        <f t="shared" si="9"/>
        <v>0.57826999999999995</v>
      </c>
      <c r="AN25" s="2">
        <f t="shared" si="10"/>
        <v>0.52173000000000014</v>
      </c>
      <c r="AQ25" s="2">
        <f t="shared" si="11"/>
        <v>9.8833717356893627E-2</v>
      </c>
      <c r="AR25" s="2">
        <f t="shared" si="11"/>
        <v>0.15098919760436877</v>
      </c>
      <c r="AS25" s="2">
        <f t="shared" si="11"/>
        <v>3.6953514951141499E-2</v>
      </c>
      <c r="AT25" s="2">
        <f t="shared" si="11"/>
        <v>0.14776758847890215</v>
      </c>
      <c r="AU25" s="2">
        <f t="shared" si="11"/>
        <v>8.718598160869416E-2</v>
      </c>
      <c r="AX25" s="2">
        <f>IF(ISERROR(AQ25*100000000/'Calc-Units'!$E$23)," ",AQ25*100000000/'Calc-Units'!$E$23)</f>
        <v>7.9597649007827494E-4</v>
      </c>
      <c r="AY25" s="2">
        <f>IF(ISERROR(AR25*100000000/'Calc-Units'!$D$23)," ",AR25*100000000/'Calc-Units'!$D$23)</f>
        <v>1.570608793073305E-3</v>
      </c>
      <c r="AZ25" s="2">
        <f>IF(ISERROR(AS25*100000000/'Calc-Units'!$C$23)," ",AS25*100000000/'Calc-Units'!$C$23)</f>
        <v>5.1209076067036045E-4</v>
      </c>
      <c r="BA25" s="2">
        <f>IF(ISERROR(AT25*100000000/'Calc-Units'!$C$23)," ",AT25*100000000/'Calc-Units'!$C$23)</f>
        <v>2.0477190569458486E-3</v>
      </c>
    </row>
    <row r="26" spans="1:53">
      <c r="C26" s="2" t="s">
        <v>589</v>
      </c>
      <c r="D26" s="2">
        <f>'RRP 1.3'!W$12</f>
        <v>5.8</v>
      </c>
      <c r="E26" s="2">
        <v>0</v>
      </c>
      <c r="F26" s="2">
        <v>0</v>
      </c>
      <c r="G26" s="2">
        <v>0</v>
      </c>
      <c r="H26" s="2">
        <v>0</v>
      </c>
      <c r="I26" s="2">
        <f t="shared" si="5"/>
        <v>5.8</v>
      </c>
      <c r="K26" s="2" t="s">
        <v>893</v>
      </c>
      <c r="L26" s="2">
        <f>IF(ISERROR(VLOOKUP($K26,'Calc-Drivers'!$B$17:$G$27,L$43,FALSE))," ",VLOOKUP($K26,'Calc-Drivers'!$B$17:$G$27,L$43,FALSE))</f>
        <v>0.18943460670633011</v>
      </c>
      <c r="M26" s="2">
        <f>IF(ISERROR(VLOOKUP($K26,'Calc-Drivers'!$B$17:$G$27,M$43,FALSE))," ",VLOOKUP($K26,'Calc-Drivers'!$B$17:$G$27,M$43,FALSE))</f>
        <v>0.28940102659300543</v>
      </c>
      <c r="N26" s="2">
        <f>IF(ISERROR(VLOOKUP($K26,'Calc-Drivers'!$B$17:$G$27,N$43,FALSE))," ",VLOOKUP($K26,'Calc-Drivers'!$B$17:$G$27,N$43,FALSE))</f>
        <v>7.0828809827193168E-2</v>
      </c>
      <c r="O26" s="2">
        <f>IF(ISERROR(VLOOKUP($K26,'Calc-Drivers'!$B$17:$G$27,O$43,FALSE))," ",VLOOKUP($K26,'Calc-Drivers'!$B$17:$G$27,O$43,FALSE))</f>
        <v>0.28322616770916398</v>
      </c>
      <c r="P26" s="2">
        <f>IF(ISERROR(VLOOKUP($K26,'Calc-Drivers'!$B$17:$G$27,P$43,FALSE))," ",VLOOKUP($K26,'Calc-Drivers'!$B$17:$G$27,P$43,FALSE))</f>
        <v>0.16710938916430748</v>
      </c>
      <c r="S26" s="2">
        <f t="shared" si="6"/>
        <v>1.0987207188967145</v>
      </c>
      <c r="T26" s="2">
        <f t="shared" si="6"/>
        <v>1.6785259542394315</v>
      </c>
      <c r="U26" s="2">
        <f t="shared" si="6"/>
        <v>0.41080709699772033</v>
      </c>
      <c r="V26" s="2">
        <f t="shared" si="6"/>
        <v>1.6427117727131511</v>
      </c>
      <c r="W26" s="2">
        <f t="shared" si="6"/>
        <v>0.9692344571529834</v>
      </c>
      <c r="Z26" s="2">
        <f t="shared" si="7"/>
        <v>1.0987207188967145</v>
      </c>
      <c r="AA26" s="2">
        <f t="shared" si="7"/>
        <v>1.6785259542394315</v>
      </c>
      <c r="AB26" s="2">
        <f t="shared" si="7"/>
        <v>0.41080709699772033</v>
      </c>
      <c r="AC26" s="2">
        <f t="shared" si="8"/>
        <v>1.6427117727131511</v>
      </c>
      <c r="AD26" s="2">
        <f t="shared" si="8"/>
        <v>0.9692344571529834</v>
      </c>
      <c r="AG26" s="2">
        <f>IF(ISERROR(Z26*100000000/'Calc-Units'!$E$23)," ",Z26*100000000/'Calc-Units'!$E$23)</f>
        <v>8.8487601680064271E-3</v>
      </c>
      <c r="AH26" s="2">
        <f>IF(ISERROR(AA26*100000000/'Calc-Units'!$D$23)," ",AA26*100000000/'Calc-Units'!$D$23)</f>
        <v>1.7460239970531054E-2</v>
      </c>
      <c r="AI26" s="2">
        <f>IF(ISERROR(AB26*100000000/'Calc-Units'!$C$23)," ",AB26*100000000/'Calc-Units'!$C$23)</f>
        <v>5.6928419141856696E-3</v>
      </c>
      <c r="AJ26" s="2">
        <f>IF(ISERROR(AC26*100000000/'Calc-Units'!$C$23)," ",AC26*100000000/'Calc-Units'!$C$23)</f>
        <v>2.2764208556697755E-2</v>
      </c>
      <c r="AL26" s="2">
        <v>0.52569999999999995</v>
      </c>
      <c r="AM26" s="2">
        <f t="shared" si="9"/>
        <v>3.0490599999999994</v>
      </c>
      <c r="AN26" s="2">
        <f t="shared" si="10"/>
        <v>2.7509400000000004</v>
      </c>
      <c r="AQ26" s="2">
        <f t="shared" si="11"/>
        <v>0.52112323697271179</v>
      </c>
      <c r="AR26" s="2">
        <f t="shared" si="11"/>
        <v>0.79612486009576244</v>
      </c>
      <c r="AS26" s="2">
        <f t="shared" si="11"/>
        <v>0.19484580610601879</v>
      </c>
      <c r="AT26" s="2">
        <f t="shared" si="11"/>
        <v>0.77913819379784766</v>
      </c>
      <c r="AU26" s="2">
        <f t="shared" si="11"/>
        <v>0.45970790302766007</v>
      </c>
      <c r="AX26" s="2">
        <f>IF(ISERROR(AQ26*100000000/'Calc-Units'!$E$23)," ",AQ26*100000000/'Calc-Units'!$E$23)</f>
        <v>4.1969669476854491E-3</v>
      </c>
      <c r="AY26" s="2">
        <f>IF(ISERROR(AR26*100000000/'Calc-Units'!$D$23)," ",AR26*100000000/'Calc-Units'!$D$23)</f>
        <v>8.2813918180228794E-3</v>
      </c>
      <c r="AZ26" s="2">
        <f>IF(ISERROR(AS26*100000000/'Calc-Units'!$C$23)," ",AS26*100000000/'Calc-Units'!$C$23)</f>
        <v>2.7001149198982639E-3</v>
      </c>
      <c r="BA26" s="2">
        <f>IF(ISERROR(AT26*100000000/'Calc-Units'!$C$23)," ",AT26*100000000/'Calc-Units'!$C$23)</f>
        <v>1.0797064118441746E-2</v>
      </c>
    </row>
    <row r="27" spans="1:53">
      <c r="C27" s="2" t="s">
        <v>590</v>
      </c>
      <c r="D27" s="2">
        <f>'RRP 1.3'!X$12</f>
        <v>1.8</v>
      </c>
      <c r="E27" s="2">
        <v>0</v>
      </c>
      <c r="F27" s="2">
        <v>0</v>
      </c>
      <c r="G27" s="2">
        <v>0</v>
      </c>
      <c r="H27" s="2">
        <v>0</v>
      </c>
      <c r="I27" s="2">
        <f t="shared" si="5"/>
        <v>1.8</v>
      </c>
      <c r="K27" s="2" t="s">
        <v>893</v>
      </c>
      <c r="L27" s="2">
        <f>IF(ISERROR(VLOOKUP($K27,'Calc-Drivers'!$B$17:$G$27,L$43,FALSE))," ",VLOOKUP($K27,'Calc-Drivers'!$B$17:$G$27,L$43,FALSE))</f>
        <v>0.18943460670633011</v>
      </c>
      <c r="M27" s="2">
        <f>IF(ISERROR(VLOOKUP($K27,'Calc-Drivers'!$B$17:$G$27,M$43,FALSE))," ",VLOOKUP($K27,'Calc-Drivers'!$B$17:$G$27,M$43,FALSE))</f>
        <v>0.28940102659300543</v>
      </c>
      <c r="N27" s="2">
        <f>IF(ISERROR(VLOOKUP($K27,'Calc-Drivers'!$B$17:$G$27,N$43,FALSE))," ",VLOOKUP($K27,'Calc-Drivers'!$B$17:$G$27,N$43,FALSE))</f>
        <v>7.0828809827193168E-2</v>
      </c>
      <c r="O27" s="2">
        <f>IF(ISERROR(VLOOKUP($K27,'Calc-Drivers'!$B$17:$G$27,O$43,FALSE))," ",VLOOKUP($K27,'Calc-Drivers'!$B$17:$G$27,O$43,FALSE))</f>
        <v>0.28322616770916398</v>
      </c>
      <c r="P27" s="2">
        <f>IF(ISERROR(VLOOKUP($K27,'Calc-Drivers'!$B$17:$G$27,P$43,FALSE))," ",VLOOKUP($K27,'Calc-Drivers'!$B$17:$G$27,P$43,FALSE))</f>
        <v>0.16710938916430748</v>
      </c>
      <c r="S27" s="2">
        <f t="shared" si="6"/>
        <v>0.34098229207139419</v>
      </c>
      <c r="T27" s="2">
        <f t="shared" si="6"/>
        <v>0.5209218478674098</v>
      </c>
      <c r="U27" s="2">
        <f t="shared" si="6"/>
        <v>0.12749185768894772</v>
      </c>
      <c r="V27" s="2">
        <f t="shared" si="6"/>
        <v>0.50980710187649514</v>
      </c>
      <c r="W27" s="2">
        <f t="shared" si="6"/>
        <v>0.30079690049575347</v>
      </c>
      <c r="Z27" s="2">
        <f t="shared" si="7"/>
        <v>0.34098229207139419</v>
      </c>
      <c r="AA27" s="2">
        <f t="shared" si="7"/>
        <v>0.5209218478674098</v>
      </c>
      <c r="AB27" s="2">
        <f t="shared" si="7"/>
        <v>0.12749185768894772</v>
      </c>
      <c r="AC27" s="2">
        <f t="shared" si="8"/>
        <v>0.50980710187649514</v>
      </c>
      <c r="AD27" s="2">
        <f t="shared" si="8"/>
        <v>0.30079690049575347</v>
      </c>
      <c r="AG27" s="2">
        <f>IF(ISERROR(Z27*100000000/'Calc-Units'!$E$23)," ",Z27*100000000/'Calc-Units'!$E$23)</f>
        <v>2.7461669486916499E-3</v>
      </c>
      <c r="AH27" s="2">
        <f>IF(ISERROR(AA27*100000000/'Calc-Units'!$D$23)," ",AA27*100000000/'Calc-Units'!$D$23)</f>
        <v>5.4186951632682577E-3</v>
      </c>
      <c r="AI27" s="2">
        <f>IF(ISERROR(AB27*100000000/'Calc-Units'!$C$23)," ",AB27*100000000/'Calc-Units'!$C$23)</f>
        <v>1.7667440423334839E-3</v>
      </c>
      <c r="AJ27" s="2">
        <f>IF(ISERROR(AC27*100000000/'Calc-Units'!$C$23)," ",AC27*100000000/'Calc-Units'!$C$23)</f>
        <v>7.0647543796648199E-3</v>
      </c>
      <c r="AL27" s="2">
        <v>0.52569999999999995</v>
      </c>
      <c r="AM27" s="2">
        <f t="shared" si="9"/>
        <v>0.94625999999999988</v>
      </c>
      <c r="AN27" s="2">
        <f t="shared" si="10"/>
        <v>0.85374000000000017</v>
      </c>
      <c r="AQ27" s="2">
        <f t="shared" si="11"/>
        <v>0.16172790112946228</v>
      </c>
      <c r="AR27" s="2">
        <f t="shared" si="11"/>
        <v>0.24707323244351251</v>
      </c>
      <c r="AS27" s="2">
        <f t="shared" si="11"/>
        <v>6.0469388101867909E-2</v>
      </c>
      <c r="AT27" s="2">
        <f t="shared" si="11"/>
        <v>0.24180150842002168</v>
      </c>
      <c r="AU27" s="2">
        <f t="shared" si="11"/>
        <v>0.14266796990513589</v>
      </c>
      <c r="AX27" s="2">
        <f>IF(ISERROR(AQ27*100000000/'Calc-Units'!$E$23)," ",AQ27*100000000/'Calc-Units'!$E$23)</f>
        <v>1.3025069837644498E-3</v>
      </c>
      <c r="AY27" s="2">
        <f>IF(ISERROR(AR27*100000000/'Calc-Units'!$D$23)," ",AR27*100000000/'Calc-Units'!$D$23)</f>
        <v>2.5700871159381349E-3</v>
      </c>
      <c r="AZ27" s="2">
        <f>IF(ISERROR(AS27*100000000/'Calc-Units'!$C$23)," ",AS27*100000000/'Calc-Units'!$C$23)</f>
        <v>8.379666992787716E-4</v>
      </c>
      <c r="BA27" s="2">
        <f>IF(ISERROR(AT27*100000000/'Calc-Units'!$C$23)," ",AT27*100000000/'Calc-Units'!$C$23)</f>
        <v>3.3508130022750246E-3</v>
      </c>
    </row>
    <row r="28" spans="1:53" ht="12.75" customHeight="1">
      <c r="A28" s="2" t="s">
        <v>896</v>
      </c>
      <c r="C28" s="2" t="s">
        <v>554</v>
      </c>
      <c r="D28" s="2">
        <f>'RRP 1.3'!Y$12</f>
        <v>4.3</v>
      </c>
      <c r="E28" s="2">
        <v>0</v>
      </c>
      <c r="F28" s="2">
        <v>0</v>
      </c>
      <c r="G28" s="2">
        <v>0</v>
      </c>
      <c r="H28" s="2">
        <v>0</v>
      </c>
      <c r="I28" s="2">
        <f t="shared" si="5"/>
        <v>4.3</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4.3</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13.4</v>
      </c>
      <c r="E29" s="2">
        <v>0</v>
      </c>
      <c r="F29" s="2">
        <v>0</v>
      </c>
      <c r="G29" s="2">
        <v>0</v>
      </c>
      <c r="H29" s="2">
        <v>0</v>
      </c>
      <c r="I29" s="2">
        <f t="shared" si="5"/>
        <v>13.4</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7.7317999999999998</v>
      </c>
      <c r="AN29" s="2">
        <f t="shared" si="10"/>
        <v>5.6682000000000006</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1.8</v>
      </c>
      <c r="E30" s="2">
        <v>0</v>
      </c>
      <c r="F30" s="2">
        <v>0</v>
      </c>
      <c r="G30" s="2">
        <v>0</v>
      </c>
      <c r="H30" s="2">
        <v>0</v>
      </c>
      <c r="I30" s="2">
        <f t="shared" si="5"/>
        <v>1.8</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1.8</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8.9</v>
      </c>
      <c r="E31" s="2">
        <v>0</v>
      </c>
      <c r="F31" s="2">
        <v>0</v>
      </c>
      <c r="G31" s="2">
        <v>0</v>
      </c>
      <c r="H31" s="2">
        <v>0</v>
      </c>
      <c r="I31" s="2">
        <f t="shared" si="5"/>
        <v>8.9</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8.9</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-0.1</v>
      </c>
      <c r="E32" s="2">
        <v>0</v>
      </c>
      <c r="F32" s="2">
        <v>0</v>
      </c>
      <c r="G32" s="2">
        <v>0</v>
      </c>
      <c r="H32" s="2">
        <v>0</v>
      </c>
      <c r="I32" s="2">
        <f t="shared" si="5"/>
        <v>-0.1</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-0.1</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0.1</v>
      </c>
      <c r="E33" s="2">
        <v>0</v>
      </c>
      <c r="F33" s="2">
        <v>0</v>
      </c>
      <c r="G33" s="2">
        <v>0</v>
      </c>
      <c r="H33" s="2">
        <v>0</v>
      </c>
      <c r="I33" s="2">
        <f t="shared" si="5"/>
        <v>0.1</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0.1</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-2.7755575615628914E-17</v>
      </c>
      <c r="E34" s="2">
        <v>0</v>
      </c>
      <c r="F34" s="2">
        <v>0</v>
      </c>
      <c r="G34" s="2">
        <v>0</v>
      </c>
      <c r="H34" s="2">
        <v>0</v>
      </c>
      <c r="I34" s="2">
        <f t="shared" si="5"/>
        <v>-2.7755575615628914E-17</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-2.7755575615628914E-17</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25.3</v>
      </c>
      <c r="E35" s="2">
        <v>0</v>
      </c>
      <c r="F35" s="2">
        <v>0</v>
      </c>
      <c r="G35" s="2">
        <v>0</v>
      </c>
      <c r="H35" s="2">
        <v>0</v>
      </c>
      <c r="I35" s="2">
        <f t="shared" si="5"/>
        <v>25.3</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25.3</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15.1</v>
      </c>
      <c r="E36" s="2">
        <v>0</v>
      </c>
      <c r="F36" s="2">
        <v>0</v>
      </c>
      <c r="G36" s="2">
        <v>0</v>
      </c>
      <c r="H36" s="2">
        <v>0</v>
      </c>
      <c r="I36" s="2">
        <f t="shared" si="5"/>
        <v>15.1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15.1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4.2</v>
      </c>
      <c r="E37" s="2">
        <v>0</v>
      </c>
      <c r="F37" s="2">
        <v>0</v>
      </c>
      <c r="G37" s="2">
        <v>0</v>
      </c>
      <c r="H37" s="2">
        <v>0</v>
      </c>
      <c r="I37" s="2">
        <f t="shared" si="5"/>
        <v>4.2</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4.2</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0</v>
      </c>
      <c r="E38" s="2">
        <v>0</v>
      </c>
      <c r="F38" s="2">
        <v>0</v>
      </c>
      <c r="G38" s="2">
        <v>0</v>
      </c>
      <c r="H38" s="2">
        <v>0</v>
      </c>
      <c r="I38" s="2">
        <f t="shared" si="5"/>
        <v>0</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0</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-2.9000000000000057</v>
      </c>
      <c r="E39" s="2">
        <v>0</v>
      </c>
      <c r="F39" s="2">
        <v>0</v>
      </c>
      <c r="G39" s="2">
        <v>0</v>
      </c>
      <c r="H39" s="2">
        <v>0</v>
      </c>
      <c r="I39" s="2">
        <f t="shared" si="5"/>
        <v>-2.9000000000000057</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-2.9000000000000057</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163.19999999999999</v>
      </c>
      <c r="E40" s="2">
        <f>SUM(E7:E39)</f>
        <v>14.684777089160978</v>
      </c>
      <c r="F40" s="2">
        <f>SUM(F7:F39)</f>
        <v>20.583069336375058</v>
      </c>
      <c r="G40" s="2">
        <f>SUM(G7:G39)</f>
        <v>6</v>
      </c>
      <c r="H40" s="2">
        <f>SUM(H7:H39)</f>
        <v>12.575518117056667</v>
      </c>
      <c r="I40" s="2">
        <f t="shared" si="5"/>
        <v>109.35663545740729</v>
      </c>
      <c r="R40" s="2" t="s">
        <v>220</v>
      </c>
      <c r="S40" s="2">
        <f>SUM(S7:S39)</f>
        <v>6.5623245885380115</v>
      </c>
      <c r="T40" s="2">
        <f>SUM(T7:T39)</f>
        <v>10.025324864234328</v>
      </c>
      <c r="U40" s="2">
        <f>SUM(U7:U39)</f>
        <v>2.4536258099156529</v>
      </c>
      <c r="V40" s="2">
        <f>SUM(V7:V39)</f>
        <v>9.8114176537793583</v>
      </c>
      <c r="Y40" s="2" t="s">
        <v>897</v>
      </c>
      <c r="Z40" s="2">
        <f>SUM(Z41:AD41)</f>
        <v>88.485000000000028</v>
      </c>
      <c r="AF40" s="2" t="s">
        <v>897</v>
      </c>
      <c r="AG40" s="2">
        <f>SUM(AG41:AJ41)</f>
        <v>0.85222248378867738</v>
      </c>
      <c r="AL40" s="2" t="s">
        <v>220</v>
      </c>
      <c r="AM40" s="2">
        <f>SUM(AM7:AM39)</f>
        <v>65.918729999999982</v>
      </c>
      <c r="AN40" s="2">
        <f>SUM(AN7:AN39)</f>
        <v>97.281269999999992</v>
      </c>
      <c r="AP40" s="2" t="s">
        <v>897</v>
      </c>
      <c r="AQ40" s="2">
        <f>SUM(AQ41:AU41)</f>
        <v>30.691800000000004</v>
      </c>
      <c r="AW40" s="2" t="s">
        <v>897</v>
      </c>
      <c r="AX40" s="2">
        <f>SUM(AX41:BA41)</f>
        <v>0.29223614446778062</v>
      </c>
    </row>
    <row r="41" spans="3:53" ht="20.25" customHeight="1">
      <c r="Y41" s="2" t="s">
        <v>898</v>
      </c>
      <c r="Z41" s="2">
        <f>SUM(Z7:Z39)</f>
        <v>21.247101677698989</v>
      </c>
      <c r="AA41" s="2">
        <f>SUM(AA7:AA39)</f>
        <v>30.608394200609393</v>
      </c>
      <c r="AB41" s="2">
        <f>SUM(AB7:AB39)</f>
        <v>8.4536258099156552</v>
      </c>
      <c r="AC41" s="2">
        <f>SUM(AC7:AC39)</f>
        <v>17.720444042854474</v>
      </c>
      <c r="AD41" s="2">
        <f>SUM(AD7:AD39)</f>
        <v>10.455434268921506</v>
      </c>
      <c r="AF41" s="2" t="s">
        <v>898</v>
      </c>
      <c r="AG41" s="2">
        <f>SUM(AG7:AG39)</f>
        <v>0.17111764962437132</v>
      </c>
      <c r="AH41" s="2">
        <f>SUM(AH7:AH39)</f>
        <v>0.3183924004901133</v>
      </c>
      <c r="AI41" s="2">
        <f>SUM(AI7:AI39)</f>
        <v>0.11714781874324988</v>
      </c>
      <c r="AJ41" s="2">
        <f>SUM(AJ7:AJ39)</f>
        <v>0.24556461493094289</v>
      </c>
      <c r="AP41" s="2" t="s">
        <v>898</v>
      </c>
      <c r="AQ41" s="2">
        <f>SUM(AQ7:AQ39)</f>
        <v>5.9988381907712558</v>
      </c>
      <c r="AR41" s="2">
        <f>SUM(AR7:AR39)</f>
        <v>9.0654871535836286</v>
      </c>
      <c r="AS41" s="2">
        <f>SUM(AS7:AS39)</f>
        <v>2.6103173551139776</v>
      </c>
      <c r="AT41" s="2">
        <f>SUM(AT7:AT39)</f>
        <v>8.1867832118187884</v>
      </c>
      <c r="AU41" s="2">
        <f>SUM(AU7:AU39)</f>
        <v>4.830374088712353</v>
      </c>
      <c r="AW41" s="2" t="s">
        <v>898</v>
      </c>
      <c r="AX41" s="2">
        <f>SUM(AX7:AX39)</f>
        <v>4.8312805541807967E-2</v>
      </c>
      <c r="AY41" s="2">
        <f>SUM(AY7:AY39)</f>
        <v>9.4300347725667769E-2</v>
      </c>
      <c r="AZ41" s="2">
        <f>SUM(AZ7:AZ39)</f>
        <v>3.6172997392500239E-2</v>
      </c>
      <c r="BA41" s="2">
        <f>SUM(BA7:BA39)</f>
        <v>0.11344999380780464</v>
      </c>
    </row>
    <row r="42" spans="3:53" ht="20.25" customHeight="1">
      <c r="Y42" s="2" t="s">
        <v>899</v>
      </c>
      <c r="Z42" s="2">
        <f>Z41/$Z$40</f>
        <v>0.24012094341073609</v>
      </c>
      <c r="AA42" s="2">
        <f>AA41/$Z$40</f>
        <v>0.3459161914517645</v>
      </c>
      <c r="AB42" s="2">
        <f>AB41/$Z$40</f>
        <v>9.553738836995708E-2</v>
      </c>
      <c r="AC42" s="2">
        <f>AC41/$Z$40</f>
        <v>0.2002649493457023</v>
      </c>
      <c r="AD42" s="2">
        <f>AD41/$Z$40</f>
        <v>0.11816052742183988</v>
      </c>
      <c r="AF42" s="2" t="s">
        <v>899</v>
      </c>
      <c r="AG42" s="2">
        <f>AG41/$AG$40</f>
        <v>0.20078987926209507</v>
      </c>
      <c r="AH42" s="2">
        <f>AH41/$AG$40</f>
        <v>0.37360244131867326</v>
      </c>
      <c r="AI42" s="2">
        <f>AI41/$AG$40</f>
        <v>0.13746154434045491</v>
      </c>
      <c r="AJ42" s="2">
        <f>AJ41/$AG$40</f>
        <v>0.28814613507877679</v>
      </c>
      <c r="AP42" s="2" t="s">
        <v>899</v>
      </c>
      <c r="AQ42" s="2">
        <f>AQ41/$AQ$40</f>
        <v>0.19545410144635553</v>
      </c>
      <c r="AR42" s="2">
        <f>AR41/$AQ$40</f>
        <v>0.29537163521147758</v>
      </c>
      <c r="AS42" s="2">
        <f>AS41/$AQ$40</f>
        <v>8.5049340707093662E-2</v>
      </c>
      <c r="AT42" s="2">
        <f>AT41/$AQ$40</f>
        <v>0.26674170989706658</v>
      </c>
      <c r="AU42" s="2">
        <f>AU41/$AQ$40</f>
        <v>0.15738321273800665</v>
      </c>
      <c r="AW42" s="2" t="s">
        <v>899</v>
      </c>
      <c r="AX42" s="2">
        <f>AX41/$AX$40</f>
        <v>0.1653211160097772</v>
      </c>
      <c r="AY42" s="2">
        <f>AY41/$AX$40</f>
        <v>0.32268543611334322</v>
      </c>
      <c r="AZ42" s="2">
        <f>AZ41/$AX$40</f>
        <v>0.12378002542559671</v>
      </c>
      <c r="BA42" s="2">
        <f>BA41/$AX$40</f>
        <v>0.38821342245128282</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15.374628869802752</v>
      </c>
      <c r="AA47" s="2">
        <f>SUMIF(AA7:AA12,"&gt;0",AA7:AA12)+SUMIF(AA28:AA39,"&gt;0",AA28:AA39)</f>
        <v>21.636962376226215</v>
      </c>
      <c r="AB47" s="2">
        <f>SUMIF(AB7:AB12,"&gt;0",AB7:AB12)+SUMIF(AB28:AB39,"&gt;0",AB28:AB39)</f>
        <v>6.262066596360615</v>
      </c>
      <c r="AC47" s="2">
        <f>SUMIF(AC7:AC12,"&gt;0",AC7:AC12)+SUMIF(AC28:AC39,"&gt;0",AC28:AC39)</f>
        <v>8.9404328438703882</v>
      </c>
      <c r="AD47" s="2">
        <f>SUMIF(AD7:AD12,"&gt;0",AD7:AD12)+SUMIF(AD28:AD39,"&gt;0",AD28:AD39)</f>
        <v>5.2750432048279716</v>
      </c>
    </row>
    <row r="48" spans="3:53">
      <c r="Y48" s="2" t="s">
        <v>904</v>
      </c>
      <c r="Z48" s="2">
        <f>SUMIF(Z13:Z28,"&gt;0",Z13:Z28)</f>
        <v>5.8724728078962345</v>
      </c>
      <c r="AA48" s="2">
        <f>SUMIF(AA13:AA28,"&gt;0",AA13:AA28)</f>
        <v>8.9714318243831688</v>
      </c>
      <c r="AB48" s="2">
        <f>SUMIF(AB13:AB28,"&gt;0",AB13:AB28)</f>
        <v>2.1956931046429884</v>
      </c>
      <c r="AC48" s="2">
        <f>SUMIF(AC13:AC28,"&gt;0",AC13:AC28)</f>
        <v>8.7800111989840826</v>
      </c>
      <c r="AD48" s="2">
        <f>SUMIF(AD13:AD28,"&gt;0",AD13:AD28)</f>
        <v>5.1803910640935324</v>
      </c>
    </row>
    <row r="49" spans="25:30">
      <c r="Y49" s="2" t="s">
        <v>905</v>
      </c>
      <c r="Z49" s="2">
        <f>Z47/(Z48+Z47)</f>
        <v>0.72361064125466124</v>
      </c>
      <c r="AA49" s="2">
        <f>AA47/(AA48+AA47)</f>
        <v>0.7068963577251447</v>
      </c>
      <c r="AB49" s="2">
        <f>AB47/(AB48+AB47)</f>
        <v>0.74039306125208948</v>
      </c>
      <c r="AC49" s="2">
        <f>AC47/(AC48+AC47)</f>
        <v>0.50452645668749463</v>
      </c>
      <c r="AD49" s="2">
        <f>AD47/(AD48+AD47)</f>
        <v>0.50452645668749452</v>
      </c>
    </row>
    <row r="50" spans="25:30">
      <c r="Y50" s="2" t="s">
        <v>906</v>
      </c>
      <c r="Z50" s="2">
        <f>Z48/(Z47+Z48)</f>
        <v>0.27638935874533876</v>
      </c>
      <c r="AA50" s="2">
        <f>AA48/(AA47+AA48)</f>
        <v>0.2931036422748553</v>
      </c>
      <c r="AB50" s="2">
        <f>AB48/(AB47+AB48)</f>
        <v>0.25960693874791052</v>
      </c>
      <c r="AC50" s="2">
        <f>AC48/(AC47+AC48)</f>
        <v>0.49547354331250537</v>
      </c>
      <c r="AD50" s="2">
        <f>AD48/(AD47+AD48)</f>
        <v>0.49547354331250543</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WPD South Wales in 2016/17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8.1600897410423812E-2</v>
      </c>
      <c r="D17" s="2">
        <f>'Calc-Net capex'!H6*SUM('FBPQ NL1'!D14:M16)/SUM('FBPQ NL1'!D10:M16)</f>
        <v>0.11706239970030234</v>
      </c>
      <c r="E17" s="2">
        <f>'Calc-Net capex'!H7</f>
        <v>9.2956140106396648E-2</v>
      </c>
      <c r="F17" s="2">
        <f>'Calc-Net capex'!H8</f>
        <v>0.37502244942212282</v>
      </c>
      <c r="G17" s="2">
        <f>'Calc-Net capex'!H9+'Calc-Net capex'!H10</f>
        <v>0.33335811336075438</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0.40074253917647679</v>
      </c>
      <c r="E19" s="2">
        <v>0</v>
      </c>
      <c r="F19" s="2">
        <f>'RRP 5.1'!$G$63/'RRP 5.1'!$G$65</f>
        <v>0.50561680405020537</v>
      </c>
      <c r="G19" s="2">
        <f>('RRP 5.1'!$G$61+'RRP 5.1'!$G$62)/'RRP 5.1'!$G$65</f>
        <v>9.3640656773317954E-2</v>
      </c>
      <c r="H19" s="2">
        <f t="shared" si="0"/>
        <v>1</v>
      </c>
      <c r="I19" s="2" t="s">
        <v>915</v>
      </c>
    </row>
    <row r="20" spans="2:9" ht="15" customHeight="1">
      <c r="B20" s="2" t="s">
        <v>916</v>
      </c>
      <c r="D20" s="2">
        <f>0/'RRP 5.1'!$G$73</f>
        <v>0</v>
      </c>
      <c r="E20" s="2">
        <v>0</v>
      </c>
      <c r="F20" s="2">
        <f>('RRP 5.1'!$G$71+'RRP 5.1'!$G$72)/'RRP 5.1'!$G$73</f>
        <v>0.99313034725717164</v>
      </c>
      <c r="G20" s="2">
        <f>('RRP 5.1'!$G$68+'RRP 5.1'!$G$69+'RRP 5.1'!$G$70)/'RRP 5.1'!$G$73</f>
        <v>6.8696527428283843E-3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0.16710938916430748</v>
      </c>
      <c r="D22" s="2">
        <f>'Calc-MEAV'!H6*(('Calc-MEAV'!G6-'Data-MEAV'!I21-'Data-MEAV'!I30)/'Calc-MEAV'!G6)</f>
        <v>0.28322616770916398</v>
      </c>
      <c r="E22" s="2">
        <f>'Calc-MEAV'!H7</f>
        <v>7.0828809827193168E-2</v>
      </c>
      <c r="F22" s="2">
        <f>'Calc-MEAV'!H8</f>
        <v>0.28940102659300543</v>
      </c>
      <c r="G22" s="2">
        <f>'Calc-MEAV'!H9+'Calc-MEAV'!H10</f>
        <v>0.18943460670633011</v>
      </c>
      <c r="H22" s="2">
        <f t="shared" si="0"/>
        <v>1.0000000000000002</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160551362.13624749</v>
      </c>
      <c r="D32" s="2">
        <f>SUM(Inputs!C30:G30)</f>
        <v>759750786.5167172</v>
      </c>
      <c r="E32" s="3">
        <f>D32/(C32+D32)</f>
        <v>0.8255449448083495</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WPD South Wales in 2016/17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573.6</v>
      </c>
      <c r="P9" s="2">
        <f>'Allowed revenue -DPCR4'!E3</f>
        <v>577.79999999999995</v>
      </c>
      <c r="Q9" s="2">
        <f>'Allowed revenue -DPCR4'!F3</f>
        <v>579.29999999999995</v>
      </c>
      <c r="R9" s="2">
        <f>'Allowed revenue -DPCR4'!G3</f>
        <v>578.4</v>
      </c>
      <c r="S9" s="2">
        <f>'Allowed revenue -DPCR4'!H3</f>
        <v>575</v>
      </c>
    </row>
    <row r="10" spans="1:19">
      <c r="B10" s="2" t="s">
        <v>929</v>
      </c>
      <c r="D10" s="2">
        <f>O35</f>
        <v>140.70458227880613</v>
      </c>
      <c r="E10" s="2">
        <f>P35</f>
        <v>142.53374184843059</v>
      </c>
      <c r="G10" s="2">
        <f>Q35</f>
        <v>144.36290141805509</v>
      </c>
      <c r="H10" s="2">
        <f>R35</f>
        <v>145.91065182312195</v>
      </c>
      <c r="I10" s="2">
        <f>S35</f>
        <v>147.73981139274645</v>
      </c>
      <c r="L10" s="2" t="s">
        <v>68</v>
      </c>
      <c r="O10" s="2">
        <f>'Allowed revenue -DPCR4'!D4</f>
        <v>49.9</v>
      </c>
      <c r="P10" s="2">
        <f>'Allowed revenue -DPCR4'!E4</f>
        <v>49.7</v>
      </c>
      <c r="Q10" s="2">
        <f>'Allowed revenue -DPCR4'!F4</f>
        <v>49.7</v>
      </c>
      <c r="R10" s="2">
        <f>'Allowed revenue -DPCR4'!G4</f>
        <v>49.7</v>
      </c>
      <c r="S10" s="2">
        <f>'Allowed revenue -DPCR4'!H4</f>
        <v>49.7</v>
      </c>
    </row>
    <row r="11" spans="1:19">
      <c r="L11" s="2" t="s">
        <v>69</v>
      </c>
      <c r="O11" s="2">
        <f>'Allowed revenue -DPCR4'!D5</f>
        <v>-45.7</v>
      </c>
      <c r="P11" s="2">
        <f>'Allowed revenue -DPCR4'!E5</f>
        <v>-48.2</v>
      </c>
      <c r="Q11" s="2">
        <f>'Allowed revenue -DPCR4'!F5</f>
        <v>-50.6</v>
      </c>
      <c r="R11" s="2">
        <f>'Allowed revenue -DPCR4'!G5</f>
        <v>-53.1</v>
      </c>
      <c r="S11" s="2">
        <f>'Allowed revenue -DPCR4'!H5</f>
        <v>-55.6</v>
      </c>
    </row>
    <row r="12" spans="1:19">
      <c r="B12" s="2" t="s">
        <v>930</v>
      </c>
      <c r="D12" s="2">
        <f>O16+(1-0.577)*O18</f>
        <v>47.230000000000004</v>
      </c>
      <c r="E12" s="2">
        <f>P16+(1-0.577)*P18</f>
        <v>48.6877</v>
      </c>
      <c r="G12" s="2">
        <f>Q16+(1-0.577)*Q18</f>
        <v>49.4146</v>
      </c>
      <c r="H12" s="2">
        <f>R16+(1-0.577)*R18</f>
        <v>49.099200000000003</v>
      </c>
      <c r="I12" s="2">
        <f>S16+(1-0.577)*S18</f>
        <v>48.741499999999995</v>
      </c>
      <c r="L12" s="2" t="s">
        <v>70</v>
      </c>
      <c r="O12" s="2">
        <f>'Allowed revenue -DPCR4'!D6</f>
        <v>577.79999999999995</v>
      </c>
      <c r="P12" s="2">
        <f>'Allowed revenue -DPCR4'!E6</f>
        <v>579.29999999999995</v>
      </c>
      <c r="Q12" s="2">
        <f>'Allowed revenue -DPCR4'!F6</f>
        <v>578.4</v>
      </c>
      <c r="R12" s="2">
        <f>'Allowed revenue -DPCR4'!G6</f>
        <v>575</v>
      </c>
      <c r="S12" s="2">
        <f>'Allowed revenue -DPCR4'!H6</f>
        <v>569.1</v>
      </c>
    </row>
    <row r="13" spans="1:19">
      <c r="B13" s="2" t="s">
        <v>931</v>
      </c>
      <c r="D13" s="2">
        <f>O22</f>
        <v>1.6</v>
      </c>
      <c r="E13" s="2">
        <f>P22</f>
        <v>1.6</v>
      </c>
      <c r="F13" s="2">
        <f>Q22</f>
        <v>1.6</v>
      </c>
      <c r="G13" s="2">
        <f>Q22</f>
        <v>1.6</v>
      </c>
      <c r="H13" s="2">
        <f>R22</f>
        <v>1.3</v>
      </c>
      <c r="I13" s="2">
        <f>S22</f>
        <v>1.3</v>
      </c>
      <c r="L13" s="2" t="s">
        <v>932</v>
      </c>
      <c r="O13" s="2">
        <f>'Allowed revenue -DPCR4'!D7</f>
        <v>0</v>
      </c>
      <c r="Q13" s="2" t="str">
        <f>'Allowed revenue -DPCR4'!F7</f>
        <v xml:space="preserve"> </v>
      </c>
      <c r="S13" s="2">
        <f>'Allowed revenue -DPCR4'!H7</f>
        <v>434.51048876277451</v>
      </c>
    </row>
    <row r="14" spans="1:19">
      <c r="B14" s="2" t="s">
        <v>82</v>
      </c>
      <c r="D14" s="2">
        <f>O23</f>
        <v>0.9</v>
      </c>
      <c r="L14" s="2" t="s">
        <v>85</v>
      </c>
      <c r="P14" s="2" t="str">
        <f>'Allowed revenue -DPCR4'!E8</f>
        <v xml:space="preserve"> </v>
      </c>
      <c r="S14" s="2">
        <f>'Allowed revenue -DPCR4'!H8</f>
        <v>139.08951123722551</v>
      </c>
    </row>
    <row r="15" spans="1:19">
      <c r="B15" s="2" t="s">
        <v>933</v>
      </c>
      <c r="D15" s="2">
        <f>SUM(D12:D14)</f>
        <v>49.730000000000004</v>
      </c>
      <c r="E15" s="2">
        <f>SUM(E12:E14)</f>
        <v>50.287700000000001</v>
      </c>
      <c r="G15" s="2">
        <f>SUM(G12:G14)</f>
        <v>51.014600000000002</v>
      </c>
      <c r="H15" s="2">
        <f>SUM(H12:H14)</f>
        <v>50.3992</v>
      </c>
      <c r="I15" s="2">
        <f>SUM(I12:I14)</f>
        <v>50.041499999999992</v>
      </c>
    </row>
    <row r="16" spans="1:19">
      <c r="L16" s="2" t="s">
        <v>934</v>
      </c>
      <c r="O16" s="2">
        <f>'Allowed revenue -DPCR4'!D10</f>
        <v>43</v>
      </c>
      <c r="P16" s="2">
        <f>'Allowed revenue -DPCR4'!E10</f>
        <v>44.5</v>
      </c>
      <c r="Q16" s="2">
        <f>'Allowed revenue -DPCR4'!F10</f>
        <v>45.1</v>
      </c>
      <c r="R16" s="2">
        <f>'Allowed revenue -DPCR4'!G10</f>
        <v>44.7</v>
      </c>
      <c r="S16" s="2">
        <f>'Allowed revenue -DPCR4'!H10</f>
        <v>44.3</v>
      </c>
    </row>
    <row r="17" spans="2:19">
      <c r="B17" s="2" t="s">
        <v>935</v>
      </c>
      <c r="L17" s="2" t="s">
        <v>936</v>
      </c>
      <c r="O17" s="2">
        <f>'Allowed revenue -DPCR4'!D11</f>
        <v>44.1</v>
      </c>
      <c r="P17" s="2">
        <f>'Allowed revenue -DPCR4'!E11</f>
        <v>44</v>
      </c>
      <c r="Q17" s="2">
        <f>'Allowed revenue -DPCR4'!F11</f>
        <v>43.8</v>
      </c>
      <c r="R17" s="2">
        <f>'Allowed revenue -DPCR4'!G11</f>
        <v>43.7</v>
      </c>
      <c r="S17" s="2">
        <f>'Allowed revenue -DPCR4'!H11</f>
        <v>43.6</v>
      </c>
    </row>
    <row r="18" spans="2:19">
      <c r="B18" s="2" t="s">
        <v>69</v>
      </c>
      <c r="D18" s="2">
        <f>-O11</f>
        <v>45.7</v>
      </c>
      <c r="E18" s="2">
        <f>-P11</f>
        <v>48.2</v>
      </c>
      <c r="G18" s="2">
        <f>-Q11</f>
        <v>50.6</v>
      </c>
      <c r="H18" s="2">
        <f>-R11</f>
        <v>53.1</v>
      </c>
      <c r="I18" s="2">
        <f>-S11</f>
        <v>55.6</v>
      </c>
      <c r="L18" s="2" t="s">
        <v>937</v>
      </c>
      <c r="O18" s="2">
        <f>'Allowed revenue -DPCR4'!D12</f>
        <v>10</v>
      </c>
      <c r="P18" s="2">
        <f>'Allowed revenue -DPCR4'!E12</f>
        <v>9.9</v>
      </c>
      <c r="Q18" s="2">
        <f>'Allowed revenue -DPCR4'!F12</f>
        <v>10.199999999999999</v>
      </c>
      <c r="R18" s="2">
        <f>'Allowed revenue -DPCR4'!G12</f>
        <v>10.4</v>
      </c>
      <c r="S18" s="2">
        <f>'Allowed revenue -DPCR4'!H12</f>
        <v>10.5</v>
      </c>
    </row>
    <row r="19" spans="2:19">
      <c r="B19" s="2" t="s">
        <v>77</v>
      </c>
      <c r="D19" s="2">
        <f t="shared" ref="D19:E21" si="0">O19</f>
        <v>13.1</v>
      </c>
      <c r="E19" s="2">
        <f t="shared" si="0"/>
        <v>14.2</v>
      </c>
      <c r="G19" s="2">
        <f t="shared" ref="G19:I21" si="1">Q19</f>
        <v>15</v>
      </c>
      <c r="H19" s="2">
        <f t="shared" si="1"/>
        <v>15.9</v>
      </c>
      <c r="I19" s="2">
        <f t="shared" si="1"/>
        <v>16.7</v>
      </c>
      <c r="L19" s="2" t="s">
        <v>77</v>
      </c>
      <c r="O19" s="2">
        <f>'Allowed revenue -DPCR4'!D13</f>
        <v>13.1</v>
      </c>
      <c r="P19" s="2">
        <f>'Allowed revenue -DPCR4'!E13</f>
        <v>14.2</v>
      </c>
      <c r="Q19" s="2">
        <f>'Allowed revenue -DPCR4'!F13</f>
        <v>15</v>
      </c>
      <c r="R19" s="2">
        <f>'Allowed revenue -DPCR4'!G13</f>
        <v>15.9</v>
      </c>
      <c r="S19" s="2">
        <f>'Allowed revenue -DPCR4'!H13</f>
        <v>16.7</v>
      </c>
    </row>
    <row r="20" spans="2:19">
      <c r="B20" s="2" t="s">
        <v>938</v>
      </c>
      <c r="D20" s="2">
        <f t="shared" si="0"/>
        <v>-1.7</v>
      </c>
      <c r="E20" s="2">
        <f t="shared" si="0"/>
        <v>-1.1000000000000001</v>
      </c>
      <c r="G20" s="2">
        <f t="shared" si="1"/>
        <v>-0.9</v>
      </c>
      <c r="H20" s="2">
        <f t="shared" si="1"/>
        <v>-0.3</v>
      </c>
      <c r="I20" s="2">
        <f t="shared" si="1"/>
        <v>-0.1</v>
      </c>
      <c r="L20" s="2" t="s">
        <v>939</v>
      </c>
      <c r="O20" s="2">
        <f>'Allowed revenue -DPCR4'!D14</f>
        <v>-1.7</v>
      </c>
      <c r="P20" s="2">
        <f>'Allowed revenue -DPCR4'!E14</f>
        <v>-1.1000000000000001</v>
      </c>
      <c r="Q20" s="2">
        <f>'Allowed revenue -DPCR4'!F14</f>
        <v>-0.9</v>
      </c>
      <c r="R20" s="2">
        <f>'Allowed revenue -DPCR4'!G14</f>
        <v>-0.3</v>
      </c>
      <c r="S20" s="2">
        <f>'Allowed revenue -DPCR4'!H14</f>
        <v>-0.1</v>
      </c>
    </row>
    <row r="21" spans="2:19">
      <c r="B21" s="2" t="s">
        <v>940</v>
      </c>
      <c r="D21" s="2">
        <f t="shared" si="0"/>
        <v>1.2</v>
      </c>
      <c r="E21" s="2">
        <f t="shared" si="0"/>
        <v>1.2</v>
      </c>
      <c r="G21" s="2">
        <f t="shared" si="1"/>
        <v>1.2</v>
      </c>
      <c r="H21" s="2">
        <f t="shared" si="1"/>
        <v>1.2</v>
      </c>
      <c r="I21" s="2">
        <f t="shared" si="1"/>
        <v>1.1000000000000001</v>
      </c>
      <c r="L21" s="2" t="s">
        <v>941</v>
      </c>
      <c r="O21" s="2">
        <f>'Allowed revenue -DPCR4'!D15</f>
        <v>1.2</v>
      </c>
      <c r="P21" s="2">
        <f>'Allowed revenue -DPCR4'!E15</f>
        <v>1.2</v>
      </c>
      <c r="Q21" s="2">
        <f>'Allowed revenue -DPCR4'!F15</f>
        <v>1.2</v>
      </c>
      <c r="R21" s="2">
        <f>'Allowed revenue -DPCR4'!G15</f>
        <v>1.2</v>
      </c>
      <c r="S21" s="2">
        <f>'Allowed revenue -DPCR4'!H15</f>
        <v>1.1000000000000001</v>
      </c>
    </row>
    <row r="22" spans="2:19">
      <c r="B22" s="2" t="s">
        <v>942</v>
      </c>
      <c r="D22" s="2">
        <f>D10-D15-D18-D19-D20-D21</f>
        <v>32.67458227880612</v>
      </c>
      <c r="E22" s="2">
        <f>E10-E15-E18-E19-E20-E21</f>
        <v>29.746041848430593</v>
      </c>
      <c r="G22" s="2">
        <f>G10-G15-G18-G19-G20-G21</f>
        <v>27.448301418055085</v>
      </c>
      <c r="H22" s="2">
        <f>H10-H15-H18-H19-H20-H21</f>
        <v>25.611451823121946</v>
      </c>
      <c r="I22" s="2">
        <f>I10-I15-I18-I19-I20-I21</f>
        <v>24.398311392746461</v>
      </c>
      <c r="L22" s="2" t="s">
        <v>943</v>
      </c>
      <c r="O22" s="2">
        <f>IF(ISNUMBER('Allowed revenue -DPCR4'!D16+'Allowed revenue -DPCR4'!D17),'Allowed revenue -DPCR4'!D16+'Allowed revenue -DPCR4'!D17,"")</f>
        <v>1.6</v>
      </c>
      <c r="P22" s="2">
        <f>IF(ISNUMBER('Allowed revenue -DPCR4'!E16+'Allowed revenue -DPCR4'!E17),'Allowed revenue -DPCR4'!E16+'Allowed revenue -DPCR4'!E17,"")</f>
        <v>1.6</v>
      </c>
      <c r="Q22" s="2">
        <f>IF(ISNUMBER('Allowed revenue -DPCR4'!F16+'Allowed revenue -DPCR4'!F17),'Allowed revenue -DPCR4'!F16+'Allowed revenue -DPCR4'!F17,"")</f>
        <v>1.6</v>
      </c>
      <c r="R22" s="2">
        <f>IF(ISNUMBER('Allowed revenue -DPCR4'!G16+'Allowed revenue -DPCR4'!G17),'Allowed revenue -DPCR4'!G16+'Allowed revenue -DPCR4'!G17,"")</f>
        <v>1.3</v>
      </c>
      <c r="S22" s="2">
        <f>IF(ISNUMBER('Allowed revenue -DPCR4'!H16+'Allowed revenue -DPCR4'!H17),'Allowed revenue -DPCR4'!H16+'Allowed revenue -DPCR4'!H17,"")</f>
        <v>1.3</v>
      </c>
    </row>
    <row r="23" spans="2:19">
      <c r="B23" s="2" t="s">
        <v>944</v>
      </c>
      <c r="D23" s="2">
        <f>SUM(D18:D22)</f>
        <v>90.974582278806125</v>
      </c>
      <c r="E23" s="2">
        <f>SUM(E18:E22)</f>
        <v>92.246041848430593</v>
      </c>
      <c r="G23" s="2">
        <f>SUM(G18:G22)</f>
        <v>93.348301418055073</v>
      </c>
      <c r="H23" s="2">
        <f>SUM(H18:H22)</f>
        <v>95.511451823121945</v>
      </c>
      <c r="I23" s="2">
        <f>SUM(I18:I22)</f>
        <v>97.698311392746461</v>
      </c>
      <c r="L23" s="2" t="s">
        <v>82</v>
      </c>
      <c r="O23" s="2">
        <f>'Allowed revenue -DPCR4'!D18</f>
        <v>0.9</v>
      </c>
      <c r="P23" s="2">
        <f>'Allowed revenue -DPCR4'!E18</f>
        <v>0</v>
      </c>
      <c r="Q23" s="2">
        <f>'Allowed revenue -DPCR4'!F18</f>
        <v>0</v>
      </c>
      <c r="R23" s="2">
        <f>'Allowed revenue -DPCR4'!G18</f>
        <v>0</v>
      </c>
      <c r="S23" s="2">
        <f>'Allowed revenue -DPCR4'!H18</f>
        <v>0</v>
      </c>
    </row>
    <row r="24" spans="2:19">
      <c r="B24" s="2" t="s">
        <v>945</v>
      </c>
      <c r="D24" s="2">
        <f>D23-D18</f>
        <v>45.274582278806122</v>
      </c>
      <c r="E24" s="2">
        <f>E23-E18</f>
        <v>44.04604184843059</v>
      </c>
      <c r="G24" s="2">
        <f>G23-G18</f>
        <v>42.748301418055071</v>
      </c>
      <c r="H24" s="2">
        <f>H23-H18</f>
        <v>42.411451823121944</v>
      </c>
      <c r="I24" s="2">
        <f>I23-I18</f>
        <v>42.09831139274646</v>
      </c>
      <c r="L24" s="2" t="s">
        <v>83</v>
      </c>
      <c r="O24" s="2">
        <f>'Allowed revenue -DPCR4'!D19</f>
        <v>112.2</v>
      </c>
      <c r="P24" s="2">
        <f>'Allowed revenue -DPCR4'!E19</f>
        <v>114.3</v>
      </c>
      <c r="Q24" s="2">
        <f>'Allowed revenue -DPCR4'!F19</f>
        <v>116</v>
      </c>
      <c r="R24" s="2">
        <f>'Allowed revenue -DPCR4'!G19</f>
        <v>116.9</v>
      </c>
      <c r="S24" s="2">
        <f>'Allowed revenue -DPCR4'!H19</f>
        <v>117.4</v>
      </c>
    </row>
    <row r="25" spans="2:19">
      <c r="L25" s="2" t="s">
        <v>946</v>
      </c>
      <c r="O25" s="2">
        <f>'Allowed revenue -DPCR4'!D20</f>
        <v>109.21292148782669</v>
      </c>
      <c r="P25" s="2">
        <f>'Allowed revenue -DPCR4'!E20</f>
        <v>105.41192249868327</v>
      </c>
      <c r="Q25" s="2">
        <f>'Allowed revenue -DPCR4'!F20</f>
        <v>101.35935275953834</v>
      </c>
      <c r="R25" s="2">
        <f>'Allowed revenue -DPCR4'!G20</f>
        <v>96.779346753468715</v>
      </c>
      <c r="S25" s="2">
        <f>'Allowed revenue -DPCR4'!H20</f>
        <v>92.087060022660708</v>
      </c>
    </row>
    <row r="26" spans="2:19">
      <c r="B26" s="2" t="s">
        <v>947</v>
      </c>
      <c r="L26" s="2" t="s">
        <v>85</v>
      </c>
      <c r="S26" s="2">
        <f>'Allowed revenue -DPCR4'!H21</f>
        <v>139.08951123722551</v>
      </c>
    </row>
    <row r="27" spans="2:19">
      <c r="L27" s="2" t="s">
        <v>948</v>
      </c>
      <c r="S27" s="2">
        <f>'Allowed revenue -DPCR4'!H22</f>
        <v>643.94011475940329</v>
      </c>
    </row>
    <row r="28" spans="2:19">
      <c r="B28" s="2" t="s">
        <v>890</v>
      </c>
      <c r="D28" s="2">
        <f>D15</f>
        <v>49.730000000000004</v>
      </c>
      <c r="E28" s="2">
        <f>E15</f>
        <v>50.287700000000001</v>
      </c>
      <c r="G28" s="2">
        <f>G15</f>
        <v>51.014600000000002</v>
      </c>
      <c r="H28" s="2">
        <f>H15</f>
        <v>50.3992</v>
      </c>
      <c r="I28" s="2">
        <f>I15</f>
        <v>50.041499999999992</v>
      </c>
    </row>
    <row r="29" spans="2:19">
      <c r="B29" s="2" t="s">
        <v>69</v>
      </c>
      <c r="D29" s="2">
        <f>D18</f>
        <v>45.7</v>
      </c>
      <c r="E29" s="2">
        <f>E18</f>
        <v>48.2</v>
      </c>
      <c r="G29" s="2">
        <f>G18</f>
        <v>50.6</v>
      </c>
      <c r="H29" s="2">
        <f>H18</f>
        <v>53.1</v>
      </c>
      <c r="I29" s="2">
        <f>I18</f>
        <v>55.6</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32.67458227880612</v>
      </c>
      <c r="E30" s="2">
        <f>E22</f>
        <v>29.746041848430593</v>
      </c>
      <c r="G30" s="2">
        <f>G22</f>
        <v>27.448301418055085</v>
      </c>
      <c r="H30" s="2">
        <f>H22</f>
        <v>25.611451823121946</v>
      </c>
      <c r="I30" s="2">
        <f>I22</f>
        <v>24.398311392746461</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1.0129999999999999</v>
      </c>
      <c r="Q33" s="2">
        <f>'Allowed revenue -DPCR4'!F24</f>
        <v>1.026</v>
      </c>
      <c r="R33" s="2">
        <f>'Allowed revenue -DPCR4'!G24</f>
        <v>1.0369999999999999</v>
      </c>
      <c r="S33" s="2">
        <f>'Allowed revenue -DPCR4'!H24</f>
        <v>1.05</v>
      </c>
    </row>
    <row r="34" spans="1:19">
      <c r="L34" s="2" t="s">
        <v>89</v>
      </c>
      <c r="O34" s="2">
        <f>O33*O31</f>
        <v>0.97337719686120061</v>
      </c>
      <c r="P34" s="2">
        <f>P33*P31</f>
        <v>0.93422814952901245</v>
      </c>
      <c r="Q34" s="2">
        <f>Q33*Q31</f>
        <v>0.89650599940764086</v>
      </c>
      <c r="R34" s="2">
        <f>R33*R31</f>
        <v>0.85851311020827237</v>
      </c>
      <c r="S34" s="2">
        <f>S33*S31</f>
        <v>0.82360658452975932</v>
      </c>
    </row>
    <row r="35" spans="1:19">
      <c r="L35" s="2" t="s">
        <v>90</v>
      </c>
      <c r="O35" s="2">
        <f>($S$27-$N$41)/SUM($O$34:$U$34)*O33</f>
        <v>140.70458227880613</v>
      </c>
      <c r="P35" s="2">
        <f>($S$27-$N$41)/SUM($O$34:$U$34)*P33</f>
        <v>142.53374184843059</v>
      </c>
      <c r="Q35" s="2">
        <f>($S$27-$N$41)/SUM($O$34:$U$34)*Q33</f>
        <v>144.36290141805509</v>
      </c>
      <c r="R35" s="2">
        <f>($S$27-$N$41)/SUM($O$34:$U$34)*R33</f>
        <v>145.91065182312195</v>
      </c>
      <c r="S35" s="2">
        <f>($S$27-$N$41)/SUM($O$34:$U$34)*S33</f>
        <v>147.73981139274645</v>
      </c>
    </row>
    <row r="36" spans="1:19">
      <c r="L36" s="2" t="s">
        <v>949</v>
      </c>
      <c r="O36" s="2">
        <f>'Allowed revenue -DPCR4'!D27</f>
        <v>2.9</v>
      </c>
      <c r="P36" s="2">
        <f>'Allowed revenue -DPCR4'!E27</f>
        <v>2.9</v>
      </c>
      <c r="Q36" s="2">
        <f>'Allowed revenue -DPCR4'!F27</f>
        <v>2.9</v>
      </c>
      <c r="R36" s="2">
        <f>'Allowed revenue -DPCR4'!G27</f>
        <v>2.9</v>
      </c>
      <c r="S36" s="2">
        <f>'Allowed revenue -DPCR4'!H27</f>
        <v>2.9</v>
      </c>
    </row>
    <row r="37" spans="1:19">
      <c r="L37" s="2" t="s">
        <v>92</v>
      </c>
      <c r="O37" s="2">
        <f>O36+O35</f>
        <v>143.60458227880613</v>
      </c>
      <c r="P37" s="2">
        <f>P36+P35</f>
        <v>145.4337418484306</v>
      </c>
      <c r="Q37" s="2">
        <f>Q36+Q35</f>
        <v>147.26290141805509</v>
      </c>
      <c r="R37" s="2">
        <f>R36+R35</f>
        <v>148.81065182312196</v>
      </c>
      <c r="S37" s="2">
        <f>S36+S35</f>
        <v>150.63981139274645</v>
      </c>
    </row>
    <row r="38" spans="1:19">
      <c r="L38" s="2" t="s">
        <v>950</v>
      </c>
      <c r="O38" s="2">
        <f>O37*O31</f>
        <v>139.78142575496796</v>
      </c>
      <c r="P38" s="2">
        <f>P37*P31</f>
        <v>134.12467475433311</v>
      </c>
      <c r="Q38" s="2">
        <f>Q37*Q31</f>
        <v>128.67648597608419</v>
      </c>
      <c r="R38" s="2">
        <f>R37*R31</f>
        <v>123.19758488793515</v>
      </c>
      <c r="S38" s="2">
        <f>S37*S31</f>
        <v>118.15994338608289</v>
      </c>
    </row>
    <row r="39" spans="1:19">
      <c r="L39" s="2" t="s">
        <v>948</v>
      </c>
      <c r="S39" s="2">
        <f>SUM(O38:S38)</f>
        <v>643.94011475940329</v>
      </c>
    </row>
    <row r="41" spans="1:19">
      <c r="L41" s="2" t="s">
        <v>951</v>
      </c>
      <c r="N41" s="2">
        <f>SUM(O41:S41)</f>
        <v>12.706850194587702</v>
      </c>
      <c r="O41" s="2">
        <f>O36*O31</f>
        <v>2.8227938708974816</v>
      </c>
      <c r="P41" s="2">
        <f>P36*P31</f>
        <v>2.6744932217513688</v>
      </c>
      <c r="Q41" s="2">
        <f>Q36*Q31</f>
        <v>2.5339838189884585</v>
      </c>
      <c r="R41" s="2">
        <f>R36*R31</f>
        <v>2.4008563352015333</v>
      </c>
      <c r="S41" s="2">
        <f>S36*S31</f>
        <v>2.2747229477488591</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216.57868876116021</v>
      </c>
      <c r="D47" s="2" t="s">
        <v>910</v>
      </c>
      <c r="E47" s="2">
        <f>VLOOKUP($D47,'Calc-Drivers'!$B$17:$G$27,E$53,FALSE)</f>
        <v>0.33335811336075438</v>
      </c>
      <c r="G47" s="2">
        <f>VLOOKUP($D47,'Calc-Drivers'!$B$17:$G$27,G$53,FALSE)</f>
        <v>0.37502244942212282</v>
      </c>
      <c r="H47" s="2">
        <f>VLOOKUP($D47,'Calc-Drivers'!$B$17:$G$27,H$53,FALSE)</f>
        <v>9.2956140106396648E-2</v>
      </c>
      <c r="I47" s="2">
        <f>VLOOKUP($D47,'Calc-Drivers'!$B$17:$G$27,I$53,FALSE)</f>
        <v>0.11706239970030234</v>
      </c>
      <c r="J47" s="2">
        <f>VLOOKUP($D47,'Calc-Drivers'!$B$17:$G$27,J$53,FALSE)</f>
        <v>8.1600897410423812E-2</v>
      </c>
      <c r="K47" s="2">
        <f>$C47*E47</f>
        <v>72.198263079566388</v>
      </c>
      <c r="L47" s="2">
        <f t="shared" ref="L47:N49" si="2">$C47*G47</f>
        <v>81.221870351841886</v>
      </c>
      <c r="M47" s="2">
        <f t="shared" si="2"/>
        <v>20.132318936542081</v>
      </c>
      <c r="N47" s="2">
        <f t="shared" si="2"/>
        <v>25.353221030326313</v>
      </c>
      <c r="O47" s="2">
        <f>$C47 * J47</f>
        <v>17.673015362883543</v>
      </c>
    </row>
    <row r="48" spans="1:19">
      <c r="B48" s="2" t="s">
        <v>69</v>
      </c>
      <c r="C48" s="2">
        <f>SUM(D18:I18)</f>
        <v>253.2</v>
      </c>
      <c r="D48" s="2" t="s">
        <v>910</v>
      </c>
      <c r="E48" s="2">
        <f>VLOOKUP($D48,'Calc-Drivers'!$B$17:$G$27,E$53,FALSE)</f>
        <v>0.33335811336075438</v>
      </c>
      <c r="G48" s="2">
        <f>VLOOKUP($D48,'Calc-Drivers'!$B$17:$G$27,G$53,FALSE)</f>
        <v>0.37502244942212282</v>
      </c>
      <c r="H48" s="2">
        <f>VLOOKUP($D48,'Calc-Drivers'!$B$17:$G$27,H$53,FALSE)</f>
        <v>9.2956140106396648E-2</v>
      </c>
      <c r="I48" s="2">
        <f>VLOOKUP($D48,'Calc-Drivers'!$B$17:$G$27,I$53,FALSE)</f>
        <v>0.11706239970030234</v>
      </c>
      <c r="J48" s="2">
        <f>VLOOKUP($D48,'Calc-Drivers'!$B$17:$G$27,J$53,FALSE)</f>
        <v>8.1600897410423812E-2</v>
      </c>
      <c r="K48" s="2">
        <f>$C48*E48</f>
        <v>84.406274302943004</v>
      </c>
      <c r="L48" s="2">
        <f t="shared" si="2"/>
        <v>94.955684193681492</v>
      </c>
      <c r="M48" s="2">
        <f t="shared" si="2"/>
        <v>23.536494674939629</v>
      </c>
      <c r="N48" s="2">
        <f t="shared" si="2"/>
        <v>29.640199604116553</v>
      </c>
      <c r="O48" s="2">
        <f>$C48 * J48</f>
        <v>20.661347224319307</v>
      </c>
    </row>
    <row r="49" spans="1:18">
      <c r="B49" s="2" t="s">
        <v>957</v>
      </c>
      <c r="C49" s="2">
        <f>SUM(D15:I15)</f>
        <v>251.47300000000001</v>
      </c>
      <c r="D49" s="2" t="s">
        <v>958</v>
      </c>
      <c r="E49" s="2">
        <f>'Calc-Opex'!AQ42</f>
        <v>0.19545410144635553</v>
      </c>
      <c r="G49" s="2">
        <f>'Calc-Opex'!AR42</f>
        <v>0.29537163521147758</v>
      </c>
      <c r="H49" s="2">
        <f>'Calc-Opex'!AS42</f>
        <v>8.5049340707093662E-2</v>
      </c>
      <c r="I49" s="2">
        <f>'Calc-Opex'!AT42</f>
        <v>0.26674170989706658</v>
      </c>
      <c r="J49" s="2">
        <f>'Calc-Opex'!AU42</f>
        <v>0.15738321273800665</v>
      </c>
      <c r="K49" s="2">
        <f>$C49*E49</f>
        <v>49.151429253019366</v>
      </c>
      <c r="L49" s="2">
        <f t="shared" si="2"/>
        <v>74.277991221535899</v>
      </c>
      <c r="M49" s="2">
        <f t="shared" si="2"/>
        <v>21.387612855634966</v>
      </c>
      <c r="N49" s="2">
        <f>$C49*I49</f>
        <v>67.078338012945025</v>
      </c>
      <c r="O49" s="2">
        <f>$C49 * J49</f>
        <v>39.577628656864746</v>
      </c>
    </row>
    <row r="51" spans="1:18">
      <c r="B51" s="2" t="s">
        <v>220</v>
      </c>
      <c r="C51" s="2">
        <f>SUM(C47:C49)</f>
        <v>721.25168876116027</v>
      </c>
      <c r="K51" s="2">
        <f>SUM(K47:K50)</f>
        <v>205.75596663552875</v>
      </c>
      <c r="L51" s="2">
        <f>SUM(L47:L50)</f>
        <v>250.45554576705928</v>
      </c>
      <c r="M51" s="2">
        <f>SUM(M47:M50)</f>
        <v>65.05642646711668</v>
      </c>
      <c r="N51" s="2">
        <f>SUM(N47:N50)</f>
        <v>122.0717586473879</v>
      </c>
      <c r="O51" s="2">
        <f>SUM($O$47:$O$50)</f>
        <v>77.911991244067593</v>
      </c>
    </row>
    <row r="52" spans="1:18">
      <c r="K52" s="2">
        <f>K51/SUM($K$51:$O$51)</f>
        <v>0.28527623552457848</v>
      </c>
      <c r="L52" s="2">
        <f>L51/SUM($K$51:$O$51)</f>
        <v>0.347251243456009</v>
      </c>
      <c r="M52" s="2">
        <f>M51/SUM($K$51:$O$51)</f>
        <v>9.0199340231506706E-2</v>
      </c>
      <c r="N52" s="2">
        <f>N51/SUM($K$51:$O$51)</f>
        <v>0.16924987566692754</v>
      </c>
      <c r="O52" s="2">
        <f>O51/SUM($K$50:$O$51)</f>
        <v>0.10802330512097816</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164.61900800000001</v>
      </c>
      <c r="G61" s="2">
        <f>F61/$F$66</f>
        <v>0.94427803641023134</v>
      </c>
      <c r="P61" s="2" t="s">
        <v>223</v>
      </c>
      <c r="Q61" s="2" t="s">
        <v>964</v>
      </c>
      <c r="R61" s="2" t="s">
        <v>965</v>
      </c>
    </row>
    <row r="62" spans="1:18">
      <c r="B62" s="2" t="s">
        <v>966</v>
      </c>
      <c r="F62" s="2">
        <f>'Summary of revenue'!J12</f>
        <v>-0.91199699999999995</v>
      </c>
      <c r="G62" s="2">
        <f>F62/$F$66</f>
        <v>-5.2313444652273789E-3</v>
      </c>
    </row>
    <row r="63" spans="1:18">
      <c r="B63" s="2" t="s">
        <v>967</v>
      </c>
      <c r="F63" s="2">
        <f>'Summary of revenue'!J13</f>
        <v>2.5028890000000001</v>
      </c>
      <c r="G63" s="2">
        <f>F63/$F$66</f>
        <v>1.435692717983556E-2</v>
      </c>
      <c r="M63" s="2" t="s">
        <v>968</v>
      </c>
      <c r="P63" s="2">
        <f>F66</f>
        <v>174.33319600000002</v>
      </c>
      <c r="Q63" s="2">
        <f>'Calc-Allocation'!G68</f>
        <v>6.800000433437333</v>
      </c>
      <c r="R63" s="2">
        <f>P63-Q63</f>
        <v>167.53319556656268</v>
      </c>
    </row>
    <row r="64" spans="1:18">
      <c r="B64" s="2" t="s">
        <v>969</v>
      </c>
      <c r="F64" s="2">
        <f>'Summary of revenue'!J21</f>
        <v>2.533296</v>
      </c>
      <c r="G64" s="2">
        <f>F64/$F$66</f>
        <v>1.4531346055285993E-2</v>
      </c>
    </row>
    <row r="65" spans="2:19">
      <c r="B65" s="2" t="s">
        <v>970</v>
      </c>
      <c r="F65" s="2">
        <f>'Summary of revenue'!J46+'Summary of revenue'!J47</f>
        <v>5.59</v>
      </c>
      <c r="G65" s="2">
        <f>F65/$F$66</f>
        <v>3.2065034819874459E-2</v>
      </c>
      <c r="M65" s="2" t="s">
        <v>971</v>
      </c>
      <c r="P65" s="2">
        <f>-F63</f>
        <v>-2.5028890000000001</v>
      </c>
      <c r="Q65" s="2">
        <f>Q$63*P65/P$63</f>
        <v>-9.7627111045710049E-2</v>
      </c>
      <c r="R65" s="2">
        <f>P65-Q65</f>
        <v>-2.4052618889542901</v>
      </c>
    </row>
    <row r="66" spans="2:19">
      <c r="B66" s="2" t="s">
        <v>220</v>
      </c>
      <c r="F66" s="2">
        <f>SUM(F61:F65)</f>
        <v>174.33319600000002</v>
      </c>
      <c r="G66" s="2">
        <f>SUM(G61:G65)</f>
        <v>1</v>
      </c>
      <c r="M66" s="2" t="s">
        <v>1013</v>
      </c>
      <c r="P66" s="2">
        <f>-'Calc-Opex'!I37</f>
        <v>-4.2</v>
      </c>
      <c r="Q66" s="2">
        <f>Q$63*P66/P$63</f>
        <v>-0.16382423127513132</v>
      </c>
      <c r="R66" s="2">
        <f>P66-Q66</f>
        <v>-4.0361757687248687</v>
      </c>
    </row>
    <row r="68" spans="2:19" ht="18">
      <c r="B68" s="2" t="s">
        <v>998</v>
      </c>
      <c r="G68" s="2">
        <f>(('Summary of revenue'!J11+'Summary of revenue'!J63)/'Summary of revenue'!J62)-'Summary of revenue'!J61</f>
        <v>6.800000433437333</v>
      </c>
      <c r="M68" s="2" t="s">
        <v>972</v>
      </c>
      <c r="P68" s="2">
        <f>-SUM(P65:P67)</f>
        <v>6.7028890000000008</v>
      </c>
      <c r="Q68" s="2">
        <f>-SUM(Q65:Q67)</f>
        <v>0.26145134232084138</v>
      </c>
      <c r="R68" s="2">
        <f>P68-Q68</f>
        <v>6.4414376576791597</v>
      </c>
    </row>
    <row r="69" spans="2:19">
      <c r="M69" s="2" t="s">
        <v>973</v>
      </c>
      <c r="P69" s="2">
        <f>SUM(P63:P67)</f>
        <v>167.63030700000002</v>
      </c>
      <c r="Q69" s="2">
        <f>SUM(Q63:Q67)</f>
        <v>6.5385490911164919</v>
      </c>
      <c r="R69" s="2">
        <f>P69-Q69</f>
        <v>161.09175790888352</v>
      </c>
    </row>
    <row r="70" spans="2:19">
      <c r="B70" s="2" t="s">
        <v>1018</v>
      </c>
      <c r="G70" s="2">
        <f>(SUM('FBPQ LR1'!D13:M13)-MIN(0,'Calc-Net capex'!C19)-MIN(0,'Calc-Net capex'!C20)-MIN(0,'Calc-Net capex'!C21+'Calc-Net capex'!C22))/10</f>
        <v>4.3499999999999996</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171.88319556656268</v>
      </c>
      <c r="F75" s="2">
        <f>$R$69*K52+$G70*E49</f>
        <v>46.805875611574685</v>
      </c>
      <c r="G75" s="2">
        <f>$R$69*L52+$G70*G49</f>
        <v>57.224179857544101</v>
      </c>
      <c r="H75" s="2">
        <f>$R$69*M52+$G70*H49</f>
        <v>14.900334912190754</v>
      </c>
      <c r="I75" s="2">
        <f>$R$69*(N52+O52)+$G70*(I49+J49)</f>
        <v>46.511367527573967</v>
      </c>
      <c r="J75" s="2">
        <f>R68</f>
        <v>6.4414376576791597</v>
      </c>
      <c r="L75" s="2">
        <f>F75*100000000/'Calc-Units'!E23</f>
        <v>0.37696018707671253</v>
      </c>
      <c r="M75" s="2">
        <f>G75*100000000/'Calc-Units'!D23</f>
        <v>0.59525318027166296</v>
      </c>
      <c r="N75" s="2">
        <f>H75*100000000/'Calc-Units'!C23</f>
        <v>0.20648438584300868</v>
      </c>
      <c r="O75" s="2">
        <f>I75*100000000/'Calc-Units'!C23</f>
        <v>0.64454062376759946</v>
      </c>
      <c r="P75" s="2">
        <f>J75*100000000/'Calc-Units'!E23</f>
        <v>5.1877366094637327E-2</v>
      </c>
    </row>
    <row r="77" spans="2:19">
      <c r="B77" s="2" t="s">
        <v>979</v>
      </c>
      <c r="L77" s="2">
        <f>L75</f>
        <v>0.37696018707671253</v>
      </c>
      <c r="M77" s="2">
        <f>M75</f>
        <v>0.59525318027166296</v>
      </c>
      <c r="N77" s="2">
        <f>N75</f>
        <v>0.20648438584300868</v>
      </c>
      <c r="O77" s="2">
        <f>O75</f>
        <v>0.64454062376759946</v>
      </c>
      <c r="P77" s="2">
        <f>P75</f>
        <v>5.1877366094637327E-2</v>
      </c>
      <c r="R77" s="2">
        <f>SUM(L77:P77)</f>
        <v>1.8751157430536209</v>
      </c>
    </row>
    <row r="78" spans="2:19">
      <c r="B78" s="2" t="s">
        <v>980</v>
      </c>
    </row>
    <row r="79" spans="2:19">
      <c r="B79" s="2" t="s">
        <v>981</v>
      </c>
    </row>
    <row r="81" spans="2:19">
      <c r="B81" s="2" t="s">
        <v>979</v>
      </c>
      <c r="L81" s="2">
        <f>L77/$R77</f>
        <v>0.20103302341370879</v>
      </c>
      <c r="M81" s="2">
        <f>M77/$R77</f>
        <v>0.31744876681707912</v>
      </c>
      <c r="N81" s="2">
        <f>N77/$R77</f>
        <v>0.11011820822684226</v>
      </c>
      <c r="O81" s="2">
        <f>$O77/$R77*$N52/($N52+$O52)</f>
        <v>0.20981798345918015</v>
      </c>
      <c r="P81" s="2">
        <f>P77/$R77</f>
        <v>2.7666220758274459E-2</v>
      </c>
      <c r="R81" s="2">
        <f>SUM(L81:P81) + S81</f>
        <v>0.99999999999999989</v>
      </c>
      <c r="S81" s="2">
        <f>$O77/$R77*$O52/($N52+$O52)</f>
        <v>0.13391579732491521</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WPD South Wales in 2016/17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0.15738321273800665</v>
      </c>
      <c r="C5" s="2">
        <f>'Calc-Allocation'!I49</f>
        <v>0.26674170989706658</v>
      </c>
      <c r="D5" s="2">
        <f>'Calc-Allocation'!H49</f>
        <v>8.5049340707093662E-2</v>
      </c>
      <c r="E5" s="2">
        <f>'Calc-Allocation'!G49</f>
        <v>0.29537163521147758</v>
      </c>
      <c r="F5" s="2">
        <f>'Calc-Allocation'!E49</f>
        <v>0.19545410144635553</v>
      </c>
      <c r="G5" s="2" t="s">
        <v>985</v>
      </c>
    </row>
    <row r="6" spans="1:7" ht="14.1" customHeight="1">
      <c r="A6" s="2" t="s">
        <v>69</v>
      </c>
      <c r="B6" s="2">
        <f>'Calc-Allocation'!J47</f>
        <v>8.1600897410423812E-2</v>
      </c>
      <c r="C6" s="2">
        <f>'Calc-Allocation'!I48</f>
        <v>0.11706239970030234</v>
      </c>
      <c r="D6" s="2">
        <f>'Calc-Allocation'!H48</f>
        <v>9.2956140106396648E-2</v>
      </c>
      <c r="E6" s="2">
        <f>'Calc-Allocation'!G48</f>
        <v>0.37502244942212282</v>
      </c>
      <c r="F6" s="2">
        <f>'Calc-Allocation'!E48</f>
        <v>0.33335811336075438</v>
      </c>
      <c r="G6" s="2" t="s">
        <v>985</v>
      </c>
    </row>
    <row r="7" spans="1:7" ht="14.1" customHeight="1">
      <c r="A7" s="2" t="s">
        <v>942</v>
      </c>
      <c r="B7" s="2">
        <f>'Calc-Allocation'!J48</f>
        <v>8.1600897410423812E-2</v>
      </c>
      <c r="C7" s="2">
        <f>'Calc-Allocation'!I47</f>
        <v>0.11706239970030234</v>
      </c>
      <c r="D7" s="2">
        <f>'Calc-Allocation'!H47</f>
        <v>9.2956140106396648E-2</v>
      </c>
      <c r="E7" s="2">
        <f>'Calc-Allocation'!G47</f>
        <v>0.37502244942212282</v>
      </c>
      <c r="F7" s="2">
        <f>'Calc-Allocation'!E47</f>
        <v>0.33335811336075438</v>
      </c>
      <c r="G7" s="2" t="s">
        <v>985</v>
      </c>
    </row>
    <row r="8" spans="1:7" ht="14.1" customHeight="1">
      <c r="A8" s="2" t="s">
        <v>986</v>
      </c>
      <c r="B8" s="2">
        <f>'Calc-Allocation'!O52</f>
        <v>0.10802330512097816</v>
      </c>
      <c r="C8" s="2">
        <f>'Calc-Allocation'!N52</f>
        <v>0.16924987566692754</v>
      </c>
      <c r="D8" s="2">
        <f>'Calc-Allocation'!M52</f>
        <v>9.0199340231506706E-2</v>
      </c>
      <c r="E8" s="2">
        <f>'Calc-Allocation'!L52</f>
        <v>0.347251243456009</v>
      </c>
      <c r="F8" s="2">
        <f>'Calc-Allocation'!K52</f>
        <v>0.28527623552457848</v>
      </c>
      <c r="G8" s="2" t="s">
        <v>985</v>
      </c>
    </row>
    <row r="9" spans="1:7" ht="14.1" customHeight="1">
      <c r="A9" s="2" t="s">
        <v>987</v>
      </c>
      <c r="B9" s="2">
        <f>'Calc-Allocation'!S81</f>
        <v>0.13391579732491521</v>
      </c>
      <c r="C9" s="2">
        <f>'Calc-Allocation'!O81</f>
        <v>0.20981798345918015</v>
      </c>
      <c r="D9" s="2">
        <f>'Calc-Allocation'!N81</f>
        <v>0.11011820822684226</v>
      </c>
      <c r="E9" s="2">
        <f>'Calc-Allocation'!M81</f>
        <v>0.31744876681707912</v>
      </c>
      <c r="F9" s="2">
        <f>'Calc-Allocation'!L81</f>
        <v>0.20103302341370879</v>
      </c>
      <c r="G9" s="2">
        <f>'Calc-Allocation'!P81</f>
        <v>2.7666220758274459E-2</v>
      </c>
    </row>
    <row r="10" spans="1:7" ht="14.1" customHeight="1">
      <c r="A10" s="2" t="s">
        <v>988</v>
      </c>
      <c r="B10" s="2">
        <f>'Calc-Opex'!AD49</f>
        <v>0.50452645668749452</v>
      </c>
      <c r="C10" s="2">
        <f>'Calc-Opex'!AC49</f>
        <v>0.50452645668749463</v>
      </c>
      <c r="D10" s="2">
        <f>'Calc-Opex'!AB49</f>
        <v>0.74039306125208948</v>
      </c>
      <c r="E10" s="2">
        <f>'Calc-Opex'!AA49</f>
        <v>0.7068963577251447</v>
      </c>
      <c r="F10" s="2">
        <f>'Calc-Opex'!Z49</f>
        <v>0.72361064125466124</v>
      </c>
      <c r="G10" s="2" t="s">
        <v>985</v>
      </c>
    </row>
    <row r="12" spans="1:7" ht="14.1" customHeight="1">
      <c r="B12" s="2" t="s">
        <v>991</v>
      </c>
      <c r="C12" s="2" t="s">
        <v>992</v>
      </c>
      <c r="D12" s="2" t="s">
        <v>993</v>
      </c>
      <c r="E12" s="2" t="s">
        <v>994</v>
      </c>
    </row>
    <row r="13" spans="1:7" ht="14.1" customHeight="1">
      <c r="A13" s="2" t="s">
        <v>995</v>
      </c>
      <c r="B13" s="2">
        <f>C9*(1-C10*Inputs!B12)+B9</f>
        <v>0.32012728538918878</v>
      </c>
      <c r="C13" s="2">
        <f>C9 +D9+(E9*(1-Inputs!B13*E10))+B9</f>
        <v>0.63890276338189089</v>
      </c>
      <c r="D13" s="2">
        <f>(D9 + E9  *(1-Inputs!B13* E10))/(1-C9-B9)</f>
        <v>0.44977019074737423</v>
      </c>
      <c r="E13" s="2">
        <f>E9*(1-Inputs!B13*E10)/(1-B9-C9-D9)</f>
        <v>0.33882898160853914</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WPD South Wales in 2016/17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0.32012728538918878</v>
      </c>
      <c r="D6" s="42">
        <f>'Calc-Summary'!C13</f>
        <v>0.63890276338189089</v>
      </c>
      <c r="E6" s="42">
        <f>'Calc-Summary'!D13</f>
        <v>0.44977019074737423</v>
      </c>
      <c r="F6" s="42">
        <f>'Calc-Summary'!E13</f>
        <v>0.33882898160853914</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C3" sqref="C3: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D3" s="2">
        <v>573.6</v>
      </c>
      <c r="E3" s="2">
        <v>577.79999999999995</v>
      </c>
      <c r="F3" s="2">
        <v>579.29999999999995</v>
      </c>
      <c r="G3" s="2">
        <v>578.4</v>
      </c>
      <c r="H3" s="2">
        <v>575</v>
      </c>
      <c r="I3" s="2" t="s">
        <v>67</v>
      </c>
    </row>
    <row r="4" spans="1:9">
      <c r="A4" s="2">
        <v>2</v>
      </c>
      <c r="B4" s="2" t="s">
        <v>68</v>
      </c>
      <c r="D4" s="2">
        <v>49.9</v>
      </c>
      <c r="E4" s="2">
        <v>49.7</v>
      </c>
      <c r="F4" s="2">
        <v>49.7</v>
      </c>
      <c r="G4" s="2">
        <v>49.7</v>
      </c>
      <c r="H4" s="2">
        <v>49.7</v>
      </c>
      <c r="I4" s="2" t="s">
        <v>67</v>
      </c>
    </row>
    <row r="5" spans="1:9">
      <c r="A5" s="2">
        <v>3</v>
      </c>
      <c r="B5" s="2" t="s">
        <v>69</v>
      </c>
      <c r="D5" s="2">
        <v>-45.7</v>
      </c>
      <c r="E5" s="2">
        <v>-48.2</v>
      </c>
      <c r="F5" s="2">
        <v>-50.6</v>
      </c>
      <c r="G5" s="2">
        <v>-53.1</v>
      </c>
      <c r="H5" s="2">
        <v>-55.6</v>
      </c>
      <c r="I5" s="2" t="s">
        <v>67</v>
      </c>
    </row>
    <row r="6" spans="1:9">
      <c r="A6" s="2">
        <v>4</v>
      </c>
      <c r="B6" s="2" t="s">
        <v>70</v>
      </c>
      <c r="D6" s="2">
        <v>577.79999999999995</v>
      </c>
      <c r="E6" s="2">
        <v>579.29999999999995</v>
      </c>
      <c r="F6" s="2">
        <v>578.4</v>
      </c>
      <c r="G6" s="2">
        <v>575</v>
      </c>
      <c r="H6" s="2">
        <v>569.1</v>
      </c>
      <c r="I6" s="2" t="s">
        <v>67</v>
      </c>
    </row>
    <row r="7" spans="1:9">
      <c r="A7" s="2">
        <v>5</v>
      </c>
      <c r="B7" s="2" t="s">
        <v>71</v>
      </c>
      <c r="F7" s="2" t="s">
        <v>67</v>
      </c>
      <c r="H7" s="2">
        <v>434.51048876277451</v>
      </c>
    </row>
    <row r="8" spans="1:9">
      <c r="A8" s="2">
        <v>6</v>
      </c>
      <c r="B8" s="2" t="s">
        <v>72</v>
      </c>
      <c r="E8" s="2" t="s">
        <v>67</v>
      </c>
      <c r="H8" s="2">
        <v>139.08951123722551</v>
      </c>
    </row>
    <row r="9" spans="1:9">
      <c r="A9" s="2" t="s">
        <v>73</v>
      </c>
    </row>
    <row r="10" spans="1:9">
      <c r="A10" s="2">
        <v>7</v>
      </c>
      <c r="B10" s="2" t="s">
        <v>74</v>
      </c>
      <c r="D10" s="2">
        <v>43</v>
      </c>
      <c r="E10" s="2">
        <v>44.5</v>
      </c>
      <c r="F10" s="2">
        <v>45.1</v>
      </c>
      <c r="G10" s="2">
        <v>44.7</v>
      </c>
      <c r="H10" s="2">
        <v>44.3</v>
      </c>
      <c r="I10" s="2" t="s">
        <v>67</v>
      </c>
    </row>
    <row r="11" spans="1:9">
      <c r="A11" s="2">
        <v>8</v>
      </c>
      <c r="B11" s="2" t="s">
        <v>75</v>
      </c>
      <c r="D11" s="2">
        <v>44.1</v>
      </c>
      <c r="E11" s="2">
        <v>44</v>
      </c>
      <c r="F11" s="2">
        <v>43.8</v>
      </c>
      <c r="G11" s="2">
        <v>43.7</v>
      </c>
      <c r="H11" s="2">
        <v>43.6</v>
      </c>
      <c r="I11" s="2" t="s">
        <v>67</v>
      </c>
    </row>
    <row r="12" spans="1:9">
      <c r="A12" s="2">
        <v>9</v>
      </c>
      <c r="B12" s="2" t="s">
        <v>76</v>
      </c>
      <c r="D12" s="2">
        <v>10</v>
      </c>
      <c r="E12" s="2">
        <v>9.9</v>
      </c>
      <c r="F12" s="2">
        <v>10.199999999999999</v>
      </c>
      <c r="G12" s="2">
        <v>10.4</v>
      </c>
      <c r="H12" s="2">
        <v>10.5</v>
      </c>
      <c r="I12" s="2" t="s">
        <v>67</v>
      </c>
    </row>
    <row r="13" spans="1:9">
      <c r="A13" s="2">
        <v>10</v>
      </c>
      <c r="B13" s="2" t="s">
        <v>77</v>
      </c>
      <c r="D13" s="2">
        <v>13.1</v>
      </c>
      <c r="E13" s="2">
        <v>14.2</v>
      </c>
      <c r="F13" s="2">
        <v>15</v>
      </c>
      <c r="G13" s="2">
        <v>15.9</v>
      </c>
      <c r="H13" s="2">
        <v>16.7</v>
      </c>
      <c r="I13" s="2" t="s">
        <v>67</v>
      </c>
    </row>
    <row r="14" spans="1:9">
      <c r="A14" s="2">
        <v>11</v>
      </c>
      <c r="B14" s="2" t="s">
        <v>78</v>
      </c>
      <c r="D14" s="2">
        <v>-1.7</v>
      </c>
      <c r="E14" s="2">
        <v>-1.1000000000000001</v>
      </c>
      <c r="F14" s="2">
        <v>-0.9</v>
      </c>
      <c r="G14" s="2">
        <v>-0.3</v>
      </c>
      <c r="H14" s="2">
        <v>-0.1</v>
      </c>
      <c r="I14" s="2" t="s">
        <v>67</v>
      </c>
    </row>
    <row r="15" spans="1:9">
      <c r="A15" s="2">
        <v>12</v>
      </c>
      <c r="B15" s="2" t="s">
        <v>79</v>
      </c>
      <c r="D15" s="2">
        <v>1.2</v>
      </c>
      <c r="E15" s="2">
        <v>1.2</v>
      </c>
      <c r="F15" s="2">
        <v>1.2</v>
      </c>
      <c r="G15" s="2">
        <v>1.2</v>
      </c>
      <c r="H15" s="2">
        <v>1.1000000000000001</v>
      </c>
      <c r="I15" s="2" t="s">
        <v>67</v>
      </c>
    </row>
    <row r="16" spans="1:9">
      <c r="A16" s="2">
        <v>13</v>
      </c>
      <c r="B16" s="2" t="s">
        <v>80</v>
      </c>
      <c r="I16" s="2" t="s">
        <v>67</v>
      </c>
    </row>
    <row r="17" spans="1:9">
      <c r="A17" s="2">
        <v>14</v>
      </c>
      <c r="B17" s="2" t="s">
        <v>81</v>
      </c>
      <c r="D17" s="2">
        <v>1.6</v>
      </c>
      <c r="E17" s="2">
        <v>1.6</v>
      </c>
      <c r="F17" s="2">
        <v>1.6</v>
      </c>
      <c r="G17" s="2">
        <v>1.3</v>
      </c>
      <c r="H17" s="2">
        <v>1.3</v>
      </c>
      <c r="I17" s="2" t="s">
        <v>67</v>
      </c>
    </row>
    <row r="18" spans="1:9">
      <c r="A18" s="2">
        <v>15</v>
      </c>
      <c r="B18" s="2" t="s">
        <v>82</v>
      </c>
      <c r="D18" s="2">
        <v>0.9</v>
      </c>
      <c r="I18" s="2" t="s">
        <v>67</v>
      </c>
    </row>
    <row r="19" spans="1:9">
      <c r="A19" s="2">
        <v>16</v>
      </c>
      <c r="B19" s="2" t="s">
        <v>83</v>
      </c>
      <c r="D19" s="2">
        <v>112.2</v>
      </c>
      <c r="E19" s="2">
        <v>114.3</v>
      </c>
      <c r="F19" s="2">
        <v>116</v>
      </c>
      <c r="G19" s="2">
        <v>116.9</v>
      </c>
      <c r="H19" s="2">
        <v>117.4</v>
      </c>
      <c r="I19" s="2" t="s">
        <v>67</v>
      </c>
    </row>
    <row r="20" spans="1:9">
      <c r="A20" s="2">
        <v>17</v>
      </c>
      <c r="B20" s="2" t="s">
        <v>84</v>
      </c>
      <c r="D20" s="2">
        <v>109.21292148782669</v>
      </c>
      <c r="E20" s="2">
        <v>105.41192249868327</v>
      </c>
      <c r="F20" s="2">
        <v>101.35935275953834</v>
      </c>
      <c r="G20" s="2">
        <v>96.779346753468715</v>
      </c>
      <c r="H20" s="2">
        <v>92.087060022660708</v>
      </c>
      <c r="I20" s="2" t="s">
        <v>67</v>
      </c>
    </row>
    <row r="21" spans="1:9">
      <c r="A21" s="2">
        <v>18</v>
      </c>
      <c r="B21" s="2" t="s">
        <v>85</v>
      </c>
      <c r="E21" s="2" t="s">
        <v>67</v>
      </c>
      <c r="H21" s="2">
        <v>139.08951123722551</v>
      </c>
    </row>
    <row r="22" spans="1:9">
      <c r="A22" s="2">
        <v>19</v>
      </c>
      <c r="B22" s="2" t="s">
        <v>86</v>
      </c>
      <c r="H22" s="2">
        <v>643.94011475940329</v>
      </c>
    </row>
    <row r="23" spans="1:9">
      <c r="A23" s="2" t="s">
        <v>87</v>
      </c>
    </row>
    <row r="24" spans="1:9">
      <c r="A24" s="2">
        <v>20</v>
      </c>
      <c r="B24" s="2" t="s">
        <v>88</v>
      </c>
      <c r="D24" s="2">
        <v>1</v>
      </c>
      <c r="E24" s="2">
        <v>1.0129999999999999</v>
      </c>
      <c r="F24" s="2">
        <v>1.026</v>
      </c>
      <c r="G24" s="2">
        <v>1.0369999999999999</v>
      </c>
      <c r="H24" s="2">
        <v>1.05</v>
      </c>
      <c r="I24" s="2" t="s">
        <v>67</v>
      </c>
    </row>
    <row r="25" spans="1:9">
      <c r="A25" s="2">
        <v>21</v>
      </c>
      <c r="B25" s="2" t="s">
        <v>89</v>
      </c>
      <c r="D25" s="2">
        <v>0.97337719686120061</v>
      </c>
      <c r="E25" s="2">
        <v>0.93422814952901245</v>
      </c>
      <c r="F25" s="2">
        <v>0.89650599940764086</v>
      </c>
      <c r="G25" s="2">
        <v>0.85851311020827237</v>
      </c>
      <c r="H25" s="2">
        <v>0.82360658452975932</v>
      </c>
      <c r="I25" s="2" t="s">
        <v>67</v>
      </c>
    </row>
    <row r="26" spans="1:9">
      <c r="A26" s="2">
        <v>22</v>
      </c>
      <c r="B26" s="2" t="s">
        <v>90</v>
      </c>
      <c r="D26" s="2">
        <v>140.70458227880613</v>
      </c>
      <c r="E26" s="2">
        <v>142.53374184843059</v>
      </c>
      <c r="F26" s="2">
        <v>144.36290141805509</v>
      </c>
      <c r="G26" s="2">
        <v>145.91065182312195</v>
      </c>
      <c r="H26" s="2">
        <v>147.73981139274645</v>
      </c>
      <c r="I26" s="2" t="s">
        <v>67</v>
      </c>
    </row>
    <row r="27" spans="1:9">
      <c r="A27" s="2">
        <v>23</v>
      </c>
      <c r="B27" s="2" t="s">
        <v>91</v>
      </c>
      <c r="D27" s="2">
        <v>2.9</v>
      </c>
      <c r="E27" s="2">
        <v>2.9</v>
      </c>
      <c r="F27" s="2">
        <v>2.9</v>
      </c>
      <c r="G27" s="2">
        <v>2.9</v>
      </c>
      <c r="H27" s="2">
        <v>2.9</v>
      </c>
      <c r="I27" s="2" t="s">
        <v>67</v>
      </c>
    </row>
    <row r="28" spans="1:9">
      <c r="A28" s="2">
        <v>24</v>
      </c>
      <c r="B28" s="2" t="s">
        <v>92</v>
      </c>
      <c r="D28" s="2">
        <v>143.60458227880613</v>
      </c>
      <c r="E28" s="2">
        <v>145.4337418484306</v>
      </c>
      <c r="F28" s="2">
        <v>147.26290141805509</v>
      </c>
      <c r="G28" s="2">
        <v>148.81065182312196</v>
      </c>
      <c r="H28" s="2">
        <v>150.63981139274645</v>
      </c>
      <c r="I28" s="2" t="s">
        <v>67</v>
      </c>
    </row>
    <row r="29" spans="1:9">
      <c r="A29" s="2">
        <v>25</v>
      </c>
      <c r="B29" s="2" t="s">
        <v>93</v>
      </c>
      <c r="D29" s="2">
        <v>139.78142575496796</v>
      </c>
      <c r="E29" s="2">
        <v>134.12467475433311</v>
      </c>
      <c r="F29" s="2">
        <v>128.67648597608419</v>
      </c>
      <c r="G29" s="2">
        <v>123.19758488793515</v>
      </c>
      <c r="H29" s="2">
        <v>118.15994338608289</v>
      </c>
      <c r="I29" s="2" t="s">
        <v>67</v>
      </c>
    </row>
    <row r="30" spans="1:9">
      <c r="A30" s="2">
        <v>26</v>
      </c>
      <c r="B30" s="2" t="s">
        <v>86</v>
      </c>
      <c r="H30" s="2">
        <v>643.94011475940329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activeCell="E43" sqref="E43"/>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47" t="s">
        <v>94</v>
      </c>
      <c r="B1" s="47"/>
      <c r="F1" t="s">
        <v>67</v>
      </c>
      <c r="G1" s="48" t="s">
        <v>1022</v>
      </c>
      <c r="I1" t="s">
        <v>67</v>
      </c>
      <c r="K1" t="s">
        <v>67</v>
      </c>
      <c r="L1" t="s">
        <v>67</v>
      </c>
      <c r="N1" t="s">
        <v>67</v>
      </c>
      <c r="P1" t="s">
        <v>67</v>
      </c>
      <c r="Q1" t="s">
        <v>67</v>
      </c>
      <c r="S1" t="s">
        <v>67</v>
      </c>
      <c r="U1" t="s">
        <v>67</v>
      </c>
      <c r="V1" t="s">
        <v>67</v>
      </c>
      <c r="X1" t="s">
        <v>67</v>
      </c>
      <c r="Z1" t="s">
        <v>67</v>
      </c>
      <c r="AA1" t="s">
        <v>67</v>
      </c>
      <c r="AC1" t="s">
        <v>67</v>
      </c>
      <c r="AE1" t="s">
        <v>67</v>
      </c>
    </row>
    <row r="2" spans="1:31">
      <c r="A2" s="47"/>
      <c r="B2" s="47"/>
    </row>
    <row r="3" spans="1:31">
      <c r="A3" s="47" t="s">
        <v>95</v>
      </c>
      <c r="B3" s="47"/>
    </row>
    <row r="4" spans="1:31">
      <c r="A4" s="47"/>
      <c r="B4" s="47"/>
    </row>
    <row r="5" spans="1:31">
      <c r="A5" s="47"/>
      <c r="B5" s="47" t="s">
        <v>96</v>
      </c>
    </row>
    <row r="6" spans="1:31" ht="13.5" thickBot="1"/>
    <row r="7" spans="1:31" ht="13.5" customHeight="1" thickBot="1">
      <c r="B7" s="1214" t="s">
        <v>97</v>
      </c>
      <c r="C7" s="1215"/>
      <c r="D7" s="1215"/>
      <c r="E7" s="1216"/>
      <c r="F7" s="1223" t="s">
        <v>98</v>
      </c>
      <c r="G7" s="1226" t="s">
        <v>99</v>
      </c>
      <c r="H7" s="1227"/>
      <c r="I7" s="1227"/>
      <c r="J7" s="1227"/>
      <c r="K7" s="1228"/>
      <c r="L7" s="1226" t="s">
        <v>100</v>
      </c>
      <c r="M7" s="1227"/>
      <c r="N7" s="1227"/>
      <c r="O7" s="1227"/>
      <c r="P7" s="1228"/>
      <c r="Q7" s="1229" t="s">
        <v>101</v>
      </c>
      <c r="R7" s="1230"/>
      <c r="S7" s="1230"/>
      <c r="T7" s="1230"/>
      <c r="U7" s="1231"/>
      <c r="V7" s="1229" t="s">
        <v>102</v>
      </c>
      <c r="W7" s="1230"/>
      <c r="X7" s="1230"/>
      <c r="Y7" s="1230"/>
      <c r="Z7" s="1231"/>
      <c r="AA7" s="1229" t="s">
        <v>64</v>
      </c>
      <c r="AB7" s="1230"/>
      <c r="AC7" s="1230"/>
      <c r="AD7" s="1230"/>
      <c r="AE7" s="1231"/>
    </row>
    <row r="8" spans="1:31" ht="38.25">
      <c r="B8" s="1217"/>
      <c r="C8" s="1218"/>
      <c r="D8" s="1218"/>
      <c r="E8" s="1219"/>
      <c r="F8" s="1224"/>
      <c r="G8" s="1232" t="s">
        <v>103</v>
      </c>
      <c r="H8" s="1233"/>
      <c r="I8" s="1232" t="s">
        <v>104</v>
      </c>
      <c r="J8" s="1233"/>
      <c r="K8" s="49" t="s">
        <v>105</v>
      </c>
      <c r="L8" s="1232" t="s">
        <v>103</v>
      </c>
      <c r="M8" s="1233"/>
      <c r="N8" s="1232" t="s">
        <v>104</v>
      </c>
      <c r="O8" s="1233"/>
      <c r="P8" s="50" t="s">
        <v>105</v>
      </c>
      <c r="Q8" s="1232" t="s">
        <v>103</v>
      </c>
      <c r="R8" s="1233"/>
      <c r="S8" s="1232" t="s">
        <v>104</v>
      </c>
      <c r="T8" s="1233"/>
      <c r="U8" s="49" t="s">
        <v>105</v>
      </c>
      <c r="V8" s="1232" t="s">
        <v>103</v>
      </c>
      <c r="W8" s="1233"/>
      <c r="X8" s="1232" t="s">
        <v>104</v>
      </c>
      <c r="Y8" s="1233"/>
      <c r="Z8" s="50" t="s">
        <v>105</v>
      </c>
      <c r="AA8" s="1232" t="s">
        <v>103</v>
      </c>
      <c r="AB8" s="1233"/>
      <c r="AC8" s="1232" t="s">
        <v>104</v>
      </c>
      <c r="AD8" s="1233"/>
      <c r="AE8" s="50" t="s">
        <v>106</v>
      </c>
    </row>
    <row r="9" spans="1:31" ht="16.5" customHeight="1" thickBot="1">
      <c r="B9" s="1220"/>
      <c r="C9" s="1221"/>
      <c r="D9" s="1221"/>
      <c r="E9" s="1222"/>
      <c r="F9" s="1225"/>
      <c r="G9" s="51" t="s">
        <v>107</v>
      </c>
      <c r="H9" s="52" t="s">
        <v>108</v>
      </c>
      <c r="I9" s="53" t="s">
        <v>107</v>
      </c>
      <c r="J9" s="54" t="s">
        <v>108</v>
      </c>
      <c r="K9" s="55" t="s">
        <v>99</v>
      </c>
      <c r="L9" s="51" t="s">
        <v>107</v>
      </c>
      <c r="M9" s="52" t="s">
        <v>108</v>
      </c>
      <c r="N9" s="53" t="s">
        <v>107</v>
      </c>
      <c r="O9" s="56" t="s">
        <v>108</v>
      </c>
      <c r="P9" s="57" t="s">
        <v>100</v>
      </c>
      <c r="Q9" s="51" t="s">
        <v>107</v>
      </c>
      <c r="R9" s="52" t="s">
        <v>108</v>
      </c>
      <c r="S9" s="53" t="s">
        <v>107</v>
      </c>
      <c r="T9" s="54" t="s">
        <v>108</v>
      </c>
      <c r="U9" s="55" t="s">
        <v>101</v>
      </c>
      <c r="V9" s="51" t="s">
        <v>107</v>
      </c>
      <c r="W9" s="52" t="s">
        <v>108</v>
      </c>
      <c r="X9" s="53" t="s">
        <v>107</v>
      </c>
      <c r="Y9" s="56" t="s">
        <v>108</v>
      </c>
      <c r="Z9" s="57" t="s">
        <v>102</v>
      </c>
      <c r="AA9" s="51" t="s">
        <v>107</v>
      </c>
      <c r="AB9" s="52" t="s">
        <v>108</v>
      </c>
      <c r="AC9" s="53" t="s">
        <v>107</v>
      </c>
      <c r="AD9" s="56" t="s">
        <v>108</v>
      </c>
      <c r="AE9" s="57" t="s">
        <v>64</v>
      </c>
    </row>
    <row r="10" spans="1:31">
      <c r="B10" s="58"/>
      <c r="C10" s="59" t="s">
        <v>109</v>
      </c>
      <c r="D10" s="59"/>
      <c r="E10" s="60"/>
      <c r="F10" s="61"/>
      <c r="G10" s="62"/>
      <c r="H10" s="63"/>
      <c r="I10" s="62"/>
      <c r="J10" s="64"/>
      <c r="K10" s="61"/>
      <c r="L10" s="62"/>
      <c r="M10" s="63"/>
      <c r="N10" s="62"/>
      <c r="O10" s="64"/>
      <c r="P10" s="61"/>
      <c r="Q10" s="62"/>
      <c r="R10" s="63"/>
      <c r="S10" s="62"/>
      <c r="T10" s="64"/>
      <c r="U10" s="61"/>
      <c r="V10" s="62"/>
      <c r="W10" s="63"/>
      <c r="X10" s="62"/>
      <c r="Y10" s="63"/>
      <c r="Z10" s="61"/>
      <c r="AA10" s="62"/>
      <c r="AB10" s="63"/>
      <c r="AC10" s="62"/>
      <c r="AD10" s="63"/>
      <c r="AE10" s="61"/>
    </row>
    <row r="11" spans="1:31">
      <c r="B11" s="58"/>
      <c r="C11" s="60"/>
      <c r="D11" s="65" t="s">
        <v>110</v>
      </c>
      <c r="E11" s="60"/>
      <c r="F11" s="66"/>
      <c r="G11" s="67"/>
      <c r="H11" s="68"/>
      <c r="I11" s="67"/>
      <c r="J11" s="69"/>
      <c r="K11" s="66"/>
      <c r="L11" s="67"/>
      <c r="M11" s="68"/>
      <c r="N11" s="67"/>
      <c r="O11" s="69"/>
      <c r="P11" s="66"/>
      <c r="Q11" s="67"/>
      <c r="R11" s="68"/>
      <c r="S11" s="67"/>
      <c r="T11" s="69"/>
      <c r="U11" s="70"/>
      <c r="V11" s="67"/>
      <c r="W11" s="68"/>
      <c r="X11" s="67"/>
      <c r="Y11" s="68"/>
      <c r="Z11" s="66"/>
      <c r="AA11" s="67"/>
      <c r="AB11" s="68"/>
      <c r="AC11" s="67"/>
      <c r="AD11" s="68"/>
      <c r="AE11" s="66"/>
    </row>
    <row r="12" spans="1:31">
      <c r="B12" s="71"/>
      <c r="C12" s="60"/>
      <c r="D12" s="60"/>
      <c r="E12" s="60" t="s">
        <v>111</v>
      </c>
      <c r="F12" s="72">
        <v>3215</v>
      </c>
      <c r="G12" s="73">
        <v>0</v>
      </c>
      <c r="H12" s="74">
        <v>9</v>
      </c>
      <c r="I12" s="73">
        <v>0</v>
      </c>
      <c r="J12" s="74">
        <v>4</v>
      </c>
      <c r="K12" s="72">
        <v>3210</v>
      </c>
      <c r="L12" s="73">
        <v>0</v>
      </c>
      <c r="M12" s="74">
        <v>61</v>
      </c>
      <c r="N12" s="73">
        <v>0</v>
      </c>
      <c r="O12" s="74">
        <v>56</v>
      </c>
      <c r="P12" s="72">
        <v>3205</v>
      </c>
      <c r="Q12" s="73">
        <v>0</v>
      </c>
      <c r="R12" s="74">
        <v>66</v>
      </c>
      <c r="S12" s="73">
        <v>0</v>
      </c>
      <c r="T12" s="74">
        <v>54</v>
      </c>
      <c r="U12" s="75">
        <v>3193</v>
      </c>
      <c r="V12" s="73">
        <v>0</v>
      </c>
      <c r="W12" s="74">
        <v>39</v>
      </c>
      <c r="X12" s="73">
        <v>0</v>
      </c>
      <c r="Y12" s="74">
        <v>39</v>
      </c>
      <c r="Z12" s="72">
        <v>3193</v>
      </c>
      <c r="AA12" s="73">
        <v>0</v>
      </c>
      <c r="AB12" s="74">
        <v>43</v>
      </c>
      <c r="AC12" s="73">
        <v>0</v>
      </c>
      <c r="AD12" s="74">
        <v>42</v>
      </c>
      <c r="AE12" s="72">
        <v>3192</v>
      </c>
    </row>
    <row r="13" spans="1:31">
      <c r="B13" s="71"/>
      <c r="C13" s="60"/>
      <c r="D13" s="60"/>
      <c r="E13" s="60" t="s">
        <v>112</v>
      </c>
      <c r="F13" s="72">
        <v>317000</v>
      </c>
      <c r="G13" s="73">
        <v>0</v>
      </c>
      <c r="H13" s="74">
        <v>5256</v>
      </c>
      <c r="I13" s="73">
        <v>0</v>
      </c>
      <c r="J13" s="76">
        <v>5256</v>
      </c>
      <c r="K13" s="72">
        <v>317000</v>
      </c>
      <c r="L13" s="73">
        <v>0</v>
      </c>
      <c r="M13" s="74">
        <v>5428</v>
      </c>
      <c r="N13" s="73">
        <v>0</v>
      </c>
      <c r="O13" s="76">
        <v>5428</v>
      </c>
      <c r="P13" s="72">
        <v>317000</v>
      </c>
      <c r="Q13" s="73">
        <v>0</v>
      </c>
      <c r="R13" s="74">
        <v>9048</v>
      </c>
      <c r="S13" s="73">
        <v>0</v>
      </c>
      <c r="T13" s="76">
        <v>9048</v>
      </c>
      <c r="U13" s="75">
        <v>317000</v>
      </c>
      <c r="V13" s="73">
        <v>0</v>
      </c>
      <c r="W13" s="74">
        <v>5000</v>
      </c>
      <c r="X13" s="73">
        <v>0</v>
      </c>
      <c r="Y13" s="74">
        <v>5000</v>
      </c>
      <c r="Z13" s="72">
        <v>317000</v>
      </c>
      <c r="AA13" s="73">
        <v>0</v>
      </c>
      <c r="AB13" s="74">
        <v>2500</v>
      </c>
      <c r="AC13" s="73">
        <v>0</v>
      </c>
      <c r="AD13" s="74">
        <v>2500</v>
      </c>
      <c r="AE13" s="72">
        <v>317000</v>
      </c>
    </row>
    <row r="14" spans="1:31">
      <c r="B14" s="71"/>
      <c r="C14" s="60"/>
      <c r="D14" s="60"/>
      <c r="E14" s="60"/>
      <c r="F14" s="77"/>
      <c r="G14" s="78"/>
      <c r="H14" s="79"/>
      <c r="I14" s="78"/>
      <c r="J14" s="80"/>
      <c r="K14" s="77"/>
      <c r="L14" s="78"/>
      <c r="M14" s="79"/>
      <c r="N14" s="78"/>
      <c r="O14" s="80"/>
      <c r="P14" s="77"/>
      <c r="Q14" s="78"/>
      <c r="R14" s="79"/>
      <c r="S14" s="78"/>
      <c r="T14" s="80"/>
      <c r="U14" s="81"/>
      <c r="V14" s="78"/>
      <c r="W14" s="79"/>
      <c r="X14" s="78"/>
      <c r="Y14" s="79"/>
      <c r="Z14" s="77"/>
      <c r="AA14" s="78"/>
      <c r="AB14" s="79"/>
      <c r="AC14" s="78"/>
      <c r="AD14" s="79"/>
      <c r="AE14" s="77"/>
    </row>
    <row r="15" spans="1:31">
      <c r="B15" s="71"/>
      <c r="C15" s="60"/>
      <c r="D15" s="65" t="s">
        <v>113</v>
      </c>
      <c r="E15" s="60"/>
      <c r="F15" s="77"/>
      <c r="G15" s="78"/>
      <c r="H15" s="79"/>
      <c r="I15" s="78"/>
      <c r="J15" s="80"/>
      <c r="K15" s="77"/>
      <c r="L15" s="78"/>
      <c r="M15" s="79"/>
      <c r="N15" s="78"/>
      <c r="O15" s="80"/>
      <c r="P15" s="77"/>
      <c r="Q15" s="78"/>
      <c r="R15" s="79"/>
      <c r="S15" s="78"/>
      <c r="T15" s="80"/>
      <c r="U15" s="81"/>
      <c r="V15" s="78"/>
      <c r="W15" s="79"/>
      <c r="X15" s="78"/>
      <c r="Y15" s="79"/>
      <c r="Z15" s="77"/>
      <c r="AA15" s="78"/>
      <c r="AB15" s="79"/>
      <c r="AC15" s="78"/>
      <c r="AD15" s="79"/>
      <c r="AE15" s="77"/>
    </row>
    <row r="16" spans="1:31">
      <c r="B16" s="71"/>
      <c r="C16" s="60"/>
      <c r="D16" s="60"/>
      <c r="E16" s="60" t="s">
        <v>114</v>
      </c>
      <c r="F16" s="72">
        <v>98008</v>
      </c>
      <c r="G16" s="73">
        <v>0</v>
      </c>
      <c r="H16" s="74">
        <v>1043</v>
      </c>
      <c r="I16" s="73">
        <v>0</v>
      </c>
      <c r="J16" s="76">
        <v>961</v>
      </c>
      <c r="K16" s="72">
        <v>97926</v>
      </c>
      <c r="L16" s="73">
        <v>0</v>
      </c>
      <c r="M16" s="74">
        <v>1028</v>
      </c>
      <c r="N16" s="73">
        <v>0</v>
      </c>
      <c r="O16" s="76">
        <v>833</v>
      </c>
      <c r="P16" s="72">
        <v>97731</v>
      </c>
      <c r="Q16" s="73">
        <v>0</v>
      </c>
      <c r="R16" s="74">
        <v>900</v>
      </c>
      <c r="S16" s="73">
        <v>0</v>
      </c>
      <c r="T16" s="76">
        <v>734</v>
      </c>
      <c r="U16" s="75">
        <v>97565</v>
      </c>
      <c r="V16" s="73">
        <v>0</v>
      </c>
      <c r="W16" s="74">
        <v>840</v>
      </c>
      <c r="X16" s="73">
        <v>0</v>
      </c>
      <c r="Y16" s="74">
        <v>840</v>
      </c>
      <c r="Z16" s="72">
        <v>97565</v>
      </c>
      <c r="AA16" s="73">
        <v>0</v>
      </c>
      <c r="AB16" s="74">
        <v>845</v>
      </c>
      <c r="AC16" s="73">
        <v>0</v>
      </c>
      <c r="AD16" s="74">
        <v>826</v>
      </c>
      <c r="AE16" s="72">
        <v>97546</v>
      </c>
    </row>
    <row r="17" spans="2:31">
      <c r="B17" s="71"/>
      <c r="C17" s="60"/>
      <c r="D17" s="60"/>
      <c r="E17" s="60"/>
      <c r="F17" s="77"/>
      <c r="G17" s="78"/>
      <c r="H17" s="79"/>
      <c r="I17" s="78"/>
      <c r="J17" s="80"/>
      <c r="K17" s="77"/>
      <c r="L17" s="78"/>
      <c r="M17" s="79"/>
      <c r="N17" s="78"/>
      <c r="O17" s="80"/>
      <c r="P17" s="77"/>
      <c r="Q17" s="78"/>
      <c r="R17" s="79"/>
      <c r="S17" s="78"/>
      <c r="T17" s="80"/>
      <c r="U17" s="81"/>
      <c r="V17" s="78"/>
      <c r="W17" s="79"/>
      <c r="X17" s="78"/>
      <c r="Y17" s="79"/>
      <c r="Z17" s="77"/>
      <c r="AA17" s="78"/>
      <c r="AB17" s="79"/>
      <c r="AC17" s="78"/>
      <c r="AD17" s="79"/>
      <c r="AE17" s="77"/>
    </row>
    <row r="18" spans="2:31">
      <c r="B18" s="71"/>
      <c r="C18" s="60"/>
      <c r="D18" s="65" t="s">
        <v>115</v>
      </c>
      <c r="E18" s="60"/>
      <c r="F18" s="77"/>
      <c r="G18" s="78"/>
      <c r="H18" s="79"/>
      <c r="I18" s="78"/>
      <c r="J18" s="80"/>
      <c r="K18" s="77"/>
      <c r="L18" s="78"/>
      <c r="M18" s="79"/>
      <c r="N18" s="78"/>
      <c r="O18" s="80"/>
      <c r="P18" s="77"/>
      <c r="Q18" s="78"/>
      <c r="R18" s="79"/>
      <c r="S18" s="78"/>
      <c r="T18" s="80"/>
      <c r="U18" s="81"/>
      <c r="V18" s="78"/>
      <c r="W18" s="79"/>
      <c r="X18" s="78"/>
      <c r="Y18" s="79"/>
      <c r="Z18" s="77"/>
      <c r="AA18" s="78"/>
      <c r="AB18" s="79"/>
      <c r="AC18" s="78"/>
      <c r="AD18" s="79"/>
      <c r="AE18" s="77"/>
    </row>
    <row r="19" spans="2:31">
      <c r="B19" s="71"/>
      <c r="C19" s="60"/>
      <c r="D19" s="65"/>
      <c r="E19" s="60" t="s">
        <v>116</v>
      </c>
      <c r="F19" s="72">
        <v>0</v>
      </c>
      <c r="G19" s="73">
        <v>0</v>
      </c>
      <c r="H19" s="74">
        <v>0</v>
      </c>
      <c r="I19" s="73" t="s">
        <v>1023</v>
      </c>
      <c r="J19" s="76">
        <v>0</v>
      </c>
      <c r="K19" s="72">
        <v>0</v>
      </c>
      <c r="L19" s="73">
        <v>0</v>
      </c>
      <c r="M19" s="74">
        <v>0</v>
      </c>
      <c r="N19" s="73" t="s">
        <v>1023</v>
      </c>
      <c r="O19" s="76">
        <v>0</v>
      </c>
      <c r="P19" s="72">
        <v>0</v>
      </c>
      <c r="Q19" s="73">
        <v>0</v>
      </c>
      <c r="R19" s="74">
        <v>0</v>
      </c>
      <c r="S19" s="73" t="s">
        <v>1023</v>
      </c>
      <c r="T19" s="76">
        <v>0</v>
      </c>
      <c r="U19" s="75">
        <v>0</v>
      </c>
      <c r="V19" s="73">
        <v>0</v>
      </c>
      <c r="W19" s="74">
        <v>0</v>
      </c>
      <c r="X19" s="73">
        <v>0</v>
      </c>
      <c r="Y19" s="74">
        <v>0</v>
      </c>
      <c r="Z19" s="72">
        <v>0</v>
      </c>
      <c r="AA19" s="73">
        <v>0</v>
      </c>
      <c r="AB19" s="74">
        <v>0</v>
      </c>
      <c r="AC19" s="73">
        <v>0</v>
      </c>
      <c r="AD19" s="74">
        <v>0</v>
      </c>
      <c r="AE19" s="72">
        <v>0</v>
      </c>
    </row>
    <row r="20" spans="2:31">
      <c r="B20" s="71"/>
      <c r="C20" s="60"/>
      <c r="D20" s="65"/>
      <c r="E20" s="60" t="s">
        <v>117</v>
      </c>
      <c r="F20" s="72">
        <v>3999</v>
      </c>
      <c r="G20" s="73">
        <v>0</v>
      </c>
      <c r="H20" s="74">
        <v>0</v>
      </c>
      <c r="I20" s="73">
        <v>248</v>
      </c>
      <c r="J20" s="76">
        <v>4</v>
      </c>
      <c r="K20" s="72">
        <v>4251</v>
      </c>
      <c r="L20" s="73">
        <v>0</v>
      </c>
      <c r="M20" s="74">
        <v>2</v>
      </c>
      <c r="N20" s="73">
        <v>134.79</v>
      </c>
      <c r="O20" s="76">
        <v>9.4</v>
      </c>
      <c r="P20" s="72">
        <v>4393.1899999999996</v>
      </c>
      <c r="Q20" s="73">
        <v>0</v>
      </c>
      <c r="R20" s="74">
        <v>2</v>
      </c>
      <c r="S20" s="73">
        <v>143.9</v>
      </c>
      <c r="T20" s="76">
        <v>2</v>
      </c>
      <c r="U20" s="75">
        <v>4537.09</v>
      </c>
      <c r="V20" s="73">
        <v>0</v>
      </c>
      <c r="W20" s="74">
        <v>0</v>
      </c>
      <c r="X20" s="73">
        <v>117</v>
      </c>
      <c r="Y20" s="74">
        <v>2</v>
      </c>
      <c r="Z20" s="72">
        <v>4656.09</v>
      </c>
      <c r="AA20" s="73">
        <v>0</v>
      </c>
      <c r="AB20" s="74">
        <v>0</v>
      </c>
      <c r="AC20" s="73">
        <v>113</v>
      </c>
      <c r="AD20" s="74">
        <v>3</v>
      </c>
      <c r="AE20" s="72">
        <v>4772.09</v>
      </c>
    </row>
    <row r="21" spans="2:31">
      <c r="B21" s="71"/>
      <c r="C21" s="60"/>
      <c r="D21" s="65"/>
      <c r="E21" s="60" t="s">
        <v>118</v>
      </c>
      <c r="F21" s="72">
        <v>6214.9</v>
      </c>
      <c r="G21" s="73">
        <v>0</v>
      </c>
      <c r="H21" s="74">
        <v>4</v>
      </c>
      <c r="I21" s="73" t="s">
        <v>1023</v>
      </c>
      <c r="J21" s="76">
        <v>0</v>
      </c>
      <c r="K21" s="72">
        <v>6210.9</v>
      </c>
      <c r="L21" s="73">
        <v>0</v>
      </c>
      <c r="M21" s="74">
        <v>7.4</v>
      </c>
      <c r="N21" s="73" t="s">
        <v>1023</v>
      </c>
      <c r="O21" s="76">
        <v>0</v>
      </c>
      <c r="P21" s="72">
        <v>6203.5</v>
      </c>
      <c r="Q21" s="73">
        <v>0</v>
      </c>
      <c r="R21" s="74">
        <v>5</v>
      </c>
      <c r="S21" s="73" t="s">
        <v>1023</v>
      </c>
      <c r="T21" s="76">
        <v>0</v>
      </c>
      <c r="U21" s="75">
        <v>6198.5</v>
      </c>
      <c r="V21" s="73">
        <v>0</v>
      </c>
      <c r="W21" s="74">
        <v>2</v>
      </c>
      <c r="X21" s="73">
        <v>0</v>
      </c>
      <c r="Y21" s="74">
        <v>0</v>
      </c>
      <c r="Z21" s="72">
        <v>6196.5</v>
      </c>
      <c r="AA21" s="73">
        <v>0</v>
      </c>
      <c r="AB21" s="74">
        <v>2</v>
      </c>
      <c r="AC21" s="73">
        <v>0</v>
      </c>
      <c r="AD21" s="74">
        <v>0</v>
      </c>
      <c r="AE21" s="72">
        <v>6194.5</v>
      </c>
    </row>
    <row r="22" spans="2:31">
      <c r="B22" s="71"/>
      <c r="C22" s="60"/>
      <c r="D22" s="65"/>
      <c r="E22" s="60" t="s">
        <v>119</v>
      </c>
      <c r="F22" s="72">
        <v>732157</v>
      </c>
      <c r="G22" s="73">
        <v>0</v>
      </c>
      <c r="H22" s="74">
        <v>0</v>
      </c>
      <c r="I22" s="73">
        <v>10675</v>
      </c>
      <c r="J22" s="76">
        <v>0</v>
      </c>
      <c r="K22" s="72">
        <v>742832</v>
      </c>
      <c r="L22" s="73">
        <v>0</v>
      </c>
      <c r="M22" s="74">
        <v>0</v>
      </c>
      <c r="N22" s="73">
        <v>11542</v>
      </c>
      <c r="O22" s="76">
        <v>0</v>
      </c>
      <c r="P22" s="72">
        <v>754374</v>
      </c>
      <c r="Q22" s="73">
        <v>0</v>
      </c>
      <c r="R22" s="74">
        <v>0</v>
      </c>
      <c r="S22" s="73">
        <v>8211</v>
      </c>
      <c r="T22" s="76">
        <v>0</v>
      </c>
      <c r="U22" s="75">
        <v>762585</v>
      </c>
      <c r="V22" s="73">
        <v>0</v>
      </c>
      <c r="W22" s="74">
        <v>1100</v>
      </c>
      <c r="X22" s="73">
        <v>8288</v>
      </c>
      <c r="Y22" s="74">
        <v>1100</v>
      </c>
      <c r="Z22" s="72">
        <v>770873</v>
      </c>
      <c r="AA22" s="73">
        <v>0</v>
      </c>
      <c r="AB22" s="74">
        <v>750</v>
      </c>
      <c r="AC22" s="73">
        <v>7973</v>
      </c>
      <c r="AD22" s="74">
        <v>750</v>
      </c>
      <c r="AE22" s="72">
        <v>778846</v>
      </c>
    </row>
    <row r="23" spans="2:31">
      <c r="B23" s="71"/>
      <c r="C23" s="60"/>
      <c r="D23" s="60"/>
      <c r="E23" s="60"/>
      <c r="F23" s="77"/>
      <c r="G23" s="78"/>
      <c r="H23" s="79"/>
      <c r="I23" s="78"/>
      <c r="J23" s="80"/>
      <c r="K23" s="77"/>
      <c r="L23" s="78"/>
      <c r="M23" s="79"/>
      <c r="N23" s="78"/>
      <c r="O23" s="80"/>
      <c r="P23" s="77"/>
      <c r="Q23" s="78"/>
      <c r="R23" s="79"/>
      <c r="S23" s="78"/>
      <c r="T23" s="80"/>
      <c r="U23" s="81"/>
      <c r="V23" s="78"/>
      <c r="W23" s="79"/>
      <c r="X23" s="78"/>
      <c r="Y23" s="79"/>
      <c r="Z23" s="77"/>
      <c r="AA23" s="78"/>
      <c r="AB23" s="79"/>
      <c r="AC23" s="78"/>
      <c r="AD23" s="79"/>
      <c r="AE23" s="77"/>
    </row>
    <row r="24" spans="2:31">
      <c r="B24" s="71"/>
      <c r="C24" s="60"/>
      <c r="D24" s="65" t="s">
        <v>120</v>
      </c>
      <c r="E24" s="60"/>
      <c r="F24" s="77"/>
      <c r="G24" s="78"/>
      <c r="H24" s="79"/>
      <c r="I24" s="78"/>
      <c r="J24" s="80"/>
      <c r="K24" s="77"/>
      <c r="L24" s="78"/>
      <c r="M24" s="79"/>
      <c r="N24" s="78"/>
      <c r="O24" s="80"/>
      <c r="P24" s="77"/>
      <c r="Q24" s="78"/>
      <c r="R24" s="79"/>
      <c r="S24" s="78"/>
      <c r="T24" s="80"/>
      <c r="U24" s="81"/>
      <c r="V24" s="78"/>
      <c r="W24" s="79"/>
      <c r="X24" s="78"/>
      <c r="Y24" s="79"/>
      <c r="Z24" s="77"/>
      <c r="AA24" s="78"/>
      <c r="AB24" s="79"/>
      <c r="AC24" s="78"/>
      <c r="AD24" s="79"/>
      <c r="AE24" s="77"/>
    </row>
    <row r="25" spans="2:31">
      <c r="B25" s="71"/>
      <c r="C25" s="60"/>
      <c r="D25" s="65"/>
      <c r="E25" s="60" t="s">
        <v>121</v>
      </c>
      <c r="F25" s="72">
        <v>3736</v>
      </c>
      <c r="G25" s="73">
        <v>0</v>
      </c>
      <c r="H25" s="74">
        <v>0</v>
      </c>
      <c r="I25" s="73">
        <v>40</v>
      </c>
      <c r="J25" s="76">
        <v>65</v>
      </c>
      <c r="K25" s="72">
        <v>3841</v>
      </c>
      <c r="L25" s="73">
        <v>0</v>
      </c>
      <c r="M25" s="74">
        <v>22</v>
      </c>
      <c r="N25" s="73">
        <v>38</v>
      </c>
      <c r="O25" s="76">
        <v>59</v>
      </c>
      <c r="P25" s="72">
        <v>3916</v>
      </c>
      <c r="Q25" s="73">
        <v>0</v>
      </c>
      <c r="R25" s="74">
        <v>53</v>
      </c>
      <c r="S25" s="73">
        <v>54</v>
      </c>
      <c r="T25" s="76">
        <v>88</v>
      </c>
      <c r="U25" s="75">
        <v>4005</v>
      </c>
      <c r="V25" s="73">
        <v>0</v>
      </c>
      <c r="W25" s="74">
        <v>0</v>
      </c>
      <c r="X25" s="73">
        <v>39</v>
      </c>
      <c r="Y25" s="74">
        <v>0</v>
      </c>
      <c r="Z25" s="72">
        <v>4044</v>
      </c>
      <c r="AA25" s="73">
        <v>0</v>
      </c>
      <c r="AB25" s="74">
        <v>0</v>
      </c>
      <c r="AC25" s="73">
        <v>37</v>
      </c>
      <c r="AD25" s="74">
        <v>0</v>
      </c>
      <c r="AE25" s="72">
        <v>4081</v>
      </c>
    </row>
    <row r="26" spans="2:31">
      <c r="B26" s="71"/>
      <c r="C26" s="60"/>
      <c r="D26" s="65"/>
      <c r="E26" s="60" t="s">
        <v>122</v>
      </c>
      <c r="F26" s="72">
        <v>3893</v>
      </c>
      <c r="G26" s="73">
        <v>21</v>
      </c>
      <c r="H26" s="74">
        <v>8</v>
      </c>
      <c r="I26" s="73">
        <v>1</v>
      </c>
      <c r="J26" s="76">
        <v>8</v>
      </c>
      <c r="K26" s="72">
        <v>3873</v>
      </c>
      <c r="L26" s="73">
        <v>23</v>
      </c>
      <c r="M26" s="74">
        <v>14</v>
      </c>
      <c r="N26" s="73">
        <v>1</v>
      </c>
      <c r="O26" s="76">
        <v>13</v>
      </c>
      <c r="P26" s="72">
        <v>3850</v>
      </c>
      <c r="Q26" s="73">
        <v>29</v>
      </c>
      <c r="R26" s="74">
        <v>14</v>
      </c>
      <c r="S26" s="73">
        <v>3</v>
      </c>
      <c r="T26" s="76">
        <v>14</v>
      </c>
      <c r="U26" s="75">
        <v>3824</v>
      </c>
      <c r="V26" s="73">
        <v>22</v>
      </c>
      <c r="W26" s="74">
        <v>30</v>
      </c>
      <c r="X26" s="73">
        <v>2</v>
      </c>
      <c r="Y26" s="74">
        <v>30</v>
      </c>
      <c r="Z26" s="72">
        <v>3804</v>
      </c>
      <c r="AA26" s="73">
        <v>21</v>
      </c>
      <c r="AB26" s="74">
        <v>40</v>
      </c>
      <c r="AC26" s="73">
        <v>2</v>
      </c>
      <c r="AD26" s="74">
        <v>40</v>
      </c>
      <c r="AE26" s="72">
        <v>3785</v>
      </c>
    </row>
    <row r="27" spans="2:31">
      <c r="B27" s="71"/>
      <c r="C27" s="60"/>
      <c r="D27" s="65"/>
      <c r="E27" s="60" t="s">
        <v>123</v>
      </c>
      <c r="F27" s="72">
        <v>215</v>
      </c>
      <c r="G27" s="73">
        <v>1</v>
      </c>
      <c r="H27" s="74">
        <v>0</v>
      </c>
      <c r="I27" s="73">
        <v>0</v>
      </c>
      <c r="J27" s="76">
        <v>0</v>
      </c>
      <c r="K27" s="72">
        <v>214</v>
      </c>
      <c r="L27" s="73">
        <v>11</v>
      </c>
      <c r="M27" s="74">
        <v>0</v>
      </c>
      <c r="N27" s="73">
        <v>0</v>
      </c>
      <c r="O27" s="76">
        <v>0</v>
      </c>
      <c r="P27" s="72">
        <v>203</v>
      </c>
      <c r="Q27" s="73">
        <v>0</v>
      </c>
      <c r="R27" s="74">
        <v>0</v>
      </c>
      <c r="S27" s="73">
        <v>3</v>
      </c>
      <c r="T27" s="76">
        <v>0</v>
      </c>
      <c r="U27" s="75">
        <v>206</v>
      </c>
      <c r="V27" s="73">
        <v>5</v>
      </c>
      <c r="W27" s="74">
        <v>0</v>
      </c>
      <c r="X27" s="73">
        <v>1</v>
      </c>
      <c r="Y27" s="74">
        <v>0</v>
      </c>
      <c r="Z27" s="72">
        <v>202</v>
      </c>
      <c r="AA27" s="73">
        <v>4</v>
      </c>
      <c r="AB27" s="74">
        <v>0</v>
      </c>
      <c r="AC27" s="73">
        <v>1</v>
      </c>
      <c r="AD27" s="74">
        <v>0</v>
      </c>
      <c r="AE27" s="72">
        <v>199</v>
      </c>
    </row>
    <row r="28" spans="2:31">
      <c r="B28" s="71"/>
      <c r="C28" s="60"/>
      <c r="D28" s="65"/>
      <c r="E28" s="60" t="s">
        <v>124</v>
      </c>
      <c r="F28" s="72">
        <v>3635</v>
      </c>
      <c r="G28" s="73">
        <v>6</v>
      </c>
      <c r="H28" s="74">
        <v>10</v>
      </c>
      <c r="I28" s="73">
        <v>14</v>
      </c>
      <c r="J28" s="76">
        <v>10</v>
      </c>
      <c r="K28" s="72">
        <v>3643</v>
      </c>
      <c r="L28" s="73">
        <v>5</v>
      </c>
      <c r="M28" s="74">
        <v>8</v>
      </c>
      <c r="N28" s="73">
        <v>11</v>
      </c>
      <c r="O28" s="76">
        <v>8</v>
      </c>
      <c r="P28" s="72">
        <v>3649</v>
      </c>
      <c r="Q28" s="73">
        <v>18</v>
      </c>
      <c r="R28" s="74">
        <v>8</v>
      </c>
      <c r="S28" s="73">
        <v>13</v>
      </c>
      <c r="T28" s="76">
        <v>8</v>
      </c>
      <c r="U28" s="75">
        <v>3644</v>
      </c>
      <c r="V28" s="73">
        <v>10</v>
      </c>
      <c r="W28" s="74">
        <v>0</v>
      </c>
      <c r="X28" s="73">
        <v>10</v>
      </c>
      <c r="Y28" s="74">
        <v>0</v>
      </c>
      <c r="Z28" s="72">
        <v>3644</v>
      </c>
      <c r="AA28" s="73">
        <v>9</v>
      </c>
      <c r="AB28" s="74">
        <v>0</v>
      </c>
      <c r="AC28" s="73">
        <v>10</v>
      </c>
      <c r="AD28" s="74">
        <v>0</v>
      </c>
      <c r="AE28" s="72">
        <v>3645</v>
      </c>
    </row>
    <row r="29" spans="2:31">
      <c r="B29" s="71"/>
      <c r="C29" s="60"/>
      <c r="D29" s="65"/>
      <c r="E29" s="60" t="s">
        <v>125</v>
      </c>
      <c r="F29" s="72">
        <v>31144</v>
      </c>
      <c r="G29" s="73">
        <v>0</v>
      </c>
      <c r="H29" s="74">
        <v>511</v>
      </c>
      <c r="I29" s="73">
        <v>0</v>
      </c>
      <c r="J29" s="76">
        <v>640</v>
      </c>
      <c r="K29" s="72">
        <v>31273</v>
      </c>
      <c r="L29" s="73">
        <v>0</v>
      </c>
      <c r="M29" s="74">
        <v>0</v>
      </c>
      <c r="N29" s="73">
        <v>0</v>
      </c>
      <c r="O29" s="76">
        <v>0</v>
      </c>
      <c r="P29" s="72">
        <v>31273</v>
      </c>
      <c r="Q29" s="73">
        <v>0</v>
      </c>
      <c r="R29" s="74">
        <v>0</v>
      </c>
      <c r="S29" s="73">
        <v>0</v>
      </c>
      <c r="T29" s="76">
        <v>103</v>
      </c>
      <c r="U29" s="75">
        <v>31376</v>
      </c>
      <c r="V29" s="73">
        <v>0</v>
      </c>
      <c r="W29" s="74">
        <v>0</v>
      </c>
      <c r="X29" s="73">
        <v>0</v>
      </c>
      <c r="Y29" s="74">
        <v>0</v>
      </c>
      <c r="Z29" s="72">
        <v>31376</v>
      </c>
      <c r="AA29" s="73">
        <v>0</v>
      </c>
      <c r="AB29" s="74">
        <v>0</v>
      </c>
      <c r="AC29" s="73">
        <v>0</v>
      </c>
      <c r="AD29" s="74">
        <v>0</v>
      </c>
      <c r="AE29" s="72">
        <v>31376</v>
      </c>
    </row>
    <row r="30" spans="2:31">
      <c r="B30" s="71"/>
      <c r="C30" s="60"/>
      <c r="D30" s="65"/>
      <c r="E30" s="60" t="s">
        <v>126</v>
      </c>
      <c r="F30" s="72">
        <v>2813</v>
      </c>
      <c r="G30" s="73">
        <v>20</v>
      </c>
      <c r="H30" s="74">
        <v>0</v>
      </c>
      <c r="I30" s="73">
        <v>0</v>
      </c>
      <c r="J30" s="76">
        <v>0</v>
      </c>
      <c r="K30" s="72">
        <v>2793</v>
      </c>
      <c r="L30" s="73">
        <v>36</v>
      </c>
      <c r="M30" s="74">
        <v>0</v>
      </c>
      <c r="N30" s="73">
        <v>0</v>
      </c>
      <c r="O30" s="76">
        <v>0</v>
      </c>
      <c r="P30" s="72">
        <v>2757</v>
      </c>
      <c r="Q30" s="73">
        <v>41</v>
      </c>
      <c r="R30" s="74">
        <v>0</v>
      </c>
      <c r="S30" s="73">
        <v>0</v>
      </c>
      <c r="T30" s="76">
        <v>0</v>
      </c>
      <c r="U30" s="75">
        <v>2716</v>
      </c>
      <c r="V30" s="73">
        <v>32</v>
      </c>
      <c r="W30" s="74">
        <v>0</v>
      </c>
      <c r="X30" s="73">
        <v>0</v>
      </c>
      <c r="Y30" s="74">
        <v>0</v>
      </c>
      <c r="Z30" s="72">
        <v>2684</v>
      </c>
      <c r="AA30" s="73">
        <v>31</v>
      </c>
      <c r="AB30" s="74">
        <v>0</v>
      </c>
      <c r="AC30" s="73">
        <v>0</v>
      </c>
      <c r="AD30" s="74">
        <v>0</v>
      </c>
      <c r="AE30" s="72">
        <v>2653</v>
      </c>
    </row>
    <row r="31" spans="2:31" ht="13.5" thickBot="1">
      <c r="B31" s="82"/>
      <c r="C31" s="83"/>
      <c r="D31" s="83"/>
      <c r="E31" s="83"/>
      <c r="F31" s="84"/>
      <c r="G31" s="85"/>
      <c r="H31" s="86"/>
      <c r="I31" s="85"/>
      <c r="J31" s="87"/>
      <c r="K31" s="88"/>
      <c r="L31" s="85"/>
      <c r="M31" s="86"/>
      <c r="N31" s="85"/>
      <c r="O31" s="87"/>
      <c r="P31" s="88"/>
      <c r="Q31" s="85"/>
      <c r="R31" s="86"/>
      <c r="S31" s="85"/>
      <c r="T31" s="87"/>
      <c r="U31" s="89"/>
      <c r="V31" s="85"/>
      <c r="W31" s="86"/>
      <c r="X31" s="85"/>
      <c r="Y31" s="86"/>
      <c r="Z31" s="88"/>
      <c r="AA31" s="85"/>
      <c r="AB31" s="86"/>
      <c r="AC31" s="85"/>
      <c r="AD31" s="86"/>
      <c r="AE31" s="88"/>
    </row>
    <row r="32" spans="2:31">
      <c r="B32" s="90"/>
      <c r="C32" s="91" t="s">
        <v>127</v>
      </c>
      <c r="D32" s="91"/>
      <c r="E32" s="92"/>
      <c r="F32" s="77"/>
      <c r="G32" s="78"/>
      <c r="H32" s="79"/>
      <c r="I32" s="78"/>
      <c r="J32" s="80"/>
      <c r="K32" s="77"/>
      <c r="L32" s="78"/>
      <c r="M32" s="79"/>
      <c r="N32" s="78"/>
      <c r="O32" s="80"/>
      <c r="P32" s="77"/>
      <c r="Q32" s="78"/>
      <c r="R32" s="79"/>
      <c r="S32" s="78"/>
      <c r="T32" s="80"/>
      <c r="U32" s="81"/>
      <c r="V32" s="78"/>
      <c r="W32" s="79"/>
      <c r="X32" s="78"/>
      <c r="Y32" s="79"/>
      <c r="Z32" s="77"/>
      <c r="AA32" s="78"/>
      <c r="AB32" s="79"/>
      <c r="AC32" s="78"/>
      <c r="AD32" s="79"/>
      <c r="AE32" s="77"/>
    </row>
    <row r="33" spans="2:31">
      <c r="B33" s="71"/>
      <c r="C33" s="60"/>
      <c r="D33" s="65" t="s">
        <v>110</v>
      </c>
      <c r="E33" s="60"/>
      <c r="F33" s="77"/>
      <c r="G33" s="78"/>
      <c r="H33" s="79"/>
      <c r="I33" s="78"/>
      <c r="J33" s="80"/>
      <c r="K33" s="77"/>
      <c r="L33" s="78"/>
      <c r="M33" s="79"/>
      <c r="N33" s="78"/>
      <c r="O33" s="80"/>
      <c r="P33" s="77"/>
      <c r="Q33" s="78"/>
      <c r="R33" s="79"/>
      <c r="S33" s="78"/>
      <c r="T33" s="80"/>
      <c r="U33" s="81"/>
      <c r="V33" s="78"/>
      <c r="W33" s="79"/>
      <c r="X33" s="78"/>
      <c r="Y33" s="79"/>
      <c r="Z33" s="77"/>
      <c r="AA33" s="78"/>
      <c r="AB33" s="79"/>
      <c r="AC33" s="78"/>
      <c r="AD33" s="79"/>
      <c r="AE33" s="77"/>
    </row>
    <row r="34" spans="2:31">
      <c r="B34" s="71"/>
      <c r="C34" s="60"/>
      <c r="D34" s="65"/>
      <c r="E34" s="60" t="s">
        <v>128</v>
      </c>
      <c r="F34" s="72">
        <v>12254</v>
      </c>
      <c r="G34" s="73">
        <v>0</v>
      </c>
      <c r="H34" s="74">
        <v>52</v>
      </c>
      <c r="I34" s="73">
        <v>0</v>
      </c>
      <c r="J34" s="76">
        <v>32</v>
      </c>
      <c r="K34" s="72">
        <v>12234</v>
      </c>
      <c r="L34" s="73">
        <v>0</v>
      </c>
      <c r="M34" s="74">
        <v>89</v>
      </c>
      <c r="N34" s="73">
        <v>0</v>
      </c>
      <c r="O34" s="76">
        <v>77</v>
      </c>
      <c r="P34" s="72">
        <v>12222</v>
      </c>
      <c r="Q34" s="73">
        <v>0</v>
      </c>
      <c r="R34" s="74">
        <v>79</v>
      </c>
      <c r="S34" s="73">
        <v>0</v>
      </c>
      <c r="T34" s="76">
        <v>64</v>
      </c>
      <c r="U34" s="75">
        <v>12207</v>
      </c>
      <c r="V34" s="73">
        <v>0</v>
      </c>
      <c r="W34" s="74">
        <v>55</v>
      </c>
      <c r="X34" s="73">
        <v>0</v>
      </c>
      <c r="Y34" s="74">
        <v>55</v>
      </c>
      <c r="Z34" s="72">
        <v>12207</v>
      </c>
      <c r="AA34" s="73">
        <v>0</v>
      </c>
      <c r="AB34" s="74">
        <v>55</v>
      </c>
      <c r="AC34" s="73">
        <v>0</v>
      </c>
      <c r="AD34" s="74">
        <v>55</v>
      </c>
      <c r="AE34" s="72">
        <v>12207</v>
      </c>
    </row>
    <row r="35" spans="2:31">
      <c r="B35" s="71"/>
      <c r="C35" s="60"/>
      <c r="D35" s="65"/>
      <c r="E35" s="60" t="s">
        <v>129</v>
      </c>
      <c r="F35" s="72">
        <v>0</v>
      </c>
      <c r="G35" s="73">
        <v>0</v>
      </c>
      <c r="H35" s="74">
        <v>0</v>
      </c>
      <c r="I35" s="73">
        <v>0</v>
      </c>
      <c r="J35" s="76">
        <v>0</v>
      </c>
      <c r="K35" s="72">
        <v>0</v>
      </c>
      <c r="L35" s="73">
        <v>0</v>
      </c>
      <c r="M35" s="74">
        <v>0</v>
      </c>
      <c r="N35" s="73">
        <v>0</v>
      </c>
      <c r="O35" s="76">
        <v>0</v>
      </c>
      <c r="P35" s="72">
        <v>0</v>
      </c>
      <c r="Q35" s="73">
        <v>0</v>
      </c>
      <c r="R35" s="74">
        <v>0</v>
      </c>
      <c r="S35" s="73">
        <v>0</v>
      </c>
      <c r="T35" s="76">
        <v>0</v>
      </c>
      <c r="U35" s="75">
        <v>0</v>
      </c>
      <c r="V35" s="73">
        <v>0</v>
      </c>
      <c r="W35" s="74">
        <v>0</v>
      </c>
      <c r="X35" s="73">
        <v>0</v>
      </c>
      <c r="Y35" s="74">
        <v>0</v>
      </c>
      <c r="Z35" s="72">
        <v>0</v>
      </c>
      <c r="AA35" s="73">
        <v>0</v>
      </c>
      <c r="AB35" s="74">
        <v>0</v>
      </c>
      <c r="AC35" s="73">
        <v>0</v>
      </c>
      <c r="AD35" s="74">
        <v>0</v>
      </c>
      <c r="AE35" s="72">
        <v>0</v>
      </c>
    </row>
    <row r="36" spans="2:31">
      <c r="B36" s="71"/>
      <c r="C36" s="60"/>
      <c r="D36" s="60"/>
      <c r="E36" s="60" t="s">
        <v>130</v>
      </c>
      <c r="F36" s="72">
        <v>0</v>
      </c>
      <c r="G36" s="73">
        <v>0</v>
      </c>
      <c r="H36" s="74">
        <v>0</v>
      </c>
      <c r="I36" s="73">
        <v>0</v>
      </c>
      <c r="J36" s="76">
        <v>0</v>
      </c>
      <c r="K36" s="72">
        <v>0</v>
      </c>
      <c r="L36" s="73">
        <v>0</v>
      </c>
      <c r="M36" s="74">
        <v>0</v>
      </c>
      <c r="N36" s="73">
        <v>0</v>
      </c>
      <c r="O36" s="76">
        <v>0</v>
      </c>
      <c r="P36" s="72">
        <v>0</v>
      </c>
      <c r="Q36" s="73">
        <v>0</v>
      </c>
      <c r="R36" s="74">
        <v>0</v>
      </c>
      <c r="S36" s="73">
        <v>0</v>
      </c>
      <c r="T36" s="76">
        <v>0</v>
      </c>
      <c r="U36" s="75">
        <v>0</v>
      </c>
      <c r="V36" s="73">
        <v>0</v>
      </c>
      <c r="W36" s="74">
        <v>0</v>
      </c>
      <c r="X36" s="73">
        <v>0</v>
      </c>
      <c r="Y36" s="74">
        <v>0</v>
      </c>
      <c r="Z36" s="72">
        <v>0</v>
      </c>
      <c r="AA36" s="73">
        <v>0</v>
      </c>
      <c r="AB36" s="74">
        <v>0</v>
      </c>
      <c r="AC36" s="73">
        <v>0</v>
      </c>
      <c r="AD36" s="74">
        <v>0</v>
      </c>
      <c r="AE36" s="72">
        <v>0</v>
      </c>
    </row>
    <row r="37" spans="2:31">
      <c r="B37" s="71"/>
      <c r="C37" s="60"/>
      <c r="D37" s="60"/>
      <c r="E37" s="60" t="s">
        <v>131</v>
      </c>
      <c r="F37" s="72">
        <v>0</v>
      </c>
      <c r="G37" s="73">
        <v>0</v>
      </c>
      <c r="H37" s="74">
        <v>0</v>
      </c>
      <c r="I37" s="73">
        <v>0</v>
      </c>
      <c r="J37" s="76">
        <v>0</v>
      </c>
      <c r="K37" s="72">
        <v>0</v>
      </c>
      <c r="L37" s="73">
        <v>0</v>
      </c>
      <c r="M37" s="74">
        <v>0</v>
      </c>
      <c r="N37" s="73">
        <v>0</v>
      </c>
      <c r="O37" s="76">
        <v>0</v>
      </c>
      <c r="P37" s="72">
        <v>0</v>
      </c>
      <c r="Q37" s="73">
        <v>0</v>
      </c>
      <c r="R37" s="74">
        <v>0</v>
      </c>
      <c r="S37" s="73">
        <v>0</v>
      </c>
      <c r="T37" s="76">
        <v>0</v>
      </c>
      <c r="U37" s="75">
        <v>0</v>
      </c>
      <c r="V37" s="73">
        <v>0</v>
      </c>
      <c r="W37" s="74">
        <v>0</v>
      </c>
      <c r="X37" s="73">
        <v>0</v>
      </c>
      <c r="Y37" s="74">
        <v>0</v>
      </c>
      <c r="Z37" s="72">
        <v>0</v>
      </c>
      <c r="AA37" s="73">
        <v>0</v>
      </c>
      <c r="AB37" s="74">
        <v>0</v>
      </c>
      <c r="AC37" s="73">
        <v>0</v>
      </c>
      <c r="AD37" s="74">
        <v>0</v>
      </c>
      <c r="AE37" s="72">
        <v>0</v>
      </c>
    </row>
    <row r="38" spans="2:31">
      <c r="B38" s="71"/>
      <c r="C38" s="60"/>
      <c r="D38" s="60"/>
      <c r="E38" s="60"/>
      <c r="F38" s="77"/>
      <c r="G38" s="78"/>
      <c r="H38" s="79"/>
      <c r="I38" s="78"/>
      <c r="J38" s="80"/>
      <c r="K38" s="77"/>
      <c r="L38" s="78"/>
      <c r="M38" s="79"/>
      <c r="N38" s="78"/>
      <c r="O38" s="80"/>
      <c r="P38" s="77"/>
      <c r="Q38" s="78"/>
      <c r="R38" s="79"/>
      <c r="S38" s="78"/>
      <c r="T38" s="80"/>
      <c r="U38" s="81"/>
      <c r="V38" s="78"/>
      <c r="W38" s="79"/>
      <c r="X38" s="78"/>
      <c r="Y38" s="79"/>
      <c r="Z38" s="77"/>
      <c r="AA38" s="78"/>
      <c r="AB38" s="79"/>
      <c r="AC38" s="78"/>
      <c r="AD38" s="79"/>
      <c r="AE38" s="77"/>
    </row>
    <row r="39" spans="2:31">
      <c r="B39" s="71"/>
      <c r="C39" s="60"/>
      <c r="D39" s="65" t="s">
        <v>113</v>
      </c>
      <c r="E39" s="60"/>
      <c r="F39" s="77"/>
      <c r="G39" s="78"/>
      <c r="H39" s="79"/>
      <c r="I39" s="78"/>
      <c r="J39" s="80"/>
      <c r="K39" s="77"/>
      <c r="L39" s="78"/>
      <c r="M39" s="79"/>
      <c r="N39" s="78"/>
      <c r="O39" s="80"/>
      <c r="P39" s="77"/>
      <c r="Q39" s="78"/>
      <c r="R39" s="79"/>
      <c r="S39" s="78"/>
      <c r="T39" s="80"/>
      <c r="U39" s="81"/>
      <c r="V39" s="78"/>
      <c r="W39" s="79"/>
      <c r="X39" s="78"/>
      <c r="Y39" s="79"/>
      <c r="Z39" s="77"/>
      <c r="AA39" s="78"/>
      <c r="AB39" s="79"/>
      <c r="AC39" s="78"/>
      <c r="AD39" s="79"/>
      <c r="AE39" s="77"/>
    </row>
    <row r="40" spans="2:31">
      <c r="B40" s="71"/>
      <c r="C40" s="60"/>
      <c r="D40" s="92"/>
      <c r="E40" s="60" t="s">
        <v>132</v>
      </c>
      <c r="F40" s="72">
        <v>163307</v>
      </c>
      <c r="G40" s="73">
        <v>0</v>
      </c>
      <c r="H40" s="74">
        <v>1809</v>
      </c>
      <c r="I40" s="73">
        <v>0</v>
      </c>
      <c r="J40" s="76">
        <v>1678</v>
      </c>
      <c r="K40" s="72">
        <v>163176</v>
      </c>
      <c r="L40" s="73">
        <v>0</v>
      </c>
      <c r="M40" s="74">
        <v>2035</v>
      </c>
      <c r="N40" s="73">
        <v>0</v>
      </c>
      <c r="O40" s="76">
        <v>1912</v>
      </c>
      <c r="P40" s="72">
        <v>163053</v>
      </c>
      <c r="Q40" s="73">
        <v>0</v>
      </c>
      <c r="R40" s="74">
        <v>2381</v>
      </c>
      <c r="S40" s="73">
        <v>0</v>
      </c>
      <c r="T40" s="76">
        <v>1861</v>
      </c>
      <c r="U40" s="75">
        <v>162533</v>
      </c>
      <c r="V40" s="73">
        <v>0</v>
      </c>
      <c r="W40" s="74">
        <v>1582.5</v>
      </c>
      <c r="X40" s="73">
        <v>0</v>
      </c>
      <c r="Y40" s="74">
        <v>1582.5</v>
      </c>
      <c r="Z40" s="72">
        <v>162533</v>
      </c>
      <c r="AA40" s="73">
        <v>0</v>
      </c>
      <c r="AB40" s="74">
        <v>1582.5</v>
      </c>
      <c r="AC40" s="73">
        <v>0</v>
      </c>
      <c r="AD40" s="74">
        <v>1582.5</v>
      </c>
      <c r="AE40" s="72">
        <v>162533</v>
      </c>
    </row>
    <row r="41" spans="2:31">
      <c r="B41" s="71"/>
      <c r="C41" s="60"/>
      <c r="D41" s="65"/>
      <c r="E41" s="60" t="s">
        <v>133</v>
      </c>
      <c r="F41" s="72">
        <v>0</v>
      </c>
      <c r="G41" s="73">
        <v>0</v>
      </c>
      <c r="H41" s="74">
        <v>0</v>
      </c>
      <c r="I41" s="73">
        <v>0</v>
      </c>
      <c r="J41" s="76">
        <v>0</v>
      </c>
      <c r="K41" s="72">
        <v>0</v>
      </c>
      <c r="L41" s="73">
        <v>0</v>
      </c>
      <c r="M41" s="74">
        <v>0</v>
      </c>
      <c r="N41" s="73">
        <v>0</v>
      </c>
      <c r="O41" s="76">
        <v>0</v>
      </c>
      <c r="P41" s="72">
        <v>0</v>
      </c>
      <c r="Q41" s="73">
        <v>0</v>
      </c>
      <c r="R41" s="74">
        <v>0</v>
      </c>
      <c r="S41" s="73">
        <v>0</v>
      </c>
      <c r="T41" s="76">
        <v>0</v>
      </c>
      <c r="U41" s="75">
        <v>0</v>
      </c>
      <c r="V41" s="73">
        <v>0</v>
      </c>
      <c r="W41" s="74">
        <v>0</v>
      </c>
      <c r="X41" s="73">
        <v>0</v>
      </c>
      <c r="Y41" s="74">
        <v>0</v>
      </c>
      <c r="Z41" s="72">
        <v>0</v>
      </c>
      <c r="AA41" s="73">
        <v>0</v>
      </c>
      <c r="AB41" s="74">
        <v>0</v>
      </c>
      <c r="AC41" s="73">
        <v>0</v>
      </c>
      <c r="AD41" s="74">
        <v>0</v>
      </c>
      <c r="AE41" s="72">
        <v>0</v>
      </c>
    </row>
    <row r="42" spans="2:31">
      <c r="B42" s="71"/>
      <c r="C42" s="60"/>
      <c r="D42" s="60"/>
      <c r="E42" s="60"/>
      <c r="F42" s="77"/>
      <c r="G42" s="78"/>
      <c r="H42" s="79"/>
      <c r="I42" s="78"/>
      <c r="J42" s="80"/>
      <c r="K42" s="77"/>
      <c r="L42" s="78"/>
      <c r="M42" s="79"/>
      <c r="N42" s="78"/>
      <c r="O42" s="80"/>
      <c r="P42" s="77"/>
      <c r="Q42" s="78"/>
      <c r="R42" s="79"/>
      <c r="S42" s="78"/>
      <c r="T42" s="80"/>
      <c r="U42" s="81"/>
      <c r="V42" s="78"/>
      <c r="W42" s="79"/>
      <c r="X42" s="78"/>
      <c r="Y42" s="79"/>
      <c r="Z42" s="77"/>
      <c r="AA42" s="78"/>
      <c r="AB42" s="79"/>
      <c r="AC42" s="78"/>
      <c r="AD42" s="79"/>
      <c r="AE42" s="77"/>
    </row>
    <row r="43" spans="2:31">
      <c r="B43" s="71"/>
      <c r="C43" s="60"/>
      <c r="D43" s="65" t="s">
        <v>134</v>
      </c>
      <c r="E43" s="60"/>
      <c r="F43" s="77"/>
      <c r="G43" s="78"/>
      <c r="H43" s="79"/>
      <c r="I43" s="78"/>
      <c r="J43" s="80"/>
      <c r="K43" s="77"/>
      <c r="L43" s="78"/>
      <c r="M43" s="79"/>
      <c r="N43" s="78"/>
      <c r="O43" s="80"/>
      <c r="P43" s="77"/>
      <c r="Q43" s="78"/>
      <c r="R43" s="79"/>
      <c r="S43" s="78"/>
      <c r="T43" s="80"/>
      <c r="U43" s="81"/>
      <c r="V43" s="78"/>
      <c r="W43" s="79"/>
      <c r="X43" s="78"/>
      <c r="Y43" s="79"/>
      <c r="Z43" s="77"/>
      <c r="AA43" s="78"/>
      <c r="AB43" s="79"/>
      <c r="AC43" s="78"/>
      <c r="AD43" s="79"/>
      <c r="AE43" s="77"/>
    </row>
    <row r="44" spans="2:31">
      <c r="B44" s="71"/>
      <c r="C44" s="60"/>
      <c r="D44" s="65"/>
      <c r="E44" s="60" t="s">
        <v>135</v>
      </c>
      <c r="F44" s="72">
        <v>5119.7</v>
      </c>
      <c r="G44" s="73">
        <v>0</v>
      </c>
      <c r="H44" s="74">
        <v>0</v>
      </c>
      <c r="I44" s="73">
        <v>120</v>
      </c>
      <c r="J44" s="76">
        <v>0</v>
      </c>
      <c r="K44" s="72">
        <v>5239.7</v>
      </c>
      <c r="L44" s="73">
        <v>0</v>
      </c>
      <c r="M44" s="74">
        <v>11</v>
      </c>
      <c r="N44" s="73">
        <v>54.8</v>
      </c>
      <c r="O44" s="76">
        <v>11</v>
      </c>
      <c r="P44" s="72">
        <v>5294.5</v>
      </c>
      <c r="Q44" s="73">
        <v>0</v>
      </c>
      <c r="R44" s="74">
        <v>4.7</v>
      </c>
      <c r="S44" s="73">
        <v>66.900000000000006</v>
      </c>
      <c r="T44" s="76">
        <v>5</v>
      </c>
      <c r="U44" s="75">
        <v>5361.7</v>
      </c>
      <c r="V44" s="73">
        <v>0</v>
      </c>
      <c r="W44" s="74">
        <v>0</v>
      </c>
      <c r="X44" s="73">
        <v>51</v>
      </c>
      <c r="Y44" s="74">
        <v>0</v>
      </c>
      <c r="Z44" s="72">
        <v>5412.7</v>
      </c>
      <c r="AA44" s="73">
        <v>0</v>
      </c>
      <c r="AB44" s="74">
        <v>0</v>
      </c>
      <c r="AC44" s="73">
        <v>49</v>
      </c>
      <c r="AD44" s="74">
        <v>0</v>
      </c>
      <c r="AE44" s="72">
        <v>5461.7</v>
      </c>
    </row>
    <row r="45" spans="2:31">
      <c r="B45" s="71"/>
      <c r="C45" s="60"/>
      <c r="D45" s="65"/>
      <c r="E45" s="60" t="s">
        <v>136</v>
      </c>
      <c r="F45" s="72">
        <v>0</v>
      </c>
      <c r="G45" s="73">
        <v>0</v>
      </c>
      <c r="H45" s="74">
        <v>0</v>
      </c>
      <c r="I45" s="73" t="s">
        <v>1023</v>
      </c>
      <c r="J45" s="76">
        <v>0</v>
      </c>
      <c r="K45" s="72">
        <v>0</v>
      </c>
      <c r="L45" s="73">
        <v>0</v>
      </c>
      <c r="M45" s="74">
        <v>0</v>
      </c>
      <c r="N45" s="73" t="s">
        <v>1023</v>
      </c>
      <c r="O45" s="76">
        <v>0</v>
      </c>
      <c r="P45" s="72">
        <v>0</v>
      </c>
      <c r="Q45" s="73">
        <v>0</v>
      </c>
      <c r="R45" s="74">
        <v>0</v>
      </c>
      <c r="S45" s="73" t="s">
        <v>1023</v>
      </c>
      <c r="T45" s="76">
        <v>0</v>
      </c>
      <c r="U45" s="75">
        <v>0</v>
      </c>
      <c r="V45" s="73">
        <v>0</v>
      </c>
      <c r="W45" s="74">
        <v>0</v>
      </c>
      <c r="X45" s="73">
        <v>0</v>
      </c>
      <c r="Y45" s="74">
        <v>0</v>
      </c>
      <c r="Z45" s="72">
        <v>0</v>
      </c>
      <c r="AA45" s="73">
        <v>0</v>
      </c>
      <c r="AB45" s="74">
        <v>0</v>
      </c>
      <c r="AC45" s="73">
        <v>0</v>
      </c>
      <c r="AD45" s="74">
        <v>0</v>
      </c>
      <c r="AE45" s="72">
        <v>0</v>
      </c>
    </row>
    <row r="46" spans="2:31">
      <c r="B46" s="71"/>
      <c r="C46" s="60"/>
      <c r="D46" s="65"/>
      <c r="E46" s="60"/>
      <c r="F46" s="77"/>
      <c r="G46" s="78"/>
      <c r="H46" s="79"/>
      <c r="I46" s="78"/>
      <c r="J46" s="80"/>
      <c r="K46" s="77"/>
      <c r="L46" s="78"/>
      <c r="M46" s="79"/>
      <c r="N46" s="78"/>
      <c r="O46" s="80"/>
      <c r="P46" s="77"/>
      <c r="Q46" s="78"/>
      <c r="R46" s="79"/>
      <c r="S46" s="78"/>
      <c r="T46" s="80"/>
      <c r="U46" s="81"/>
      <c r="V46" s="78"/>
      <c r="W46" s="79"/>
      <c r="X46" s="78"/>
      <c r="Y46" s="79"/>
      <c r="Z46" s="77"/>
      <c r="AA46" s="78"/>
      <c r="AB46" s="79"/>
      <c r="AC46" s="78"/>
      <c r="AD46" s="79"/>
      <c r="AE46" s="77"/>
    </row>
    <row r="47" spans="2:31">
      <c r="B47" s="71"/>
      <c r="C47" s="60"/>
      <c r="D47" s="65" t="s">
        <v>137</v>
      </c>
      <c r="E47" s="60"/>
      <c r="F47" s="77"/>
      <c r="G47" s="78"/>
      <c r="H47" s="79"/>
      <c r="I47" s="78"/>
      <c r="J47" s="80"/>
      <c r="K47" s="77"/>
      <c r="L47" s="78"/>
      <c r="M47" s="79"/>
      <c r="N47" s="78"/>
      <c r="O47" s="80"/>
      <c r="P47" s="77"/>
      <c r="Q47" s="78"/>
      <c r="R47" s="79"/>
      <c r="S47" s="78"/>
      <c r="T47" s="80"/>
      <c r="U47" s="81"/>
      <c r="V47" s="78"/>
      <c r="W47" s="79"/>
      <c r="X47" s="78"/>
      <c r="Y47" s="79"/>
      <c r="Z47" s="77"/>
      <c r="AA47" s="78"/>
      <c r="AB47" s="79"/>
      <c r="AC47" s="78"/>
      <c r="AD47" s="79"/>
      <c r="AE47" s="77"/>
    </row>
    <row r="48" spans="2:31">
      <c r="B48" s="71"/>
      <c r="C48" s="60"/>
      <c r="D48" s="65"/>
      <c r="E48" s="60" t="s">
        <v>138</v>
      </c>
      <c r="F48" s="72">
        <v>5</v>
      </c>
      <c r="G48" s="73">
        <v>0</v>
      </c>
      <c r="H48" s="74">
        <v>0</v>
      </c>
      <c r="I48" s="73" t="s">
        <v>1023</v>
      </c>
      <c r="J48" s="76">
        <v>0</v>
      </c>
      <c r="K48" s="72">
        <v>5</v>
      </c>
      <c r="L48" s="73">
        <v>0</v>
      </c>
      <c r="M48" s="74">
        <v>0</v>
      </c>
      <c r="N48" s="73" t="s">
        <v>1023</v>
      </c>
      <c r="O48" s="76">
        <v>0</v>
      </c>
      <c r="P48" s="72">
        <v>5</v>
      </c>
      <c r="Q48" s="73">
        <v>0</v>
      </c>
      <c r="R48" s="74">
        <v>0</v>
      </c>
      <c r="S48" s="73" t="s">
        <v>1023</v>
      </c>
      <c r="T48" s="76">
        <v>0</v>
      </c>
      <c r="U48" s="75">
        <v>5</v>
      </c>
      <c r="V48" s="73">
        <v>0</v>
      </c>
      <c r="W48" s="74">
        <v>0</v>
      </c>
      <c r="X48" s="73">
        <v>0</v>
      </c>
      <c r="Y48" s="74">
        <v>0</v>
      </c>
      <c r="Z48" s="72">
        <v>5</v>
      </c>
      <c r="AA48" s="73">
        <v>0</v>
      </c>
      <c r="AB48" s="74">
        <v>0</v>
      </c>
      <c r="AC48" s="73">
        <v>0</v>
      </c>
      <c r="AD48" s="74">
        <v>0</v>
      </c>
      <c r="AE48" s="72">
        <v>5</v>
      </c>
    </row>
    <row r="49" spans="2:31">
      <c r="B49" s="71"/>
      <c r="C49" s="60"/>
      <c r="D49" s="65"/>
      <c r="E49" s="60"/>
      <c r="F49" s="77"/>
      <c r="G49" s="78"/>
      <c r="H49" s="79"/>
      <c r="I49" s="78"/>
      <c r="J49" s="80"/>
      <c r="K49" s="77"/>
      <c r="L49" s="78"/>
      <c r="M49" s="79"/>
      <c r="N49" s="78"/>
      <c r="O49" s="80"/>
      <c r="P49" s="77"/>
      <c r="Q49" s="78"/>
      <c r="R49" s="79"/>
      <c r="S49" s="78"/>
      <c r="T49" s="80"/>
      <c r="U49" s="81"/>
      <c r="V49" s="78"/>
      <c r="W49" s="79"/>
      <c r="X49" s="78"/>
      <c r="Y49" s="79"/>
      <c r="Z49" s="77"/>
      <c r="AA49" s="78"/>
      <c r="AB49" s="79"/>
      <c r="AC49" s="78"/>
      <c r="AD49" s="79"/>
      <c r="AE49" s="77"/>
    </row>
    <row r="50" spans="2:31">
      <c r="B50" s="71"/>
      <c r="C50" s="60"/>
      <c r="D50" s="65" t="s">
        <v>120</v>
      </c>
      <c r="E50" s="60"/>
      <c r="F50" s="77"/>
      <c r="G50" s="78"/>
      <c r="H50" s="79"/>
      <c r="I50" s="78"/>
      <c r="J50" s="80"/>
      <c r="K50" s="77"/>
      <c r="L50" s="78"/>
      <c r="M50" s="79"/>
      <c r="N50" s="78"/>
      <c r="O50" s="80"/>
      <c r="P50" s="77"/>
      <c r="Q50" s="78"/>
      <c r="R50" s="79"/>
      <c r="S50" s="78"/>
      <c r="T50" s="80"/>
      <c r="U50" s="81"/>
      <c r="V50" s="78"/>
      <c r="W50" s="79"/>
      <c r="X50" s="78"/>
      <c r="Y50" s="79"/>
      <c r="Z50" s="77"/>
      <c r="AA50" s="78"/>
      <c r="AB50" s="79"/>
      <c r="AC50" s="78"/>
      <c r="AD50" s="79"/>
      <c r="AE50" s="77"/>
    </row>
    <row r="51" spans="2:31">
      <c r="B51" s="71"/>
      <c r="C51" s="60"/>
      <c r="D51" s="65"/>
      <c r="E51" s="60" t="s">
        <v>139</v>
      </c>
      <c r="F51" s="72">
        <v>615</v>
      </c>
      <c r="G51" s="73">
        <v>0</v>
      </c>
      <c r="H51" s="74">
        <v>48</v>
      </c>
      <c r="I51" s="73">
        <v>0</v>
      </c>
      <c r="J51" s="76">
        <v>196</v>
      </c>
      <c r="K51" s="72">
        <v>763</v>
      </c>
      <c r="L51" s="73">
        <v>0</v>
      </c>
      <c r="M51" s="74">
        <v>55</v>
      </c>
      <c r="N51" s="73">
        <v>0</v>
      </c>
      <c r="O51" s="76">
        <v>119</v>
      </c>
      <c r="P51" s="72">
        <v>827</v>
      </c>
      <c r="Q51" s="73">
        <v>0</v>
      </c>
      <c r="R51" s="74">
        <v>64</v>
      </c>
      <c r="S51" s="73">
        <v>0</v>
      </c>
      <c r="T51" s="76">
        <v>150</v>
      </c>
      <c r="U51" s="75">
        <v>913</v>
      </c>
      <c r="V51" s="73">
        <v>0</v>
      </c>
      <c r="W51" s="74">
        <v>100</v>
      </c>
      <c r="X51" s="73">
        <v>0</v>
      </c>
      <c r="Y51" s="74">
        <v>100</v>
      </c>
      <c r="Z51" s="72">
        <v>913</v>
      </c>
      <c r="AA51" s="73">
        <v>0</v>
      </c>
      <c r="AB51" s="74">
        <v>43</v>
      </c>
      <c r="AC51" s="73">
        <v>0</v>
      </c>
      <c r="AD51" s="74">
        <v>43</v>
      </c>
      <c r="AE51" s="72">
        <v>913</v>
      </c>
    </row>
    <row r="52" spans="2:31">
      <c r="B52" s="71"/>
      <c r="C52" s="60"/>
      <c r="D52" s="65"/>
      <c r="E52" s="60" t="s">
        <v>140</v>
      </c>
      <c r="F52" s="72">
        <v>2940</v>
      </c>
      <c r="G52" s="73">
        <v>0</v>
      </c>
      <c r="H52" s="74">
        <v>24</v>
      </c>
      <c r="I52" s="73">
        <v>15</v>
      </c>
      <c r="J52" s="76">
        <v>36</v>
      </c>
      <c r="K52" s="72">
        <v>2967</v>
      </c>
      <c r="L52" s="73">
        <v>7</v>
      </c>
      <c r="M52" s="74">
        <v>43</v>
      </c>
      <c r="N52" s="73">
        <v>22</v>
      </c>
      <c r="O52" s="76">
        <v>33</v>
      </c>
      <c r="P52" s="72">
        <v>2972</v>
      </c>
      <c r="Q52" s="73">
        <v>0</v>
      </c>
      <c r="R52" s="74">
        <v>43</v>
      </c>
      <c r="S52" s="73">
        <v>13</v>
      </c>
      <c r="T52" s="76">
        <v>50</v>
      </c>
      <c r="U52" s="75">
        <v>2992</v>
      </c>
      <c r="V52" s="73">
        <v>3</v>
      </c>
      <c r="W52" s="74">
        <v>50</v>
      </c>
      <c r="X52" s="73">
        <v>15</v>
      </c>
      <c r="Y52" s="74">
        <v>50</v>
      </c>
      <c r="Z52" s="72">
        <v>3004</v>
      </c>
      <c r="AA52" s="73">
        <v>3</v>
      </c>
      <c r="AB52" s="74">
        <v>50</v>
      </c>
      <c r="AC52" s="73">
        <v>14</v>
      </c>
      <c r="AD52" s="74">
        <v>50</v>
      </c>
      <c r="AE52" s="72">
        <v>3015</v>
      </c>
    </row>
    <row r="53" spans="2:31">
      <c r="B53" s="71"/>
      <c r="C53" s="60"/>
      <c r="D53" s="65"/>
      <c r="E53" s="60" t="s">
        <v>141</v>
      </c>
      <c r="F53" s="72">
        <v>138</v>
      </c>
      <c r="G53" s="73">
        <v>0</v>
      </c>
      <c r="H53" s="74">
        <v>3</v>
      </c>
      <c r="I53" s="73">
        <v>0</v>
      </c>
      <c r="J53" s="76">
        <v>15</v>
      </c>
      <c r="K53" s="72">
        <v>150</v>
      </c>
      <c r="L53" s="73">
        <v>0</v>
      </c>
      <c r="M53" s="74">
        <v>2</v>
      </c>
      <c r="N53" s="73">
        <v>0</v>
      </c>
      <c r="O53" s="76">
        <v>14</v>
      </c>
      <c r="P53" s="72">
        <v>162</v>
      </c>
      <c r="Q53" s="73">
        <v>8</v>
      </c>
      <c r="R53" s="74">
        <v>3</v>
      </c>
      <c r="S53" s="73">
        <v>0</v>
      </c>
      <c r="T53" s="76">
        <v>3</v>
      </c>
      <c r="U53" s="75">
        <v>154</v>
      </c>
      <c r="V53" s="73">
        <v>3</v>
      </c>
      <c r="W53" s="74">
        <v>100</v>
      </c>
      <c r="X53" s="73">
        <v>0</v>
      </c>
      <c r="Y53" s="74">
        <v>100</v>
      </c>
      <c r="Z53" s="72">
        <v>151</v>
      </c>
      <c r="AA53" s="73">
        <v>3</v>
      </c>
      <c r="AB53" s="74">
        <v>43</v>
      </c>
      <c r="AC53" s="73">
        <v>0</v>
      </c>
      <c r="AD53" s="74">
        <v>43</v>
      </c>
      <c r="AE53" s="72">
        <v>148</v>
      </c>
    </row>
    <row r="54" spans="2:31">
      <c r="B54" s="71"/>
      <c r="C54" s="60"/>
      <c r="D54" s="65"/>
      <c r="E54" s="60" t="s">
        <v>142</v>
      </c>
      <c r="F54" s="72">
        <v>2496</v>
      </c>
      <c r="G54" s="73">
        <v>14</v>
      </c>
      <c r="H54" s="74">
        <v>18</v>
      </c>
      <c r="I54" s="73">
        <v>4</v>
      </c>
      <c r="J54" s="76">
        <v>18</v>
      </c>
      <c r="K54" s="72">
        <v>2486</v>
      </c>
      <c r="L54" s="73">
        <v>48</v>
      </c>
      <c r="M54" s="74">
        <v>26</v>
      </c>
      <c r="N54" s="73">
        <v>5</v>
      </c>
      <c r="O54" s="76">
        <v>25</v>
      </c>
      <c r="P54" s="72">
        <v>2442</v>
      </c>
      <c r="Q54" s="73">
        <v>50</v>
      </c>
      <c r="R54" s="74">
        <v>26</v>
      </c>
      <c r="S54" s="73">
        <v>8</v>
      </c>
      <c r="T54" s="76">
        <v>26</v>
      </c>
      <c r="U54" s="75">
        <v>2400</v>
      </c>
      <c r="V54" s="73">
        <v>41</v>
      </c>
      <c r="W54" s="74">
        <v>25</v>
      </c>
      <c r="X54" s="73">
        <v>6</v>
      </c>
      <c r="Y54" s="74">
        <v>25</v>
      </c>
      <c r="Z54" s="72">
        <v>2365</v>
      </c>
      <c r="AA54" s="73">
        <v>40</v>
      </c>
      <c r="AB54" s="74">
        <v>50</v>
      </c>
      <c r="AC54" s="73">
        <v>5</v>
      </c>
      <c r="AD54" s="74">
        <v>50</v>
      </c>
      <c r="AE54" s="72">
        <v>2330</v>
      </c>
    </row>
    <row r="55" spans="2:31">
      <c r="B55" s="71"/>
      <c r="C55" s="60"/>
      <c r="D55" s="65"/>
      <c r="E55" s="60" t="s">
        <v>143</v>
      </c>
      <c r="F55" s="72">
        <v>7060</v>
      </c>
      <c r="G55" s="73">
        <v>0</v>
      </c>
      <c r="H55" s="74">
        <v>49</v>
      </c>
      <c r="I55" s="73">
        <v>83</v>
      </c>
      <c r="J55" s="76">
        <v>72</v>
      </c>
      <c r="K55" s="72">
        <v>7166</v>
      </c>
      <c r="L55" s="73">
        <v>0</v>
      </c>
      <c r="M55" s="74">
        <v>72</v>
      </c>
      <c r="N55" s="73">
        <v>87</v>
      </c>
      <c r="O55" s="76">
        <v>73</v>
      </c>
      <c r="P55" s="72">
        <v>7254</v>
      </c>
      <c r="Q55" s="73">
        <v>5</v>
      </c>
      <c r="R55" s="74">
        <v>100</v>
      </c>
      <c r="S55" s="73">
        <v>114</v>
      </c>
      <c r="T55" s="76">
        <v>100</v>
      </c>
      <c r="U55" s="75">
        <v>7363</v>
      </c>
      <c r="V55" s="73">
        <v>2</v>
      </c>
      <c r="W55" s="74">
        <v>225</v>
      </c>
      <c r="X55" s="73">
        <v>85</v>
      </c>
      <c r="Y55" s="74">
        <v>225</v>
      </c>
      <c r="Z55" s="72">
        <v>7446</v>
      </c>
      <c r="AA55" s="73">
        <v>2</v>
      </c>
      <c r="AB55" s="74">
        <v>160</v>
      </c>
      <c r="AC55" s="73">
        <v>82</v>
      </c>
      <c r="AD55" s="74">
        <v>160</v>
      </c>
      <c r="AE55" s="72">
        <v>7526</v>
      </c>
    </row>
    <row r="56" spans="2:31">
      <c r="B56" s="71"/>
      <c r="C56" s="60"/>
      <c r="D56" s="65"/>
      <c r="E56" s="60" t="s">
        <v>144</v>
      </c>
      <c r="F56" s="72">
        <v>5011</v>
      </c>
      <c r="G56" s="73">
        <v>0</v>
      </c>
      <c r="H56" s="74">
        <v>93</v>
      </c>
      <c r="I56" s="73">
        <v>21</v>
      </c>
      <c r="J56" s="76">
        <v>252</v>
      </c>
      <c r="K56" s="72">
        <v>5191</v>
      </c>
      <c r="L56" s="73">
        <v>0</v>
      </c>
      <c r="M56" s="74">
        <v>36</v>
      </c>
      <c r="N56" s="73">
        <v>24</v>
      </c>
      <c r="O56" s="76">
        <v>305</v>
      </c>
      <c r="P56" s="72">
        <v>5484</v>
      </c>
      <c r="Q56" s="73">
        <v>0</v>
      </c>
      <c r="R56" s="74">
        <v>65</v>
      </c>
      <c r="S56" s="73">
        <v>20</v>
      </c>
      <c r="T56" s="76">
        <v>227</v>
      </c>
      <c r="U56" s="75">
        <v>5666</v>
      </c>
      <c r="V56" s="73">
        <v>0</v>
      </c>
      <c r="W56" s="74">
        <v>0</v>
      </c>
      <c r="X56" s="73">
        <v>18</v>
      </c>
      <c r="Y56" s="74">
        <v>0</v>
      </c>
      <c r="Z56" s="72">
        <v>5684</v>
      </c>
      <c r="AA56" s="73">
        <v>0</v>
      </c>
      <c r="AB56" s="74">
        <v>0</v>
      </c>
      <c r="AC56" s="73">
        <v>18</v>
      </c>
      <c r="AD56" s="74">
        <v>0</v>
      </c>
      <c r="AE56" s="72">
        <v>5702</v>
      </c>
    </row>
    <row r="57" spans="2:31">
      <c r="B57" s="71"/>
      <c r="C57" s="60"/>
      <c r="D57" s="65"/>
      <c r="E57" s="60" t="s">
        <v>145</v>
      </c>
      <c r="F57" s="72">
        <v>1</v>
      </c>
      <c r="G57" s="73">
        <v>0</v>
      </c>
      <c r="H57" s="74">
        <v>0</v>
      </c>
      <c r="I57" s="73">
        <v>0</v>
      </c>
      <c r="J57" s="76">
        <v>0</v>
      </c>
      <c r="K57" s="72">
        <v>1</v>
      </c>
      <c r="L57" s="73">
        <v>0</v>
      </c>
      <c r="M57" s="74">
        <v>0</v>
      </c>
      <c r="N57" s="73">
        <v>0</v>
      </c>
      <c r="O57" s="76">
        <v>0</v>
      </c>
      <c r="P57" s="72">
        <v>1</v>
      </c>
      <c r="Q57" s="73">
        <v>0</v>
      </c>
      <c r="R57" s="74">
        <v>0</v>
      </c>
      <c r="S57" s="73">
        <v>0</v>
      </c>
      <c r="T57" s="76">
        <v>0</v>
      </c>
      <c r="U57" s="75">
        <v>1</v>
      </c>
      <c r="V57" s="73">
        <v>0</v>
      </c>
      <c r="W57" s="74">
        <v>0</v>
      </c>
      <c r="X57" s="73">
        <v>0</v>
      </c>
      <c r="Y57" s="74">
        <v>0</v>
      </c>
      <c r="Z57" s="72">
        <v>1</v>
      </c>
      <c r="AA57" s="73">
        <v>0</v>
      </c>
      <c r="AB57" s="74">
        <v>0</v>
      </c>
      <c r="AC57" s="73">
        <v>0</v>
      </c>
      <c r="AD57" s="74">
        <v>0</v>
      </c>
      <c r="AE57" s="72">
        <v>1</v>
      </c>
    </row>
    <row r="58" spans="2:31">
      <c r="B58" s="71"/>
      <c r="C58" s="60"/>
      <c r="D58" s="60"/>
      <c r="E58" s="60" t="s">
        <v>146</v>
      </c>
      <c r="F58" s="72">
        <v>0</v>
      </c>
      <c r="G58" s="73">
        <v>0</v>
      </c>
      <c r="H58" s="74">
        <v>0</v>
      </c>
      <c r="I58" s="73">
        <v>0</v>
      </c>
      <c r="J58" s="76">
        <v>0</v>
      </c>
      <c r="K58" s="72">
        <v>0</v>
      </c>
      <c r="L58" s="73">
        <v>0</v>
      </c>
      <c r="M58" s="74">
        <v>0</v>
      </c>
      <c r="N58" s="73">
        <v>0</v>
      </c>
      <c r="O58" s="76">
        <v>0</v>
      </c>
      <c r="P58" s="72">
        <v>0</v>
      </c>
      <c r="Q58" s="73">
        <v>0</v>
      </c>
      <c r="R58" s="74">
        <v>0</v>
      </c>
      <c r="S58" s="73">
        <v>0</v>
      </c>
      <c r="T58" s="76">
        <v>0</v>
      </c>
      <c r="U58" s="75">
        <v>0</v>
      </c>
      <c r="V58" s="73">
        <v>0</v>
      </c>
      <c r="W58" s="74">
        <v>0</v>
      </c>
      <c r="X58" s="73">
        <v>0</v>
      </c>
      <c r="Y58" s="74">
        <v>0</v>
      </c>
      <c r="Z58" s="72">
        <v>0</v>
      </c>
      <c r="AA58" s="73">
        <v>0</v>
      </c>
      <c r="AB58" s="74">
        <v>0</v>
      </c>
      <c r="AC58" s="73">
        <v>0</v>
      </c>
      <c r="AD58" s="74">
        <v>0</v>
      </c>
      <c r="AE58" s="72">
        <v>0</v>
      </c>
    </row>
    <row r="59" spans="2:31">
      <c r="B59" s="71"/>
      <c r="C59" s="60"/>
      <c r="D59" s="60"/>
      <c r="E59" s="60" t="s">
        <v>147</v>
      </c>
      <c r="F59" s="72">
        <v>0</v>
      </c>
      <c r="G59" s="73">
        <v>0</v>
      </c>
      <c r="H59" s="74">
        <v>0</v>
      </c>
      <c r="I59" s="73">
        <v>0</v>
      </c>
      <c r="J59" s="76">
        <v>0</v>
      </c>
      <c r="K59" s="72">
        <v>0</v>
      </c>
      <c r="L59" s="73">
        <v>0</v>
      </c>
      <c r="M59" s="74">
        <v>0</v>
      </c>
      <c r="N59" s="73">
        <v>0</v>
      </c>
      <c r="O59" s="76">
        <v>0</v>
      </c>
      <c r="P59" s="72">
        <v>0</v>
      </c>
      <c r="Q59" s="73">
        <v>0</v>
      </c>
      <c r="R59" s="74">
        <v>0</v>
      </c>
      <c r="S59" s="73">
        <v>0</v>
      </c>
      <c r="T59" s="76">
        <v>0</v>
      </c>
      <c r="U59" s="75">
        <v>0</v>
      </c>
      <c r="V59" s="73">
        <v>0</v>
      </c>
      <c r="W59" s="74">
        <v>0</v>
      </c>
      <c r="X59" s="73">
        <v>0</v>
      </c>
      <c r="Y59" s="74">
        <v>0</v>
      </c>
      <c r="Z59" s="72">
        <v>0</v>
      </c>
      <c r="AA59" s="73">
        <v>0</v>
      </c>
      <c r="AB59" s="74">
        <v>0</v>
      </c>
      <c r="AC59" s="73">
        <v>0</v>
      </c>
      <c r="AD59" s="74">
        <v>0</v>
      </c>
      <c r="AE59" s="72">
        <v>0</v>
      </c>
    </row>
    <row r="60" spans="2:31">
      <c r="B60" s="71"/>
      <c r="C60" s="60"/>
      <c r="D60" s="65"/>
      <c r="E60" s="60" t="s">
        <v>148</v>
      </c>
      <c r="F60" s="72">
        <v>0</v>
      </c>
      <c r="G60" s="73">
        <v>0</v>
      </c>
      <c r="H60" s="74">
        <v>0</v>
      </c>
      <c r="I60" s="73">
        <v>0</v>
      </c>
      <c r="J60" s="76">
        <v>0</v>
      </c>
      <c r="K60" s="72">
        <v>0</v>
      </c>
      <c r="L60" s="73">
        <v>0</v>
      </c>
      <c r="M60" s="74">
        <v>0</v>
      </c>
      <c r="N60" s="73">
        <v>0</v>
      </c>
      <c r="O60" s="76">
        <v>0</v>
      </c>
      <c r="P60" s="72">
        <v>0</v>
      </c>
      <c r="Q60" s="73">
        <v>0</v>
      </c>
      <c r="R60" s="74">
        <v>0</v>
      </c>
      <c r="S60" s="73">
        <v>0</v>
      </c>
      <c r="T60" s="76">
        <v>0</v>
      </c>
      <c r="U60" s="75">
        <v>0</v>
      </c>
      <c r="V60" s="73">
        <v>0</v>
      </c>
      <c r="W60" s="74">
        <v>0</v>
      </c>
      <c r="X60" s="73">
        <v>0</v>
      </c>
      <c r="Y60" s="74">
        <v>0</v>
      </c>
      <c r="Z60" s="72">
        <v>0</v>
      </c>
      <c r="AA60" s="73">
        <v>0</v>
      </c>
      <c r="AB60" s="74">
        <v>0</v>
      </c>
      <c r="AC60" s="73">
        <v>0</v>
      </c>
      <c r="AD60" s="74">
        <v>0</v>
      </c>
      <c r="AE60" s="72">
        <v>0</v>
      </c>
    </row>
    <row r="61" spans="2:31">
      <c r="B61" s="71"/>
      <c r="C61" s="60"/>
      <c r="D61" s="65"/>
      <c r="E61" s="60" t="s">
        <v>149</v>
      </c>
      <c r="F61" s="72">
        <v>0</v>
      </c>
      <c r="G61" s="73">
        <v>0</v>
      </c>
      <c r="H61" s="74">
        <v>0</v>
      </c>
      <c r="I61" s="73">
        <v>0</v>
      </c>
      <c r="J61" s="76">
        <v>0</v>
      </c>
      <c r="K61" s="72">
        <v>0</v>
      </c>
      <c r="L61" s="73">
        <v>0</v>
      </c>
      <c r="M61" s="74">
        <v>0</v>
      </c>
      <c r="N61" s="73">
        <v>0</v>
      </c>
      <c r="O61" s="76">
        <v>0</v>
      </c>
      <c r="P61" s="72">
        <v>0</v>
      </c>
      <c r="Q61" s="73">
        <v>0</v>
      </c>
      <c r="R61" s="74">
        <v>0</v>
      </c>
      <c r="S61" s="73">
        <v>0</v>
      </c>
      <c r="T61" s="76">
        <v>0</v>
      </c>
      <c r="U61" s="75">
        <v>0</v>
      </c>
      <c r="V61" s="73">
        <v>0</v>
      </c>
      <c r="W61" s="74">
        <v>0</v>
      </c>
      <c r="X61" s="73">
        <v>0</v>
      </c>
      <c r="Y61" s="74">
        <v>0</v>
      </c>
      <c r="Z61" s="72">
        <v>0</v>
      </c>
      <c r="AA61" s="73">
        <v>0</v>
      </c>
      <c r="AB61" s="74">
        <v>0</v>
      </c>
      <c r="AC61" s="73">
        <v>0</v>
      </c>
      <c r="AD61" s="74">
        <v>0</v>
      </c>
      <c r="AE61" s="72">
        <v>0</v>
      </c>
    </row>
    <row r="62" spans="2:31">
      <c r="B62" s="71"/>
      <c r="C62" s="60"/>
      <c r="D62" s="65"/>
      <c r="E62" s="60" t="s">
        <v>150</v>
      </c>
      <c r="F62" s="72">
        <v>0</v>
      </c>
      <c r="G62" s="73">
        <v>0</v>
      </c>
      <c r="H62" s="74">
        <v>0</v>
      </c>
      <c r="I62" s="73">
        <v>0</v>
      </c>
      <c r="J62" s="76">
        <v>0</v>
      </c>
      <c r="K62" s="72">
        <v>0</v>
      </c>
      <c r="L62" s="73">
        <v>0</v>
      </c>
      <c r="M62" s="74">
        <v>0</v>
      </c>
      <c r="N62" s="73">
        <v>0</v>
      </c>
      <c r="O62" s="76">
        <v>0</v>
      </c>
      <c r="P62" s="72">
        <v>0</v>
      </c>
      <c r="Q62" s="73">
        <v>0</v>
      </c>
      <c r="R62" s="74">
        <v>0</v>
      </c>
      <c r="S62" s="73">
        <v>0</v>
      </c>
      <c r="T62" s="76">
        <v>0</v>
      </c>
      <c r="U62" s="75">
        <v>0</v>
      </c>
      <c r="V62" s="73">
        <v>0</v>
      </c>
      <c r="W62" s="74">
        <v>0</v>
      </c>
      <c r="X62" s="73">
        <v>0</v>
      </c>
      <c r="Y62" s="74">
        <v>0</v>
      </c>
      <c r="Z62" s="72">
        <v>0</v>
      </c>
      <c r="AA62" s="73">
        <v>0</v>
      </c>
      <c r="AB62" s="74">
        <v>0</v>
      </c>
      <c r="AC62" s="73">
        <v>0</v>
      </c>
      <c r="AD62" s="74">
        <v>0</v>
      </c>
      <c r="AE62" s="72">
        <v>0</v>
      </c>
    </row>
    <row r="63" spans="2:31">
      <c r="B63" s="71"/>
      <c r="C63" s="60"/>
      <c r="D63" s="65"/>
      <c r="E63" s="60" t="s">
        <v>151</v>
      </c>
      <c r="F63" s="72">
        <v>0</v>
      </c>
      <c r="G63" s="73">
        <v>0</v>
      </c>
      <c r="H63" s="74">
        <v>0</v>
      </c>
      <c r="I63" s="73">
        <v>0</v>
      </c>
      <c r="J63" s="76">
        <v>0</v>
      </c>
      <c r="K63" s="72">
        <v>0</v>
      </c>
      <c r="L63" s="73">
        <v>0</v>
      </c>
      <c r="M63" s="74">
        <v>0</v>
      </c>
      <c r="N63" s="73">
        <v>0</v>
      </c>
      <c r="O63" s="76">
        <v>0</v>
      </c>
      <c r="P63" s="72">
        <v>0</v>
      </c>
      <c r="Q63" s="73">
        <v>0</v>
      </c>
      <c r="R63" s="74">
        <v>0</v>
      </c>
      <c r="S63" s="73">
        <v>0</v>
      </c>
      <c r="T63" s="76">
        <v>0</v>
      </c>
      <c r="U63" s="75">
        <v>0</v>
      </c>
      <c r="V63" s="73">
        <v>0</v>
      </c>
      <c r="W63" s="74">
        <v>0</v>
      </c>
      <c r="X63" s="73">
        <v>0</v>
      </c>
      <c r="Y63" s="74">
        <v>0</v>
      </c>
      <c r="Z63" s="72">
        <v>0</v>
      </c>
      <c r="AA63" s="73">
        <v>0</v>
      </c>
      <c r="AB63" s="74">
        <v>0</v>
      </c>
      <c r="AC63" s="73">
        <v>0</v>
      </c>
      <c r="AD63" s="74">
        <v>0</v>
      </c>
      <c r="AE63" s="72">
        <v>0</v>
      </c>
    </row>
    <row r="64" spans="2:31">
      <c r="B64" s="71"/>
      <c r="C64" s="60"/>
      <c r="D64" s="65"/>
      <c r="E64" s="60" t="s">
        <v>152</v>
      </c>
      <c r="F64" s="72">
        <v>0</v>
      </c>
      <c r="G64" s="73">
        <v>0</v>
      </c>
      <c r="H64" s="74">
        <v>0</v>
      </c>
      <c r="I64" s="73">
        <v>0</v>
      </c>
      <c r="J64" s="76">
        <v>0</v>
      </c>
      <c r="K64" s="72">
        <v>0</v>
      </c>
      <c r="L64" s="73">
        <v>0</v>
      </c>
      <c r="M64" s="74">
        <v>0</v>
      </c>
      <c r="N64" s="73">
        <v>0</v>
      </c>
      <c r="O64" s="76">
        <v>0</v>
      </c>
      <c r="P64" s="72">
        <v>0</v>
      </c>
      <c r="Q64" s="73">
        <v>0</v>
      </c>
      <c r="R64" s="74">
        <v>0</v>
      </c>
      <c r="S64" s="73">
        <v>0</v>
      </c>
      <c r="T64" s="76">
        <v>0</v>
      </c>
      <c r="U64" s="75">
        <v>0</v>
      </c>
      <c r="V64" s="73">
        <v>0</v>
      </c>
      <c r="W64" s="74">
        <v>0</v>
      </c>
      <c r="X64" s="73">
        <v>0</v>
      </c>
      <c r="Y64" s="74">
        <v>0</v>
      </c>
      <c r="Z64" s="72">
        <v>0</v>
      </c>
      <c r="AA64" s="73">
        <v>0</v>
      </c>
      <c r="AB64" s="74">
        <v>0</v>
      </c>
      <c r="AC64" s="73">
        <v>0</v>
      </c>
      <c r="AD64" s="74">
        <v>0</v>
      </c>
      <c r="AE64" s="72">
        <v>0</v>
      </c>
    </row>
    <row r="65" spans="2:31">
      <c r="B65" s="71"/>
      <c r="C65" s="60"/>
      <c r="D65" s="65"/>
      <c r="E65" s="60"/>
      <c r="F65" s="77"/>
      <c r="G65" s="78"/>
      <c r="H65" s="79"/>
      <c r="I65" s="78"/>
      <c r="J65" s="80"/>
      <c r="K65" s="77"/>
      <c r="L65" s="78"/>
      <c r="M65" s="79"/>
      <c r="N65" s="78"/>
      <c r="O65" s="80"/>
      <c r="P65" s="77"/>
      <c r="Q65" s="78"/>
      <c r="R65" s="79"/>
      <c r="S65" s="78"/>
      <c r="T65" s="80"/>
      <c r="U65" s="81"/>
      <c r="V65" s="78"/>
      <c r="W65" s="79"/>
      <c r="X65" s="78"/>
      <c r="Y65" s="79"/>
      <c r="Z65" s="77"/>
      <c r="AA65" s="78"/>
      <c r="AB65" s="79"/>
      <c r="AC65" s="78"/>
      <c r="AD65" s="79"/>
      <c r="AE65" s="77"/>
    </row>
    <row r="66" spans="2:31">
      <c r="B66" s="71"/>
      <c r="C66" s="60"/>
      <c r="D66" s="65" t="s">
        <v>153</v>
      </c>
      <c r="E66" s="60"/>
      <c r="F66" s="77"/>
      <c r="G66" s="78"/>
      <c r="H66" s="79"/>
      <c r="I66" s="78"/>
      <c r="J66" s="80"/>
      <c r="K66" s="77"/>
      <c r="L66" s="78"/>
      <c r="M66" s="79"/>
      <c r="N66" s="78"/>
      <c r="O66" s="80"/>
      <c r="P66" s="77"/>
      <c r="Q66" s="78"/>
      <c r="R66" s="79"/>
      <c r="S66" s="78"/>
      <c r="T66" s="80"/>
      <c r="U66" s="81"/>
      <c r="V66" s="78"/>
      <c r="W66" s="79"/>
      <c r="X66" s="78"/>
      <c r="Y66" s="79"/>
      <c r="Z66" s="77"/>
      <c r="AA66" s="78"/>
      <c r="AB66" s="79"/>
      <c r="AC66" s="78"/>
      <c r="AD66" s="79"/>
      <c r="AE66" s="77"/>
    </row>
    <row r="67" spans="2:31">
      <c r="B67" s="71"/>
      <c r="C67" s="60"/>
      <c r="D67" s="65"/>
      <c r="E67" s="60" t="s">
        <v>154</v>
      </c>
      <c r="F67" s="72">
        <v>31144</v>
      </c>
      <c r="G67" s="73">
        <v>0</v>
      </c>
      <c r="H67" s="74">
        <v>511</v>
      </c>
      <c r="I67" s="73">
        <v>127</v>
      </c>
      <c r="J67" s="76">
        <v>513</v>
      </c>
      <c r="K67" s="72">
        <v>31273</v>
      </c>
      <c r="L67" s="73">
        <v>60</v>
      </c>
      <c r="M67" s="74">
        <v>559</v>
      </c>
      <c r="N67" s="73">
        <v>140</v>
      </c>
      <c r="O67" s="76">
        <v>537</v>
      </c>
      <c r="P67" s="72">
        <v>31331</v>
      </c>
      <c r="Q67" s="73">
        <v>51</v>
      </c>
      <c r="R67" s="74">
        <v>559</v>
      </c>
      <c r="S67" s="73">
        <v>130</v>
      </c>
      <c r="T67" s="76">
        <v>559</v>
      </c>
      <c r="U67" s="75">
        <v>31410</v>
      </c>
      <c r="V67" s="73">
        <v>47</v>
      </c>
      <c r="W67" s="74">
        <v>182</v>
      </c>
      <c r="X67" s="73">
        <v>114</v>
      </c>
      <c r="Y67" s="74">
        <v>182</v>
      </c>
      <c r="Z67" s="72">
        <v>31477</v>
      </c>
      <c r="AA67" s="73">
        <v>45</v>
      </c>
      <c r="AB67" s="74">
        <v>343</v>
      </c>
      <c r="AC67" s="73">
        <v>109</v>
      </c>
      <c r="AD67" s="74">
        <v>343</v>
      </c>
      <c r="AE67" s="72">
        <v>31541</v>
      </c>
    </row>
    <row r="68" spans="2:31">
      <c r="B68" s="71"/>
      <c r="C68" s="60"/>
      <c r="D68" s="65"/>
      <c r="E68" s="60" t="s">
        <v>155</v>
      </c>
      <c r="F68" s="72">
        <v>7770</v>
      </c>
      <c r="G68" s="73">
        <v>0</v>
      </c>
      <c r="H68" s="74">
        <v>46</v>
      </c>
      <c r="I68" s="73">
        <v>95</v>
      </c>
      <c r="J68" s="76">
        <v>69</v>
      </c>
      <c r="K68" s="72">
        <v>7888</v>
      </c>
      <c r="L68" s="73">
        <v>16</v>
      </c>
      <c r="M68" s="74">
        <v>87</v>
      </c>
      <c r="N68" s="73">
        <v>104</v>
      </c>
      <c r="O68" s="76">
        <v>72</v>
      </c>
      <c r="P68" s="72">
        <v>7961</v>
      </c>
      <c r="Q68" s="73">
        <v>21</v>
      </c>
      <c r="R68" s="74">
        <v>87</v>
      </c>
      <c r="S68" s="73">
        <v>114</v>
      </c>
      <c r="T68" s="76">
        <v>87</v>
      </c>
      <c r="U68" s="75">
        <v>8054</v>
      </c>
      <c r="V68" s="73">
        <v>16</v>
      </c>
      <c r="W68" s="74">
        <v>22</v>
      </c>
      <c r="X68" s="73">
        <v>92</v>
      </c>
      <c r="Y68" s="74">
        <v>22</v>
      </c>
      <c r="Z68" s="72">
        <v>8130</v>
      </c>
      <c r="AA68" s="73">
        <v>15</v>
      </c>
      <c r="AB68" s="74">
        <v>42</v>
      </c>
      <c r="AC68" s="73">
        <v>88</v>
      </c>
      <c r="AD68" s="74">
        <v>42</v>
      </c>
      <c r="AE68" s="72">
        <v>8203</v>
      </c>
    </row>
    <row r="69" spans="2:31">
      <c r="B69" s="71"/>
      <c r="C69" s="60"/>
      <c r="D69" s="65"/>
      <c r="E69" s="60" t="s">
        <v>156</v>
      </c>
      <c r="F69" s="72">
        <v>0</v>
      </c>
      <c r="G69" s="73">
        <v>0</v>
      </c>
      <c r="H69" s="74">
        <v>0</v>
      </c>
      <c r="I69" s="73">
        <v>0</v>
      </c>
      <c r="J69" s="76">
        <v>0</v>
      </c>
      <c r="K69" s="72">
        <v>0</v>
      </c>
      <c r="L69" s="73">
        <v>0</v>
      </c>
      <c r="M69" s="74">
        <v>0</v>
      </c>
      <c r="N69" s="73">
        <v>0</v>
      </c>
      <c r="O69" s="76">
        <v>0</v>
      </c>
      <c r="P69" s="72">
        <v>0</v>
      </c>
      <c r="Q69" s="73">
        <v>0</v>
      </c>
      <c r="R69" s="74">
        <v>0</v>
      </c>
      <c r="S69" s="73">
        <v>0</v>
      </c>
      <c r="T69" s="76">
        <v>0</v>
      </c>
      <c r="U69" s="75">
        <v>0</v>
      </c>
      <c r="V69" s="73">
        <v>0</v>
      </c>
      <c r="W69" s="74">
        <v>0</v>
      </c>
      <c r="X69" s="73">
        <v>0</v>
      </c>
      <c r="Y69" s="74">
        <v>0</v>
      </c>
      <c r="Z69" s="72">
        <v>0</v>
      </c>
      <c r="AA69" s="73">
        <v>0</v>
      </c>
      <c r="AB69" s="74">
        <v>0</v>
      </c>
      <c r="AC69" s="73">
        <v>0</v>
      </c>
      <c r="AD69" s="74">
        <v>0</v>
      </c>
      <c r="AE69" s="72">
        <v>0</v>
      </c>
    </row>
    <row r="70" spans="2:31">
      <c r="B70" s="71"/>
      <c r="C70" s="60"/>
      <c r="D70" s="65"/>
      <c r="E70" s="60" t="s">
        <v>157</v>
      </c>
      <c r="F70" s="72">
        <v>0</v>
      </c>
      <c r="G70" s="73">
        <v>0</v>
      </c>
      <c r="H70" s="74">
        <v>0</v>
      </c>
      <c r="I70" s="73">
        <v>0</v>
      </c>
      <c r="J70" s="76">
        <v>0</v>
      </c>
      <c r="K70" s="72">
        <v>0</v>
      </c>
      <c r="L70" s="73">
        <v>0</v>
      </c>
      <c r="M70" s="74">
        <v>0</v>
      </c>
      <c r="N70" s="73">
        <v>0</v>
      </c>
      <c r="O70" s="76">
        <v>0</v>
      </c>
      <c r="P70" s="72">
        <v>0</v>
      </c>
      <c r="Q70" s="73">
        <v>0</v>
      </c>
      <c r="R70" s="74">
        <v>0</v>
      </c>
      <c r="S70" s="73">
        <v>0</v>
      </c>
      <c r="T70" s="76">
        <v>0</v>
      </c>
      <c r="U70" s="75">
        <v>0</v>
      </c>
      <c r="V70" s="73">
        <v>0</v>
      </c>
      <c r="W70" s="74">
        <v>0</v>
      </c>
      <c r="X70" s="73">
        <v>0</v>
      </c>
      <c r="Y70" s="74">
        <v>0</v>
      </c>
      <c r="Z70" s="72">
        <v>0</v>
      </c>
      <c r="AA70" s="73">
        <v>0</v>
      </c>
      <c r="AB70" s="74">
        <v>0</v>
      </c>
      <c r="AC70" s="73">
        <v>0</v>
      </c>
      <c r="AD70" s="74">
        <v>0</v>
      </c>
      <c r="AE70" s="72">
        <v>0</v>
      </c>
    </row>
    <row r="71" spans="2:31" ht="13.5" thickBot="1">
      <c r="B71" s="82"/>
      <c r="C71" s="83"/>
      <c r="D71" s="83"/>
      <c r="E71" s="83"/>
      <c r="F71" s="84"/>
      <c r="G71" s="85"/>
      <c r="H71" s="86"/>
      <c r="I71" s="85"/>
      <c r="J71" s="87"/>
      <c r="K71" s="88"/>
      <c r="L71" s="85"/>
      <c r="M71" s="86"/>
      <c r="N71" s="85"/>
      <c r="O71" s="87"/>
      <c r="P71" s="88"/>
      <c r="Q71" s="85"/>
      <c r="R71" s="86"/>
      <c r="S71" s="85"/>
      <c r="T71" s="87"/>
      <c r="U71" s="89"/>
      <c r="V71" s="85"/>
      <c r="W71" s="86"/>
      <c r="X71" s="85"/>
      <c r="Y71" s="86"/>
      <c r="Z71" s="88"/>
      <c r="AA71" s="85"/>
      <c r="AB71" s="86"/>
      <c r="AC71" s="85"/>
      <c r="AD71" s="86"/>
      <c r="AE71" s="88"/>
    </row>
    <row r="72" spans="2:31">
      <c r="B72" s="90"/>
      <c r="C72" s="91" t="s">
        <v>158</v>
      </c>
      <c r="D72" s="91"/>
      <c r="E72" s="92"/>
      <c r="F72" s="93"/>
      <c r="G72" s="94"/>
      <c r="H72" s="95"/>
      <c r="I72" s="94"/>
      <c r="J72" s="96"/>
      <c r="K72" s="93"/>
      <c r="L72" s="94"/>
      <c r="M72" s="95"/>
      <c r="N72" s="94"/>
      <c r="O72" s="96"/>
      <c r="P72" s="93"/>
      <c r="Q72" s="94"/>
      <c r="R72" s="95"/>
      <c r="S72" s="94"/>
      <c r="T72" s="96"/>
      <c r="U72" s="97"/>
      <c r="V72" s="94"/>
      <c r="W72" s="95"/>
      <c r="X72" s="94"/>
      <c r="Y72" s="95"/>
      <c r="Z72" s="93"/>
      <c r="AA72" s="94"/>
      <c r="AB72" s="95"/>
      <c r="AC72" s="94"/>
      <c r="AD72" s="95"/>
      <c r="AE72" s="93"/>
    </row>
    <row r="73" spans="2:31">
      <c r="B73" s="71"/>
      <c r="C73" s="60"/>
      <c r="D73" s="65" t="s">
        <v>110</v>
      </c>
      <c r="E73" s="60"/>
      <c r="F73" s="77"/>
      <c r="G73" s="78"/>
      <c r="H73" s="79"/>
      <c r="I73" s="78"/>
      <c r="J73" s="80"/>
      <c r="K73" s="77"/>
      <c r="L73" s="78"/>
      <c r="M73" s="79"/>
      <c r="N73" s="78"/>
      <c r="O73" s="80"/>
      <c r="P73" s="77"/>
      <c r="Q73" s="78"/>
      <c r="R73" s="79"/>
      <c r="S73" s="78"/>
      <c r="T73" s="80"/>
      <c r="U73" s="81"/>
      <c r="V73" s="78"/>
      <c r="W73" s="79"/>
      <c r="X73" s="78"/>
      <c r="Y73" s="79"/>
      <c r="Z73" s="77"/>
      <c r="AA73" s="78"/>
      <c r="AB73" s="79"/>
      <c r="AC73" s="78"/>
      <c r="AD73" s="79"/>
      <c r="AE73" s="77"/>
    </row>
    <row r="74" spans="2:31">
      <c r="B74" s="71"/>
      <c r="C74" s="60"/>
      <c r="D74" s="60"/>
      <c r="E74" s="60" t="s">
        <v>159</v>
      </c>
      <c r="F74" s="72">
        <v>1196</v>
      </c>
      <c r="G74" s="73">
        <v>0</v>
      </c>
      <c r="H74" s="74">
        <v>5</v>
      </c>
      <c r="I74" s="73">
        <v>0</v>
      </c>
      <c r="J74" s="76">
        <v>5</v>
      </c>
      <c r="K74" s="72">
        <v>1196</v>
      </c>
      <c r="L74" s="73">
        <v>0</v>
      </c>
      <c r="M74" s="74">
        <v>20</v>
      </c>
      <c r="N74" s="73">
        <v>0</v>
      </c>
      <c r="O74" s="76">
        <v>14</v>
      </c>
      <c r="P74" s="72">
        <v>1190</v>
      </c>
      <c r="Q74" s="73">
        <v>0</v>
      </c>
      <c r="R74" s="74">
        <v>25</v>
      </c>
      <c r="S74" s="73">
        <v>0</v>
      </c>
      <c r="T74" s="76">
        <v>21</v>
      </c>
      <c r="U74" s="75">
        <v>1186</v>
      </c>
      <c r="V74" s="73">
        <v>0</v>
      </c>
      <c r="W74" s="74">
        <v>0</v>
      </c>
      <c r="X74" s="73">
        <v>0</v>
      </c>
      <c r="Y74" s="74">
        <v>0</v>
      </c>
      <c r="Z74" s="72">
        <v>1186</v>
      </c>
      <c r="AA74" s="73">
        <v>0</v>
      </c>
      <c r="AB74" s="74">
        <v>0</v>
      </c>
      <c r="AC74" s="73">
        <v>0</v>
      </c>
      <c r="AD74" s="74">
        <v>0</v>
      </c>
      <c r="AE74" s="72">
        <v>1186</v>
      </c>
    </row>
    <row r="75" spans="2:31">
      <c r="B75" s="71"/>
      <c r="C75" s="60"/>
      <c r="D75" s="65"/>
      <c r="E75" s="60" t="s">
        <v>160</v>
      </c>
      <c r="F75" s="72">
        <v>41</v>
      </c>
      <c r="G75" s="73">
        <v>0</v>
      </c>
      <c r="H75" s="74">
        <v>0</v>
      </c>
      <c r="I75" s="73">
        <v>0</v>
      </c>
      <c r="J75" s="76">
        <v>0</v>
      </c>
      <c r="K75" s="72">
        <v>41</v>
      </c>
      <c r="L75" s="73">
        <v>0</v>
      </c>
      <c r="M75" s="74">
        <v>0</v>
      </c>
      <c r="N75" s="73">
        <v>0</v>
      </c>
      <c r="O75" s="76">
        <v>0</v>
      </c>
      <c r="P75" s="72">
        <v>41</v>
      </c>
      <c r="Q75" s="73">
        <v>0</v>
      </c>
      <c r="R75" s="74">
        <v>0</v>
      </c>
      <c r="S75" s="73">
        <v>0</v>
      </c>
      <c r="T75" s="76">
        <v>0</v>
      </c>
      <c r="U75" s="75">
        <v>41</v>
      </c>
      <c r="V75" s="73">
        <v>0</v>
      </c>
      <c r="W75" s="74">
        <v>0</v>
      </c>
      <c r="X75" s="73">
        <v>0</v>
      </c>
      <c r="Y75" s="74">
        <v>0</v>
      </c>
      <c r="Z75" s="72">
        <v>41</v>
      </c>
      <c r="AA75" s="73">
        <v>0</v>
      </c>
      <c r="AB75" s="74">
        <v>0</v>
      </c>
      <c r="AC75" s="73">
        <v>0</v>
      </c>
      <c r="AD75" s="74">
        <v>0</v>
      </c>
      <c r="AE75" s="72">
        <v>41</v>
      </c>
    </row>
    <row r="76" spans="2:31">
      <c r="B76" s="71"/>
      <c r="C76" s="60"/>
      <c r="D76" s="65"/>
      <c r="E76" s="60" t="s">
        <v>161</v>
      </c>
      <c r="F76" s="72">
        <v>329</v>
      </c>
      <c r="G76" s="73">
        <v>0</v>
      </c>
      <c r="H76" s="74">
        <v>0</v>
      </c>
      <c r="I76" s="73">
        <v>0</v>
      </c>
      <c r="J76" s="76">
        <v>0</v>
      </c>
      <c r="K76" s="72">
        <v>329</v>
      </c>
      <c r="L76" s="73">
        <v>0</v>
      </c>
      <c r="M76" s="74">
        <v>0</v>
      </c>
      <c r="N76" s="73">
        <v>0</v>
      </c>
      <c r="O76" s="76">
        <v>0</v>
      </c>
      <c r="P76" s="72">
        <v>329</v>
      </c>
      <c r="Q76" s="73">
        <v>0</v>
      </c>
      <c r="R76" s="74">
        <v>0</v>
      </c>
      <c r="S76" s="73">
        <v>0</v>
      </c>
      <c r="T76" s="76">
        <v>0</v>
      </c>
      <c r="U76" s="75">
        <v>329</v>
      </c>
      <c r="V76" s="73">
        <v>0</v>
      </c>
      <c r="W76" s="74">
        <v>0</v>
      </c>
      <c r="X76" s="73">
        <v>0</v>
      </c>
      <c r="Y76" s="74">
        <v>0</v>
      </c>
      <c r="Z76" s="72">
        <v>329</v>
      </c>
      <c r="AA76" s="73">
        <v>0</v>
      </c>
      <c r="AB76" s="74">
        <v>0</v>
      </c>
      <c r="AC76" s="73">
        <v>0</v>
      </c>
      <c r="AD76" s="74">
        <v>0</v>
      </c>
      <c r="AE76" s="72">
        <v>329</v>
      </c>
    </row>
    <row r="77" spans="2:31">
      <c r="B77" s="71"/>
      <c r="C77" s="60"/>
      <c r="D77" s="65"/>
      <c r="E77" s="60" t="s">
        <v>162</v>
      </c>
      <c r="F77" s="72">
        <v>28</v>
      </c>
      <c r="G77" s="73">
        <v>0</v>
      </c>
      <c r="H77" s="74">
        <v>0</v>
      </c>
      <c r="I77" s="73">
        <v>0</v>
      </c>
      <c r="J77" s="76">
        <v>0</v>
      </c>
      <c r="K77" s="72">
        <v>28</v>
      </c>
      <c r="L77" s="73">
        <v>0</v>
      </c>
      <c r="M77" s="74">
        <v>0</v>
      </c>
      <c r="N77" s="73">
        <v>0</v>
      </c>
      <c r="O77" s="76">
        <v>0</v>
      </c>
      <c r="P77" s="72">
        <v>28</v>
      </c>
      <c r="Q77" s="73">
        <v>0</v>
      </c>
      <c r="R77" s="74">
        <v>0</v>
      </c>
      <c r="S77" s="73">
        <v>0</v>
      </c>
      <c r="T77" s="76">
        <v>0</v>
      </c>
      <c r="U77" s="75">
        <v>28</v>
      </c>
      <c r="V77" s="73">
        <v>0</v>
      </c>
      <c r="W77" s="74">
        <v>0</v>
      </c>
      <c r="X77" s="73">
        <v>0</v>
      </c>
      <c r="Y77" s="74">
        <v>0</v>
      </c>
      <c r="Z77" s="72">
        <v>28</v>
      </c>
      <c r="AA77" s="73">
        <v>0</v>
      </c>
      <c r="AB77" s="74">
        <v>0</v>
      </c>
      <c r="AC77" s="73">
        <v>0</v>
      </c>
      <c r="AD77" s="74">
        <v>0</v>
      </c>
      <c r="AE77" s="72">
        <v>28</v>
      </c>
    </row>
    <row r="78" spans="2:31">
      <c r="B78" s="71"/>
      <c r="C78" s="60"/>
      <c r="D78" s="65"/>
      <c r="E78" s="60"/>
      <c r="F78" s="77"/>
      <c r="G78" s="78"/>
      <c r="H78" s="79"/>
      <c r="I78" s="78"/>
      <c r="J78" s="80"/>
      <c r="K78" s="77"/>
      <c r="L78" s="78"/>
      <c r="M78" s="79"/>
      <c r="N78" s="78"/>
      <c r="O78" s="80"/>
      <c r="P78" s="77"/>
      <c r="Q78" s="78"/>
      <c r="R78" s="79"/>
      <c r="S78" s="78"/>
      <c r="T78" s="80"/>
      <c r="U78" s="81"/>
      <c r="V78" s="78"/>
      <c r="W78" s="79"/>
      <c r="X78" s="78"/>
      <c r="Y78" s="79"/>
      <c r="Z78" s="77"/>
      <c r="AA78" s="78"/>
      <c r="AB78" s="79"/>
      <c r="AC78" s="78"/>
      <c r="AD78" s="79"/>
      <c r="AE78" s="77"/>
    </row>
    <row r="79" spans="2:31">
      <c r="B79" s="71"/>
      <c r="C79" s="60"/>
      <c r="D79" s="65" t="s">
        <v>113</v>
      </c>
      <c r="E79" s="60"/>
      <c r="F79" s="77"/>
      <c r="G79" s="78"/>
      <c r="H79" s="79"/>
      <c r="I79" s="78"/>
      <c r="J79" s="80"/>
      <c r="K79" s="77"/>
      <c r="L79" s="78"/>
      <c r="M79" s="79"/>
      <c r="N79" s="78"/>
      <c r="O79" s="80"/>
      <c r="P79" s="77"/>
      <c r="Q79" s="78"/>
      <c r="R79" s="79"/>
      <c r="S79" s="78"/>
      <c r="T79" s="80"/>
      <c r="U79" s="81"/>
      <c r="V79" s="78"/>
      <c r="W79" s="79"/>
      <c r="X79" s="78"/>
      <c r="Y79" s="79"/>
      <c r="Z79" s="77"/>
      <c r="AA79" s="78"/>
      <c r="AB79" s="79"/>
      <c r="AC79" s="78"/>
      <c r="AD79" s="79"/>
      <c r="AE79" s="77"/>
    </row>
    <row r="80" spans="2:31">
      <c r="B80" s="71"/>
      <c r="C80" s="60"/>
      <c r="D80" s="60"/>
      <c r="E80" s="60" t="s">
        <v>163</v>
      </c>
      <c r="F80" s="72">
        <v>15348</v>
      </c>
      <c r="G80" s="73">
        <v>0</v>
      </c>
      <c r="H80" s="74">
        <v>138</v>
      </c>
      <c r="I80" s="73">
        <v>0</v>
      </c>
      <c r="J80" s="76">
        <v>138</v>
      </c>
      <c r="K80" s="72">
        <v>15348</v>
      </c>
      <c r="L80" s="73">
        <v>0</v>
      </c>
      <c r="M80" s="74">
        <v>285</v>
      </c>
      <c r="N80" s="73">
        <v>0</v>
      </c>
      <c r="O80" s="76">
        <v>261</v>
      </c>
      <c r="P80" s="72">
        <v>15324</v>
      </c>
      <c r="Q80" s="73">
        <v>0</v>
      </c>
      <c r="R80" s="74">
        <v>366</v>
      </c>
      <c r="S80" s="73">
        <v>0</v>
      </c>
      <c r="T80" s="76">
        <v>366</v>
      </c>
      <c r="U80" s="75">
        <v>15324</v>
      </c>
      <c r="V80" s="73">
        <v>0</v>
      </c>
      <c r="W80" s="74">
        <v>350</v>
      </c>
      <c r="X80" s="73">
        <v>0</v>
      </c>
      <c r="Y80" s="74">
        <v>350</v>
      </c>
      <c r="Z80" s="72">
        <v>15324</v>
      </c>
      <c r="AA80" s="73">
        <v>0</v>
      </c>
      <c r="AB80" s="74">
        <v>350</v>
      </c>
      <c r="AC80" s="73">
        <v>0</v>
      </c>
      <c r="AD80" s="74">
        <v>350</v>
      </c>
      <c r="AE80" s="72">
        <v>15324</v>
      </c>
    </row>
    <row r="81" spans="2:31">
      <c r="B81" s="71"/>
      <c r="C81" s="60"/>
      <c r="D81" s="60"/>
      <c r="E81" s="60" t="s">
        <v>164</v>
      </c>
      <c r="F81" s="72">
        <v>190</v>
      </c>
      <c r="G81" s="73">
        <v>0</v>
      </c>
      <c r="H81" s="74">
        <v>0</v>
      </c>
      <c r="I81" s="73">
        <v>0</v>
      </c>
      <c r="J81" s="76">
        <v>0</v>
      </c>
      <c r="K81" s="72">
        <v>190</v>
      </c>
      <c r="L81" s="73">
        <v>0</v>
      </c>
      <c r="M81" s="74">
        <v>0</v>
      </c>
      <c r="N81" s="73">
        <v>0</v>
      </c>
      <c r="O81" s="76">
        <v>0</v>
      </c>
      <c r="P81" s="72">
        <v>190</v>
      </c>
      <c r="Q81" s="73">
        <v>0</v>
      </c>
      <c r="R81" s="74">
        <v>0</v>
      </c>
      <c r="S81" s="73">
        <v>0</v>
      </c>
      <c r="T81" s="76">
        <v>0</v>
      </c>
      <c r="U81" s="75">
        <v>190</v>
      </c>
      <c r="V81" s="73">
        <v>0</v>
      </c>
      <c r="W81" s="74">
        <v>0</v>
      </c>
      <c r="X81" s="73">
        <v>0</v>
      </c>
      <c r="Y81" s="74">
        <v>0</v>
      </c>
      <c r="Z81" s="72">
        <v>190</v>
      </c>
      <c r="AA81" s="73">
        <v>0</v>
      </c>
      <c r="AB81" s="74">
        <v>0</v>
      </c>
      <c r="AC81" s="73">
        <v>0</v>
      </c>
      <c r="AD81" s="74">
        <v>0</v>
      </c>
      <c r="AE81" s="72">
        <v>190</v>
      </c>
    </row>
    <row r="82" spans="2:31">
      <c r="B82" s="71"/>
      <c r="C82" s="60"/>
      <c r="D82" s="65"/>
      <c r="E82" s="60" t="s">
        <v>165</v>
      </c>
      <c r="F82" s="72">
        <v>4318</v>
      </c>
      <c r="G82" s="73">
        <v>0</v>
      </c>
      <c r="H82" s="74">
        <v>0</v>
      </c>
      <c r="I82" s="73">
        <v>0</v>
      </c>
      <c r="J82" s="76">
        <v>0</v>
      </c>
      <c r="K82" s="72">
        <v>4318</v>
      </c>
      <c r="L82" s="73">
        <v>0</v>
      </c>
      <c r="M82" s="74">
        <v>0</v>
      </c>
      <c r="N82" s="73">
        <v>0</v>
      </c>
      <c r="O82" s="76">
        <v>0</v>
      </c>
      <c r="P82" s="72">
        <v>4318</v>
      </c>
      <c r="Q82" s="73">
        <v>0</v>
      </c>
      <c r="R82" s="74">
        <v>0</v>
      </c>
      <c r="S82" s="73">
        <v>0</v>
      </c>
      <c r="T82" s="76">
        <v>0</v>
      </c>
      <c r="U82" s="75">
        <v>4318</v>
      </c>
      <c r="V82" s="73">
        <v>0</v>
      </c>
      <c r="W82" s="74">
        <v>0</v>
      </c>
      <c r="X82" s="73">
        <v>0</v>
      </c>
      <c r="Y82" s="74">
        <v>0</v>
      </c>
      <c r="Z82" s="72">
        <v>4318</v>
      </c>
      <c r="AA82" s="73">
        <v>0</v>
      </c>
      <c r="AB82" s="74">
        <v>0</v>
      </c>
      <c r="AC82" s="73">
        <v>0</v>
      </c>
      <c r="AD82" s="74">
        <v>0</v>
      </c>
      <c r="AE82" s="72">
        <v>4318</v>
      </c>
    </row>
    <row r="83" spans="2:31">
      <c r="B83" s="71"/>
      <c r="C83" s="60"/>
      <c r="D83" s="65"/>
      <c r="E83" s="60" t="s">
        <v>166</v>
      </c>
      <c r="F83" s="72">
        <v>251</v>
      </c>
      <c r="G83" s="73">
        <v>0</v>
      </c>
      <c r="H83" s="74">
        <v>0</v>
      </c>
      <c r="I83" s="73">
        <v>0</v>
      </c>
      <c r="J83" s="76">
        <v>0</v>
      </c>
      <c r="K83" s="72">
        <v>251</v>
      </c>
      <c r="L83" s="73">
        <v>0</v>
      </c>
      <c r="M83" s="74">
        <v>0</v>
      </c>
      <c r="N83" s="73">
        <v>0</v>
      </c>
      <c r="O83" s="76">
        <v>0</v>
      </c>
      <c r="P83" s="72">
        <v>251</v>
      </c>
      <c r="Q83" s="73">
        <v>0</v>
      </c>
      <c r="R83" s="74">
        <v>0</v>
      </c>
      <c r="S83" s="73">
        <v>0</v>
      </c>
      <c r="T83" s="76">
        <v>0</v>
      </c>
      <c r="U83" s="75">
        <v>251</v>
      </c>
      <c r="V83" s="73">
        <v>0</v>
      </c>
      <c r="W83" s="74">
        <v>0</v>
      </c>
      <c r="X83" s="73">
        <v>0</v>
      </c>
      <c r="Y83" s="74">
        <v>0</v>
      </c>
      <c r="Z83" s="72">
        <v>251</v>
      </c>
      <c r="AA83" s="73">
        <v>0</v>
      </c>
      <c r="AB83" s="74">
        <v>0</v>
      </c>
      <c r="AC83" s="73">
        <v>0</v>
      </c>
      <c r="AD83" s="74">
        <v>0</v>
      </c>
      <c r="AE83" s="72">
        <v>251</v>
      </c>
    </row>
    <row r="84" spans="2:31">
      <c r="B84" s="71"/>
      <c r="C84" s="60"/>
      <c r="D84" s="60"/>
      <c r="E84" s="60"/>
      <c r="F84" s="77"/>
      <c r="G84" s="78"/>
      <c r="H84" s="79"/>
      <c r="I84" s="78"/>
      <c r="J84" s="80"/>
      <c r="K84" s="77"/>
      <c r="L84" s="78"/>
      <c r="M84" s="79"/>
      <c r="N84" s="78"/>
      <c r="O84" s="80"/>
      <c r="P84" s="77"/>
      <c r="Q84" s="78"/>
      <c r="R84" s="79"/>
      <c r="S84" s="78"/>
      <c r="T84" s="80"/>
      <c r="U84" s="81"/>
      <c r="V84" s="78"/>
      <c r="W84" s="79"/>
      <c r="X84" s="78"/>
      <c r="Y84" s="79"/>
      <c r="Z84" s="77"/>
      <c r="AA84" s="78"/>
      <c r="AB84" s="79"/>
      <c r="AC84" s="78"/>
      <c r="AD84" s="79"/>
      <c r="AE84" s="77"/>
    </row>
    <row r="85" spans="2:31">
      <c r="B85" s="58"/>
      <c r="C85" s="60"/>
      <c r="D85" s="65" t="s">
        <v>134</v>
      </c>
      <c r="E85" s="60"/>
      <c r="F85" s="77"/>
      <c r="G85" s="78"/>
      <c r="H85" s="79"/>
      <c r="I85" s="78"/>
      <c r="J85" s="80"/>
      <c r="K85" s="77"/>
      <c r="L85" s="78"/>
      <c r="M85" s="79"/>
      <c r="N85" s="78"/>
      <c r="O85" s="80"/>
      <c r="P85" s="77"/>
      <c r="Q85" s="78"/>
      <c r="R85" s="79"/>
      <c r="S85" s="78"/>
      <c r="T85" s="80"/>
      <c r="U85" s="81"/>
      <c r="V85" s="78"/>
      <c r="W85" s="79"/>
      <c r="X85" s="78"/>
      <c r="Y85" s="79"/>
      <c r="Z85" s="77"/>
      <c r="AA85" s="78"/>
      <c r="AB85" s="79"/>
      <c r="AC85" s="78"/>
      <c r="AD85" s="79"/>
      <c r="AE85" s="77"/>
    </row>
    <row r="86" spans="2:31">
      <c r="B86" s="58"/>
      <c r="C86" s="60"/>
      <c r="D86" s="65"/>
      <c r="E86" s="60" t="s">
        <v>167</v>
      </c>
      <c r="F86" s="72">
        <v>364.14</v>
      </c>
      <c r="G86" s="73">
        <v>0</v>
      </c>
      <c r="H86" s="74">
        <v>0</v>
      </c>
      <c r="I86" s="73">
        <v>1</v>
      </c>
      <c r="J86" s="76">
        <v>0</v>
      </c>
      <c r="K86" s="72">
        <v>365.14</v>
      </c>
      <c r="L86" s="73">
        <v>0</v>
      </c>
      <c r="M86" s="74">
        <v>0</v>
      </c>
      <c r="N86" s="73">
        <v>12.9</v>
      </c>
      <c r="O86" s="76">
        <v>0</v>
      </c>
      <c r="P86" s="72">
        <v>378.04</v>
      </c>
      <c r="Q86" s="73">
        <v>0</v>
      </c>
      <c r="R86" s="74">
        <v>0</v>
      </c>
      <c r="S86" s="73">
        <v>0.4</v>
      </c>
      <c r="T86" s="76">
        <v>0.4</v>
      </c>
      <c r="U86" s="75">
        <v>378.84</v>
      </c>
      <c r="V86" s="73">
        <v>0</v>
      </c>
      <c r="W86" s="74">
        <v>0</v>
      </c>
      <c r="X86" s="73">
        <v>2</v>
      </c>
      <c r="Y86" s="74">
        <v>0</v>
      </c>
      <c r="Z86" s="72">
        <v>380.84</v>
      </c>
      <c r="AA86" s="73">
        <v>0</v>
      </c>
      <c r="AB86" s="74">
        <v>0</v>
      </c>
      <c r="AC86" s="73">
        <v>6</v>
      </c>
      <c r="AD86" s="74">
        <v>0</v>
      </c>
      <c r="AE86" s="72">
        <v>386.84</v>
      </c>
    </row>
    <row r="87" spans="2:31">
      <c r="B87" s="58"/>
      <c r="C87" s="60"/>
      <c r="D87" s="65"/>
      <c r="E87" s="60" t="s">
        <v>168</v>
      </c>
      <c r="F87" s="72">
        <v>0</v>
      </c>
      <c r="G87" s="73">
        <v>0</v>
      </c>
      <c r="H87" s="74">
        <v>0</v>
      </c>
      <c r="I87" s="73">
        <v>0</v>
      </c>
      <c r="J87" s="76">
        <v>0</v>
      </c>
      <c r="K87" s="72">
        <v>0</v>
      </c>
      <c r="L87" s="73">
        <v>0</v>
      </c>
      <c r="M87" s="74">
        <v>0</v>
      </c>
      <c r="N87" s="73">
        <v>0</v>
      </c>
      <c r="O87" s="76">
        <v>0</v>
      </c>
      <c r="P87" s="72">
        <v>0</v>
      </c>
      <c r="Q87" s="73">
        <v>0</v>
      </c>
      <c r="R87" s="74">
        <v>0</v>
      </c>
      <c r="S87" s="73">
        <v>0</v>
      </c>
      <c r="T87" s="76">
        <v>0</v>
      </c>
      <c r="U87" s="75">
        <v>0</v>
      </c>
      <c r="V87" s="73">
        <v>0</v>
      </c>
      <c r="W87" s="74">
        <v>0</v>
      </c>
      <c r="X87" s="73">
        <v>0</v>
      </c>
      <c r="Y87" s="74">
        <v>0</v>
      </c>
      <c r="Z87" s="72">
        <v>0</v>
      </c>
      <c r="AA87" s="73">
        <v>0</v>
      </c>
      <c r="AB87" s="74">
        <v>0</v>
      </c>
      <c r="AC87" s="73">
        <v>0</v>
      </c>
      <c r="AD87" s="74">
        <v>0</v>
      </c>
      <c r="AE87" s="72">
        <v>0</v>
      </c>
    </row>
    <row r="88" spans="2:31">
      <c r="B88" s="58"/>
      <c r="C88" s="60"/>
      <c r="D88" s="65"/>
      <c r="E88" s="60" t="s">
        <v>169</v>
      </c>
      <c r="F88" s="72">
        <v>8.1240000000000006</v>
      </c>
      <c r="G88" s="73">
        <v>0</v>
      </c>
      <c r="H88" s="74">
        <v>0</v>
      </c>
      <c r="I88" s="73">
        <v>0</v>
      </c>
      <c r="J88" s="76">
        <v>0</v>
      </c>
      <c r="K88" s="72">
        <v>8.1240000000000006</v>
      </c>
      <c r="L88" s="73">
        <v>0</v>
      </c>
      <c r="M88" s="74">
        <v>0</v>
      </c>
      <c r="N88" s="73">
        <v>0</v>
      </c>
      <c r="O88" s="76">
        <v>0</v>
      </c>
      <c r="P88" s="72">
        <v>8.1240000000000006</v>
      </c>
      <c r="Q88" s="73">
        <v>0</v>
      </c>
      <c r="R88" s="74">
        <v>0</v>
      </c>
      <c r="S88" s="73">
        <v>0</v>
      </c>
      <c r="T88" s="76">
        <v>0</v>
      </c>
      <c r="U88" s="75">
        <v>8.1240000000000006</v>
      </c>
      <c r="V88" s="73">
        <v>0</v>
      </c>
      <c r="W88" s="74">
        <v>0</v>
      </c>
      <c r="X88" s="73">
        <v>0</v>
      </c>
      <c r="Y88" s="74">
        <v>0</v>
      </c>
      <c r="Z88" s="72">
        <v>8.1240000000000006</v>
      </c>
      <c r="AA88" s="73">
        <v>0</v>
      </c>
      <c r="AB88" s="74">
        <v>0</v>
      </c>
      <c r="AC88" s="73">
        <v>0</v>
      </c>
      <c r="AD88" s="74">
        <v>0</v>
      </c>
      <c r="AE88" s="72">
        <v>8.1240000000000006</v>
      </c>
    </row>
    <row r="89" spans="2:31">
      <c r="B89" s="58"/>
      <c r="C89" s="60"/>
      <c r="D89" s="65"/>
      <c r="E89" s="60" t="s">
        <v>170</v>
      </c>
      <c r="F89" s="72">
        <v>6</v>
      </c>
      <c r="G89" s="73">
        <v>0</v>
      </c>
      <c r="H89" s="74">
        <v>0</v>
      </c>
      <c r="I89" s="73">
        <v>0</v>
      </c>
      <c r="J89" s="76">
        <v>0</v>
      </c>
      <c r="K89" s="72">
        <v>6</v>
      </c>
      <c r="L89" s="73">
        <v>0</v>
      </c>
      <c r="M89" s="74">
        <v>0</v>
      </c>
      <c r="N89" s="73">
        <v>0</v>
      </c>
      <c r="O89" s="76">
        <v>0</v>
      </c>
      <c r="P89" s="72">
        <v>6</v>
      </c>
      <c r="Q89" s="73">
        <v>0</v>
      </c>
      <c r="R89" s="74">
        <v>0</v>
      </c>
      <c r="S89" s="73">
        <v>0</v>
      </c>
      <c r="T89" s="76">
        <v>0</v>
      </c>
      <c r="U89" s="75">
        <v>6</v>
      </c>
      <c r="V89" s="73">
        <v>0</v>
      </c>
      <c r="W89" s="74">
        <v>0</v>
      </c>
      <c r="X89" s="73">
        <v>0</v>
      </c>
      <c r="Y89" s="74">
        <v>0</v>
      </c>
      <c r="Z89" s="72">
        <v>6</v>
      </c>
      <c r="AA89" s="73">
        <v>0</v>
      </c>
      <c r="AB89" s="74">
        <v>0</v>
      </c>
      <c r="AC89" s="73">
        <v>0</v>
      </c>
      <c r="AD89" s="74">
        <v>0</v>
      </c>
      <c r="AE89" s="72">
        <v>6</v>
      </c>
    </row>
    <row r="90" spans="2:31">
      <c r="B90" s="58"/>
      <c r="C90" s="60"/>
      <c r="D90" s="65"/>
      <c r="E90" s="60" t="s">
        <v>171</v>
      </c>
      <c r="F90" s="72">
        <v>2</v>
      </c>
      <c r="G90" s="73">
        <v>0</v>
      </c>
      <c r="H90" s="74">
        <v>0</v>
      </c>
      <c r="I90" s="73">
        <v>0</v>
      </c>
      <c r="J90" s="76">
        <v>0</v>
      </c>
      <c r="K90" s="72">
        <v>2</v>
      </c>
      <c r="L90" s="73">
        <v>0</v>
      </c>
      <c r="M90" s="74">
        <v>0</v>
      </c>
      <c r="N90" s="73">
        <v>0</v>
      </c>
      <c r="O90" s="76">
        <v>0</v>
      </c>
      <c r="P90" s="72">
        <v>2</v>
      </c>
      <c r="Q90" s="73">
        <v>0</v>
      </c>
      <c r="R90" s="74">
        <v>0</v>
      </c>
      <c r="S90" s="73">
        <v>0</v>
      </c>
      <c r="T90" s="76">
        <v>0</v>
      </c>
      <c r="U90" s="75">
        <v>2</v>
      </c>
      <c r="V90" s="73">
        <v>0</v>
      </c>
      <c r="W90" s="74">
        <v>0</v>
      </c>
      <c r="X90" s="73">
        <v>0</v>
      </c>
      <c r="Y90" s="74">
        <v>0</v>
      </c>
      <c r="Z90" s="72">
        <v>2</v>
      </c>
      <c r="AA90" s="73">
        <v>0</v>
      </c>
      <c r="AB90" s="74">
        <v>0</v>
      </c>
      <c r="AC90" s="73">
        <v>0</v>
      </c>
      <c r="AD90" s="74">
        <v>0</v>
      </c>
      <c r="AE90" s="72">
        <v>2</v>
      </c>
    </row>
    <row r="91" spans="2:31">
      <c r="B91" s="58"/>
      <c r="C91" s="60"/>
      <c r="D91" s="65"/>
      <c r="E91" s="60" t="s">
        <v>172</v>
      </c>
      <c r="F91" s="72">
        <v>1</v>
      </c>
      <c r="G91" s="73">
        <v>0</v>
      </c>
      <c r="H91" s="74">
        <v>0</v>
      </c>
      <c r="I91" s="73">
        <v>0</v>
      </c>
      <c r="J91" s="76">
        <v>0</v>
      </c>
      <c r="K91" s="72">
        <v>1</v>
      </c>
      <c r="L91" s="73">
        <v>0</v>
      </c>
      <c r="M91" s="74">
        <v>0</v>
      </c>
      <c r="N91" s="73">
        <v>0</v>
      </c>
      <c r="O91" s="76">
        <v>0</v>
      </c>
      <c r="P91" s="72">
        <v>1</v>
      </c>
      <c r="Q91" s="73">
        <v>0</v>
      </c>
      <c r="R91" s="74">
        <v>0</v>
      </c>
      <c r="S91" s="73">
        <v>0</v>
      </c>
      <c r="T91" s="76">
        <v>0</v>
      </c>
      <c r="U91" s="75">
        <v>1</v>
      </c>
      <c r="V91" s="73">
        <v>0</v>
      </c>
      <c r="W91" s="74">
        <v>0</v>
      </c>
      <c r="X91" s="73">
        <v>0</v>
      </c>
      <c r="Y91" s="74">
        <v>0</v>
      </c>
      <c r="Z91" s="72">
        <v>1</v>
      </c>
      <c r="AA91" s="73">
        <v>0</v>
      </c>
      <c r="AB91" s="74">
        <v>0</v>
      </c>
      <c r="AC91" s="73">
        <v>0</v>
      </c>
      <c r="AD91" s="74">
        <v>0</v>
      </c>
      <c r="AE91" s="72">
        <v>1</v>
      </c>
    </row>
    <row r="92" spans="2:31">
      <c r="B92" s="58"/>
      <c r="C92" s="60"/>
      <c r="D92" s="60"/>
      <c r="E92" s="60"/>
      <c r="F92" s="77"/>
      <c r="G92" s="78"/>
      <c r="H92" s="79"/>
      <c r="I92" s="78"/>
      <c r="J92" s="80"/>
      <c r="K92" s="77"/>
      <c r="L92" s="78"/>
      <c r="M92" s="79"/>
      <c r="N92" s="78"/>
      <c r="O92" s="80"/>
      <c r="P92" s="77"/>
      <c r="Q92" s="78"/>
      <c r="R92" s="79"/>
      <c r="S92" s="78"/>
      <c r="T92" s="80"/>
      <c r="U92" s="81"/>
      <c r="V92" s="78"/>
      <c r="W92" s="79"/>
      <c r="X92" s="78"/>
      <c r="Y92" s="79"/>
      <c r="Z92" s="77"/>
      <c r="AA92" s="78"/>
      <c r="AB92" s="79"/>
      <c r="AC92" s="78"/>
      <c r="AD92" s="79"/>
      <c r="AE92" s="77"/>
    </row>
    <row r="93" spans="2:31">
      <c r="B93" s="58"/>
      <c r="C93" s="60"/>
      <c r="D93" s="65" t="s">
        <v>137</v>
      </c>
      <c r="E93" s="60"/>
      <c r="F93" s="77"/>
      <c r="G93" s="78"/>
      <c r="H93" s="79"/>
      <c r="I93" s="78"/>
      <c r="J93" s="80"/>
      <c r="K93" s="77"/>
      <c r="L93" s="78"/>
      <c r="M93" s="79"/>
      <c r="N93" s="78"/>
      <c r="O93" s="80"/>
      <c r="P93" s="77"/>
      <c r="Q93" s="78"/>
      <c r="R93" s="79"/>
      <c r="S93" s="78"/>
      <c r="T93" s="80"/>
      <c r="U93" s="81"/>
      <c r="V93" s="78"/>
      <c r="W93" s="79"/>
      <c r="X93" s="78"/>
      <c r="Y93" s="79"/>
      <c r="Z93" s="77"/>
      <c r="AA93" s="78"/>
      <c r="AB93" s="79"/>
      <c r="AC93" s="78"/>
      <c r="AD93" s="79"/>
      <c r="AE93" s="77"/>
    </row>
    <row r="94" spans="2:31">
      <c r="B94" s="58"/>
      <c r="C94" s="60"/>
      <c r="D94" s="60"/>
      <c r="E94" s="60" t="s">
        <v>173</v>
      </c>
      <c r="F94" s="72">
        <v>1.3</v>
      </c>
      <c r="G94" s="73">
        <v>0</v>
      </c>
      <c r="H94" s="74">
        <v>0</v>
      </c>
      <c r="I94" s="73" t="s">
        <v>1023</v>
      </c>
      <c r="J94" s="76">
        <v>0</v>
      </c>
      <c r="K94" s="72">
        <v>1.3</v>
      </c>
      <c r="L94" s="73">
        <v>0</v>
      </c>
      <c r="M94" s="74">
        <v>0</v>
      </c>
      <c r="N94" s="73" t="s">
        <v>1023</v>
      </c>
      <c r="O94" s="76">
        <v>0</v>
      </c>
      <c r="P94" s="72">
        <v>1.3</v>
      </c>
      <c r="Q94" s="73">
        <v>0</v>
      </c>
      <c r="R94" s="74">
        <v>0</v>
      </c>
      <c r="S94" s="73" t="s">
        <v>1023</v>
      </c>
      <c r="T94" s="76">
        <v>0</v>
      </c>
      <c r="U94" s="75">
        <v>1.3</v>
      </c>
      <c r="V94" s="73">
        <v>0</v>
      </c>
      <c r="W94" s="74">
        <v>0</v>
      </c>
      <c r="X94" s="73">
        <v>0</v>
      </c>
      <c r="Y94" s="74">
        <v>0</v>
      </c>
      <c r="Z94" s="72">
        <v>1.3</v>
      </c>
      <c r="AA94" s="73">
        <v>0</v>
      </c>
      <c r="AB94" s="74">
        <v>0</v>
      </c>
      <c r="AC94" s="73">
        <v>0</v>
      </c>
      <c r="AD94" s="74">
        <v>0</v>
      </c>
      <c r="AE94" s="72">
        <v>1.3</v>
      </c>
    </row>
    <row r="95" spans="2:31">
      <c r="B95" s="58"/>
      <c r="C95" s="60"/>
      <c r="D95" s="65"/>
      <c r="E95" s="60"/>
      <c r="F95" s="77"/>
      <c r="G95" s="78"/>
      <c r="H95" s="79"/>
      <c r="I95" s="78"/>
      <c r="J95" s="80"/>
      <c r="K95" s="77"/>
      <c r="L95" s="78"/>
      <c r="M95" s="79"/>
      <c r="N95" s="78"/>
      <c r="O95" s="80"/>
      <c r="P95" s="77"/>
      <c r="Q95" s="78"/>
      <c r="R95" s="79"/>
      <c r="S95" s="78"/>
      <c r="T95" s="80"/>
      <c r="U95" s="81"/>
      <c r="V95" s="78"/>
      <c r="W95" s="79"/>
      <c r="X95" s="78"/>
      <c r="Y95" s="79"/>
      <c r="Z95" s="77"/>
      <c r="AA95" s="78"/>
      <c r="AB95" s="79"/>
      <c r="AC95" s="78"/>
      <c r="AD95" s="79"/>
      <c r="AE95" s="77"/>
    </row>
    <row r="96" spans="2:31">
      <c r="B96" s="58"/>
      <c r="C96" s="60"/>
      <c r="D96" s="65" t="s">
        <v>120</v>
      </c>
      <c r="E96" s="60"/>
      <c r="F96" s="77"/>
      <c r="G96" s="78"/>
      <c r="H96" s="79"/>
      <c r="I96" s="78"/>
      <c r="J96" s="80"/>
      <c r="K96" s="77"/>
      <c r="L96" s="78"/>
      <c r="M96" s="79"/>
      <c r="N96" s="78"/>
      <c r="O96" s="80"/>
      <c r="P96" s="77"/>
      <c r="Q96" s="78"/>
      <c r="R96" s="79"/>
      <c r="S96" s="78"/>
      <c r="T96" s="80"/>
      <c r="U96" s="81"/>
      <c r="V96" s="78"/>
      <c r="W96" s="79"/>
      <c r="X96" s="78"/>
      <c r="Y96" s="79"/>
      <c r="Z96" s="77"/>
      <c r="AA96" s="78"/>
      <c r="AB96" s="79"/>
      <c r="AC96" s="78"/>
      <c r="AD96" s="79"/>
      <c r="AE96" s="77"/>
    </row>
    <row r="97" spans="2:31">
      <c r="B97" s="58"/>
      <c r="C97" s="60"/>
      <c r="D97" s="65"/>
      <c r="E97" s="92" t="s">
        <v>174</v>
      </c>
      <c r="F97" s="72">
        <v>295</v>
      </c>
      <c r="G97" s="73">
        <v>0</v>
      </c>
      <c r="H97" s="74">
        <v>0</v>
      </c>
      <c r="I97" s="73">
        <v>0</v>
      </c>
      <c r="J97" s="76">
        <v>0</v>
      </c>
      <c r="K97" s="72">
        <v>295</v>
      </c>
      <c r="L97" s="73">
        <v>0</v>
      </c>
      <c r="M97" s="74">
        <v>0</v>
      </c>
      <c r="N97" s="73">
        <v>0</v>
      </c>
      <c r="O97" s="76">
        <v>7</v>
      </c>
      <c r="P97" s="72">
        <v>302</v>
      </c>
      <c r="Q97" s="73">
        <v>0</v>
      </c>
      <c r="R97" s="74">
        <v>0</v>
      </c>
      <c r="S97" s="73">
        <v>1</v>
      </c>
      <c r="T97" s="76">
        <v>6</v>
      </c>
      <c r="U97" s="75">
        <v>309</v>
      </c>
      <c r="V97" s="73">
        <v>0</v>
      </c>
      <c r="W97" s="74">
        <v>6</v>
      </c>
      <c r="X97" s="73">
        <v>1</v>
      </c>
      <c r="Y97" s="74">
        <v>6</v>
      </c>
      <c r="Z97" s="72">
        <v>310</v>
      </c>
      <c r="AA97" s="73">
        <v>0</v>
      </c>
      <c r="AB97" s="74">
        <v>6</v>
      </c>
      <c r="AC97" s="73">
        <v>1</v>
      </c>
      <c r="AD97" s="74">
        <v>6</v>
      </c>
      <c r="AE97" s="72">
        <v>311</v>
      </c>
    </row>
    <row r="98" spans="2:31">
      <c r="B98" s="58"/>
      <c r="C98" s="60"/>
      <c r="D98" s="65"/>
      <c r="E98" s="92" t="s">
        <v>175</v>
      </c>
      <c r="F98" s="72">
        <v>294</v>
      </c>
      <c r="G98" s="73">
        <v>10</v>
      </c>
      <c r="H98" s="74">
        <v>5</v>
      </c>
      <c r="I98" s="73">
        <v>0</v>
      </c>
      <c r="J98" s="76">
        <v>5</v>
      </c>
      <c r="K98" s="72">
        <v>284</v>
      </c>
      <c r="L98" s="73">
        <v>2</v>
      </c>
      <c r="M98" s="74">
        <v>2</v>
      </c>
      <c r="N98" s="73">
        <v>0</v>
      </c>
      <c r="O98" s="76">
        <v>2</v>
      </c>
      <c r="P98" s="72">
        <v>282</v>
      </c>
      <c r="Q98" s="73">
        <v>6</v>
      </c>
      <c r="R98" s="74">
        <v>30</v>
      </c>
      <c r="S98" s="73">
        <v>0</v>
      </c>
      <c r="T98" s="76">
        <v>30</v>
      </c>
      <c r="U98" s="75">
        <v>276</v>
      </c>
      <c r="V98" s="73">
        <v>2</v>
      </c>
      <c r="W98" s="74">
        <v>4</v>
      </c>
      <c r="X98" s="73">
        <v>1</v>
      </c>
      <c r="Y98" s="74">
        <v>4</v>
      </c>
      <c r="Z98" s="72">
        <v>275</v>
      </c>
      <c r="AA98" s="73">
        <v>2</v>
      </c>
      <c r="AB98" s="74">
        <v>4</v>
      </c>
      <c r="AC98" s="73">
        <v>1</v>
      </c>
      <c r="AD98" s="74">
        <v>4</v>
      </c>
      <c r="AE98" s="72">
        <v>274</v>
      </c>
    </row>
    <row r="99" spans="2:31">
      <c r="B99" s="58"/>
      <c r="C99" s="60"/>
      <c r="D99" s="65"/>
      <c r="E99" s="92" t="s">
        <v>176</v>
      </c>
      <c r="F99" s="72">
        <v>16</v>
      </c>
      <c r="G99" s="73">
        <v>0</v>
      </c>
      <c r="H99" s="74">
        <v>0</v>
      </c>
      <c r="I99" s="73">
        <v>0</v>
      </c>
      <c r="J99" s="76">
        <v>0</v>
      </c>
      <c r="K99" s="72">
        <v>16</v>
      </c>
      <c r="L99" s="73">
        <v>0</v>
      </c>
      <c r="M99" s="74">
        <v>0</v>
      </c>
      <c r="N99" s="73">
        <v>0</v>
      </c>
      <c r="O99" s="76">
        <v>0</v>
      </c>
      <c r="P99" s="72">
        <v>16</v>
      </c>
      <c r="Q99" s="73">
        <v>0</v>
      </c>
      <c r="R99" s="74">
        <v>0</v>
      </c>
      <c r="S99" s="73">
        <v>0</v>
      </c>
      <c r="T99" s="76">
        <v>0</v>
      </c>
      <c r="U99" s="75">
        <v>16</v>
      </c>
      <c r="V99" s="73">
        <v>0</v>
      </c>
      <c r="W99" s="74">
        <v>0</v>
      </c>
      <c r="X99" s="73">
        <v>0</v>
      </c>
      <c r="Y99" s="74">
        <v>0</v>
      </c>
      <c r="Z99" s="72">
        <v>16</v>
      </c>
      <c r="AA99" s="73">
        <v>0</v>
      </c>
      <c r="AB99" s="74">
        <v>0</v>
      </c>
      <c r="AC99" s="73">
        <v>0</v>
      </c>
      <c r="AD99" s="74">
        <v>0</v>
      </c>
      <c r="AE99" s="72">
        <v>16</v>
      </c>
    </row>
    <row r="100" spans="2:31">
      <c r="B100" s="58"/>
      <c r="C100" s="60"/>
      <c r="D100" s="65"/>
      <c r="E100" s="92" t="s">
        <v>177</v>
      </c>
      <c r="F100" s="72">
        <v>0</v>
      </c>
      <c r="G100" s="73">
        <v>0</v>
      </c>
      <c r="H100" s="74">
        <v>0</v>
      </c>
      <c r="I100" s="73">
        <v>0</v>
      </c>
      <c r="J100" s="76">
        <v>0</v>
      </c>
      <c r="K100" s="72">
        <v>0</v>
      </c>
      <c r="L100" s="73">
        <v>0</v>
      </c>
      <c r="M100" s="74">
        <v>0</v>
      </c>
      <c r="N100" s="73">
        <v>0</v>
      </c>
      <c r="O100" s="76">
        <v>0</v>
      </c>
      <c r="P100" s="72">
        <v>0</v>
      </c>
      <c r="Q100" s="73">
        <v>0</v>
      </c>
      <c r="R100" s="74">
        <v>0</v>
      </c>
      <c r="S100" s="73">
        <v>0</v>
      </c>
      <c r="T100" s="76">
        <v>0</v>
      </c>
      <c r="U100" s="75">
        <v>0</v>
      </c>
      <c r="V100" s="73">
        <v>0</v>
      </c>
      <c r="W100" s="74">
        <v>0</v>
      </c>
      <c r="X100" s="73">
        <v>0</v>
      </c>
      <c r="Y100" s="74">
        <v>0</v>
      </c>
      <c r="Z100" s="72">
        <v>0</v>
      </c>
      <c r="AA100" s="73">
        <v>0</v>
      </c>
      <c r="AB100" s="74">
        <v>0</v>
      </c>
      <c r="AC100" s="73">
        <v>0</v>
      </c>
      <c r="AD100" s="74">
        <v>0</v>
      </c>
      <c r="AE100" s="72">
        <v>0</v>
      </c>
    </row>
    <row r="101" spans="2:31">
      <c r="B101" s="58"/>
      <c r="C101" s="60"/>
      <c r="D101" s="65"/>
      <c r="E101" s="92" t="s">
        <v>178</v>
      </c>
      <c r="F101" s="72">
        <v>0</v>
      </c>
      <c r="G101" s="73">
        <v>0</v>
      </c>
      <c r="H101" s="74">
        <v>0</v>
      </c>
      <c r="I101" s="73">
        <v>0</v>
      </c>
      <c r="J101" s="76">
        <v>0</v>
      </c>
      <c r="K101" s="72">
        <v>0</v>
      </c>
      <c r="L101" s="73">
        <v>0</v>
      </c>
      <c r="M101" s="74">
        <v>0</v>
      </c>
      <c r="N101" s="73">
        <v>0</v>
      </c>
      <c r="O101" s="76">
        <v>0</v>
      </c>
      <c r="P101" s="72">
        <v>0</v>
      </c>
      <c r="Q101" s="73">
        <v>0</v>
      </c>
      <c r="R101" s="74">
        <v>0</v>
      </c>
      <c r="S101" s="73">
        <v>0</v>
      </c>
      <c r="T101" s="76">
        <v>0</v>
      </c>
      <c r="U101" s="75">
        <v>0</v>
      </c>
      <c r="V101" s="73">
        <v>0</v>
      </c>
      <c r="W101" s="74">
        <v>0</v>
      </c>
      <c r="X101" s="73">
        <v>0</v>
      </c>
      <c r="Y101" s="74">
        <v>0</v>
      </c>
      <c r="Z101" s="72">
        <v>0</v>
      </c>
      <c r="AA101" s="73">
        <v>0</v>
      </c>
      <c r="AB101" s="74">
        <v>0</v>
      </c>
      <c r="AC101" s="73">
        <v>0</v>
      </c>
      <c r="AD101" s="74">
        <v>0</v>
      </c>
      <c r="AE101" s="72">
        <v>0</v>
      </c>
    </row>
    <row r="102" spans="2:31">
      <c r="B102" s="58"/>
      <c r="C102" s="60"/>
      <c r="D102" s="65"/>
      <c r="E102" s="92" t="s">
        <v>179</v>
      </c>
      <c r="F102" s="72">
        <v>1117</v>
      </c>
      <c r="G102" s="73">
        <v>9</v>
      </c>
      <c r="H102" s="74">
        <v>10</v>
      </c>
      <c r="I102" s="73">
        <v>0</v>
      </c>
      <c r="J102" s="76">
        <v>10</v>
      </c>
      <c r="K102" s="72">
        <v>1108</v>
      </c>
      <c r="L102" s="73">
        <v>26</v>
      </c>
      <c r="M102" s="74">
        <v>1</v>
      </c>
      <c r="N102" s="73">
        <v>0</v>
      </c>
      <c r="O102" s="76">
        <v>1</v>
      </c>
      <c r="P102" s="72">
        <v>1082</v>
      </c>
      <c r="Q102" s="73">
        <v>4</v>
      </c>
      <c r="R102" s="74">
        <v>8</v>
      </c>
      <c r="S102" s="73">
        <v>0</v>
      </c>
      <c r="T102" s="76">
        <v>8</v>
      </c>
      <c r="U102" s="75">
        <v>1078</v>
      </c>
      <c r="V102" s="73">
        <v>4</v>
      </c>
      <c r="W102" s="74">
        <v>0</v>
      </c>
      <c r="X102" s="73">
        <v>2</v>
      </c>
      <c r="Y102" s="74">
        <v>0</v>
      </c>
      <c r="Z102" s="72">
        <v>1076</v>
      </c>
      <c r="AA102" s="73">
        <v>4</v>
      </c>
      <c r="AB102" s="74">
        <v>0</v>
      </c>
      <c r="AC102" s="73">
        <v>2</v>
      </c>
      <c r="AD102" s="74">
        <v>0</v>
      </c>
      <c r="AE102" s="72">
        <v>1074</v>
      </c>
    </row>
    <row r="103" spans="2:31">
      <c r="B103" s="58"/>
      <c r="C103" s="60"/>
      <c r="D103" s="65"/>
      <c r="E103" s="92" t="s">
        <v>180</v>
      </c>
      <c r="F103" s="72">
        <v>53</v>
      </c>
      <c r="G103" s="73">
        <v>0</v>
      </c>
      <c r="H103" s="74">
        <v>0</v>
      </c>
      <c r="I103" s="73">
        <v>0</v>
      </c>
      <c r="J103" s="76">
        <v>0</v>
      </c>
      <c r="K103" s="72">
        <v>53</v>
      </c>
      <c r="L103" s="73">
        <v>0</v>
      </c>
      <c r="M103" s="74">
        <v>0</v>
      </c>
      <c r="N103" s="73">
        <v>0</v>
      </c>
      <c r="O103" s="76">
        <v>0</v>
      </c>
      <c r="P103" s="72">
        <v>53</v>
      </c>
      <c r="Q103" s="73">
        <v>0</v>
      </c>
      <c r="R103" s="74">
        <v>0</v>
      </c>
      <c r="S103" s="73">
        <v>0</v>
      </c>
      <c r="T103" s="76">
        <v>0</v>
      </c>
      <c r="U103" s="75">
        <v>53</v>
      </c>
      <c r="V103" s="73">
        <v>0</v>
      </c>
      <c r="W103" s="74">
        <v>1</v>
      </c>
      <c r="X103" s="73">
        <v>0</v>
      </c>
      <c r="Y103" s="74">
        <v>1</v>
      </c>
      <c r="Z103" s="72">
        <v>53</v>
      </c>
      <c r="AA103" s="73">
        <v>0</v>
      </c>
      <c r="AB103" s="74">
        <v>1</v>
      </c>
      <c r="AC103" s="73">
        <v>0</v>
      </c>
      <c r="AD103" s="74">
        <v>1</v>
      </c>
      <c r="AE103" s="72">
        <v>53</v>
      </c>
    </row>
    <row r="104" spans="2:31">
      <c r="B104" s="58"/>
      <c r="C104" s="60"/>
      <c r="D104" s="65"/>
      <c r="E104" s="92" t="s">
        <v>181</v>
      </c>
      <c r="F104" s="72">
        <v>233</v>
      </c>
      <c r="G104" s="73">
        <v>0</v>
      </c>
      <c r="H104" s="74">
        <v>0</v>
      </c>
      <c r="I104" s="73">
        <v>0</v>
      </c>
      <c r="J104" s="76">
        <v>0</v>
      </c>
      <c r="K104" s="72">
        <v>233</v>
      </c>
      <c r="L104" s="73">
        <v>0</v>
      </c>
      <c r="M104" s="74">
        <v>0</v>
      </c>
      <c r="N104" s="73">
        <v>0</v>
      </c>
      <c r="O104" s="76">
        <v>0</v>
      </c>
      <c r="P104" s="72">
        <v>233</v>
      </c>
      <c r="Q104" s="73">
        <v>2</v>
      </c>
      <c r="R104" s="74">
        <v>0</v>
      </c>
      <c r="S104" s="73">
        <v>0</v>
      </c>
      <c r="T104" s="76">
        <v>0</v>
      </c>
      <c r="U104" s="75">
        <v>231</v>
      </c>
      <c r="V104" s="73">
        <v>0</v>
      </c>
      <c r="W104" s="74">
        <v>0</v>
      </c>
      <c r="X104" s="73">
        <v>2</v>
      </c>
      <c r="Y104" s="74">
        <v>0</v>
      </c>
      <c r="Z104" s="72">
        <v>233</v>
      </c>
      <c r="AA104" s="73">
        <v>0</v>
      </c>
      <c r="AB104" s="74">
        <v>0</v>
      </c>
      <c r="AC104" s="73">
        <v>0</v>
      </c>
      <c r="AD104" s="74">
        <v>0</v>
      </c>
      <c r="AE104" s="72">
        <v>233</v>
      </c>
    </row>
    <row r="105" spans="2:31">
      <c r="B105" s="58"/>
      <c r="C105" s="60"/>
      <c r="D105" s="65"/>
      <c r="E105" s="60"/>
      <c r="F105" s="77"/>
      <c r="G105" s="78"/>
      <c r="H105" s="79"/>
      <c r="I105" s="78"/>
      <c r="J105" s="80"/>
      <c r="K105" s="77"/>
      <c r="L105" s="78"/>
      <c r="M105" s="79"/>
      <c r="N105" s="78"/>
      <c r="O105" s="80"/>
      <c r="P105" s="77"/>
      <c r="Q105" s="78"/>
      <c r="R105" s="79"/>
      <c r="S105" s="78"/>
      <c r="T105" s="80"/>
      <c r="U105" s="81"/>
      <c r="V105" s="78"/>
      <c r="W105" s="79"/>
      <c r="X105" s="78"/>
      <c r="Y105" s="79"/>
      <c r="Z105" s="77"/>
      <c r="AA105" s="78"/>
      <c r="AB105" s="79"/>
      <c r="AC105" s="78"/>
      <c r="AD105" s="79"/>
      <c r="AE105" s="77"/>
    </row>
    <row r="106" spans="2:31">
      <c r="B106" s="58"/>
      <c r="C106" s="60"/>
      <c r="D106" s="65" t="s">
        <v>153</v>
      </c>
      <c r="E106" s="60"/>
      <c r="F106" s="77"/>
      <c r="G106" s="78"/>
      <c r="H106" s="79"/>
      <c r="I106" s="78"/>
      <c r="J106" s="80"/>
      <c r="K106" s="77"/>
      <c r="L106" s="78"/>
      <c r="M106" s="79"/>
      <c r="N106" s="78"/>
      <c r="O106" s="80"/>
      <c r="P106" s="77"/>
      <c r="Q106" s="78"/>
      <c r="R106" s="79"/>
      <c r="S106" s="78"/>
      <c r="T106" s="80"/>
      <c r="U106" s="81"/>
      <c r="V106" s="78"/>
      <c r="W106" s="79"/>
      <c r="X106" s="78"/>
      <c r="Y106" s="79"/>
      <c r="Z106" s="77"/>
      <c r="AA106" s="78"/>
      <c r="AB106" s="79"/>
      <c r="AC106" s="78"/>
      <c r="AD106" s="79"/>
      <c r="AE106" s="77"/>
    </row>
    <row r="107" spans="2:31">
      <c r="B107" s="58"/>
      <c r="C107" s="60"/>
      <c r="D107" s="60"/>
      <c r="E107" s="92" t="s">
        <v>182</v>
      </c>
      <c r="F107" s="72">
        <v>0</v>
      </c>
      <c r="G107" s="73">
        <v>0</v>
      </c>
      <c r="H107" s="74">
        <v>0</v>
      </c>
      <c r="I107" s="73">
        <v>0</v>
      </c>
      <c r="J107" s="76">
        <v>0</v>
      </c>
      <c r="K107" s="72">
        <v>0</v>
      </c>
      <c r="L107" s="73">
        <v>0</v>
      </c>
      <c r="M107" s="74">
        <v>0</v>
      </c>
      <c r="N107" s="73">
        <v>0</v>
      </c>
      <c r="O107" s="76">
        <v>0</v>
      </c>
      <c r="P107" s="72">
        <v>0</v>
      </c>
      <c r="Q107" s="73">
        <v>0</v>
      </c>
      <c r="R107" s="74">
        <v>0</v>
      </c>
      <c r="S107" s="73">
        <v>0</v>
      </c>
      <c r="T107" s="76">
        <v>0</v>
      </c>
      <c r="U107" s="75">
        <v>0</v>
      </c>
      <c r="V107" s="73">
        <v>0</v>
      </c>
      <c r="W107" s="74">
        <v>0</v>
      </c>
      <c r="X107" s="73">
        <v>0</v>
      </c>
      <c r="Y107" s="74">
        <v>0</v>
      </c>
      <c r="Z107" s="72">
        <v>0</v>
      </c>
      <c r="AA107" s="73">
        <v>0</v>
      </c>
      <c r="AB107" s="74">
        <v>0</v>
      </c>
      <c r="AC107" s="73">
        <v>0</v>
      </c>
      <c r="AD107" s="74">
        <v>0</v>
      </c>
      <c r="AE107" s="72">
        <v>0</v>
      </c>
    </row>
    <row r="108" spans="2:31">
      <c r="B108" s="58"/>
      <c r="C108" s="60"/>
      <c r="D108" s="60"/>
      <c r="E108" s="92" t="s">
        <v>183</v>
      </c>
      <c r="F108" s="72">
        <v>247</v>
      </c>
      <c r="G108" s="73">
        <v>2</v>
      </c>
      <c r="H108" s="74">
        <v>0</v>
      </c>
      <c r="I108" s="73">
        <v>3</v>
      </c>
      <c r="J108" s="76">
        <v>0</v>
      </c>
      <c r="K108" s="72">
        <v>248</v>
      </c>
      <c r="L108" s="73">
        <v>0</v>
      </c>
      <c r="M108" s="74">
        <v>0</v>
      </c>
      <c r="N108" s="73">
        <v>3</v>
      </c>
      <c r="O108" s="76">
        <v>0</v>
      </c>
      <c r="P108" s="72">
        <v>251</v>
      </c>
      <c r="Q108" s="73">
        <v>5</v>
      </c>
      <c r="R108" s="74">
        <v>0</v>
      </c>
      <c r="S108" s="73">
        <v>1</v>
      </c>
      <c r="T108" s="76">
        <v>0</v>
      </c>
      <c r="U108" s="75">
        <v>247</v>
      </c>
      <c r="V108" s="73">
        <v>2</v>
      </c>
      <c r="W108" s="74">
        <v>2</v>
      </c>
      <c r="X108" s="73">
        <v>2</v>
      </c>
      <c r="Y108" s="74">
        <v>2</v>
      </c>
      <c r="Z108" s="72">
        <v>247</v>
      </c>
      <c r="AA108" s="73">
        <v>2</v>
      </c>
      <c r="AB108" s="74">
        <v>2</v>
      </c>
      <c r="AC108" s="73">
        <v>2</v>
      </c>
      <c r="AD108" s="74">
        <v>2</v>
      </c>
      <c r="AE108" s="72">
        <v>247</v>
      </c>
    </row>
    <row r="109" spans="2:31">
      <c r="B109" s="58"/>
      <c r="C109" s="60"/>
      <c r="D109" s="60"/>
      <c r="E109" s="60" t="s">
        <v>184</v>
      </c>
      <c r="F109" s="72">
        <v>242</v>
      </c>
      <c r="G109" s="73">
        <v>0</v>
      </c>
      <c r="H109" s="74">
        <v>0</v>
      </c>
      <c r="I109" s="73">
        <v>0</v>
      </c>
      <c r="J109" s="76">
        <v>0</v>
      </c>
      <c r="K109" s="72">
        <v>242</v>
      </c>
      <c r="L109" s="73">
        <v>0</v>
      </c>
      <c r="M109" s="74">
        <v>0</v>
      </c>
      <c r="N109" s="73">
        <v>2</v>
      </c>
      <c r="O109" s="76">
        <v>0</v>
      </c>
      <c r="P109" s="72">
        <v>244</v>
      </c>
      <c r="Q109" s="73">
        <v>0</v>
      </c>
      <c r="R109" s="74">
        <v>0</v>
      </c>
      <c r="S109" s="73">
        <v>0</v>
      </c>
      <c r="T109" s="76">
        <v>0</v>
      </c>
      <c r="U109" s="75">
        <v>244</v>
      </c>
      <c r="V109" s="73">
        <v>0</v>
      </c>
      <c r="W109" s="74">
        <v>0</v>
      </c>
      <c r="X109" s="73">
        <v>0</v>
      </c>
      <c r="Y109" s="74">
        <v>0</v>
      </c>
      <c r="Z109" s="72">
        <v>244</v>
      </c>
      <c r="AA109" s="73">
        <v>0</v>
      </c>
      <c r="AB109" s="74">
        <v>0</v>
      </c>
      <c r="AC109" s="73">
        <v>0</v>
      </c>
      <c r="AD109" s="74">
        <v>0</v>
      </c>
      <c r="AE109" s="72">
        <v>244</v>
      </c>
    </row>
    <row r="110" spans="2:31">
      <c r="B110" s="58"/>
      <c r="C110" s="60"/>
      <c r="D110" s="60"/>
      <c r="E110" s="92" t="s">
        <v>185</v>
      </c>
      <c r="F110" s="72">
        <v>30</v>
      </c>
      <c r="G110" s="73">
        <v>0</v>
      </c>
      <c r="H110" s="74">
        <v>0</v>
      </c>
      <c r="I110" s="73">
        <v>0</v>
      </c>
      <c r="J110" s="76">
        <v>0</v>
      </c>
      <c r="K110" s="72">
        <v>30</v>
      </c>
      <c r="L110" s="73">
        <v>0</v>
      </c>
      <c r="M110" s="74">
        <v>0</v>
      </c>
      <c r="N110" s="73">
        <v>0</v>
      </c>
      <c r="O110" s="76">
        <v>0</v>
      </c>
      <c r="P110" s="72">
        <v>30</v>
      </c>
      <c r="Q110" s="73">
        <v>0</v>
      </c>
      <c r="R110" s="74">
        <v>0</v>
      </c>
      <c r="S110" s="73">
        <v>0</v>
      </c>
      <c r="T110" s="76">
        <v>0</v>
      </c>
      <c r="U110" s="75">
        <v>30</v>
      </c>
      <c r="V110" s="73">
        <v>0</v>
      </c>
      <c r="W110" s="74">
        <v>2</v>
      </c>
      <c r="X110" s="73">
        <v>0</v>
      </c>
      <c r="Y110" s="74">
        <v>2</v>
      </c>
      <c r="Z110" s="72">
        <v>30</v>
      </c>
      <c r="AA110" s="73">
        <v>0</v>
      </c>
      <c r="AB110" s="74">
        <v>2</v>
      </c>
      <c r="AC110" s="73">
        <v>0</v>
      </c>
      <c r="AD110" s="74">
        <v>2</v>
      </c>
      <c r="AE110" s="72">
        <v>30</v>
      </c>
    </row>
    <row r="111" spans="2:31">
      <c r="B111" s="58"/>
      <c r="C111" s="60"/>
      <c r="D111" s="65"/>
      <c r="E111" s="60" t="s">
        <v>186</v>
      </c>
      <c r="F111" s="72">
        <v>0</v>
      </c>
      <c r="G111" s="73">
        <v>0</v>
      </c>
      <c r="H111" s="74">
        <v>0</v>
      </c>
      <c r="I111" s="73">
        <v>0</v>
      </c>
      <c r="J111" s="76">
        <v>0</v>
      </c>
      <c r="K111" s="72">
        <v>0</v>
      </c>
      <c r="L111" s="73">
        <v>0</v>
      </c>
      <c r="M111" s="74">
        <v>0</v>
      </c>
      <c r="N111" s="73">
        <v>0</v>
      </c>
      <c r="O111" s="76">
        <v>0</v>
      </c>
      <c r="P111" s="72">
        <v>0</v>
      </c>
      <c r="Q111" s="73">
        <v>0</v>
      </c>
      <c r="R111" s="74">
        <v>0</v>
      </c>
      <c r="S111" s="73">
        <v>0</v>
      </c>
      <c r="T111" s="76">
        <v>0</v>
      </c>
      <c r="U111" s="75">
        <v>0</v>
      </c>
      <c r="V111" s="73">
        <v>0</v>
      </c>
      <c r="W111" s="74">
        <v>0</v>
      </c>
      <c r="X111" s="73">
        <v>0</v>
      </c>
      <c r="Y111" s="74">
        <v>0</v>
      </c>
      <c r="Z111" s="72">
        <v>0</v>
      </c>
      <c r="AA111" s="73">
        <v>0</v>
      </c>
      <c r="AB111" s="74">
        <v>0</v>
      </c>
      <c r="AC111" s="73">
        <v>0</v>
      </c>
      <c r="AD111" s="74">
        <v>0</v>
      </c>
      <c r="AE111" s="72">
        <v>0</v>
      </c>
    </row>
    <row r="112" spans="2:31" ht="13.5" thickBot="1">
      <c r="B112" s="82"/>
      <c r="C112" s="83"/>
      <c r="D112" s="83"/>
      <c r="E112" s="83"/>
      <c r="F112" s="84"/>
      <c r="G112" s="85"/>
      <c r="H112" s="86"/>
      <c r="I112" s="85"/>
      <c r="J112" s="87"/>
      <c r="K112" s="88"/>
      <c r="L112" s="85"/>
      <c r="M112" s="86"/>
      <c r="N112" s="85"/>
      <c r="O112" s="87"/>
      <c r="P112" s="88"/>
      <c r="Q112" s="85"/>
      <c r="R112" s="86"/>
      <c r="S112" s="85"/>
      <c r="T112" s="87"/>
      <c r="U112" s="89"/>
      <c r="V112" s="85"/>
      <c r="W112" s="86"/>
      <c r="X112" s="85"/>
      <c r="Y112" s="86"/>
      <c r="Z112" s="88"/>
      <c r="AA112" s="85"/>
      <c r="AB112" s="86"/>
      <c r="AC112" s="85"/>
      <c r="AD112" s="86"/>
      <c r="AE112" s="88"/>
    </row>
    <row r="113" spans="2:31">
      <c r="B113" s="90"/>
      <c r="C113" s="91" t="s">
        <v>187</v>
      </c>
      <c r="D113" s="91"/>
      <c r="E113" s="92"/>
      <c r="F113" s="77"/>
      <c r="G113" s="78"/>
      <c r="H113" s="79"/>
      <c r="I113" s="78"/>
      <c r="J113" s="80"/>
      <c r="K113" s="77"/>
      <c r="L113" s="78"/>
      <c r="M113" s="79"/>
      <c r="N113" s="78"/>
      <c r="O113" s="80"/>
      <c r="P113" s="77"/>
      <c r="Q113" s="78"/>
      <c r="R113" s="79"/>
      <c r="S113" s="78"/>
      <c r="T113" s="80"/>
      <c r="U113" s="81"/>
      <c r="V113" s="78"/>
      <c r="W113" s="79"/>
      <c r="X113" s="78"/>
      <c r="Y113" s="79"/>
      <c r="Z113" s="77"/>
      <c r="AA113" s="78"/>
      <c r="AB113" s="79"/>
      <c r="AC113" s="78"/>
      <c r="AD113" s="79"/>
      <c r="AE113" s="77"/>
    </row>
    <row r="114" spans="2:31">
      <c r="B114" s="58"/>
      <c r="C114" s="60"/>
      <c r="D114" s="65" t="s">
        <v>110</v>
      </c>
      <c r="E114" s="60"/>
      <c r="F114" s="77"/>
      <c r="G114" s="78"/>
      <c r="H114" s="79"/>
      <c r="I114" s="78"/>
      <c r="J114" s="80"/>
      <c r="K114" s="77"/>
      <c r="L114" s="78"/>
      <c r="M114" s="79"/>
      <c r="N114" s="78"/>
      <c r="O114" s="80"/>
      <c r="P114" s="77"/>
      <c r="Q114" s="78"/>
      <c r="R114" s="79"/>
      <c r="S114" s="78"/>
      <c r="T114" s="80"/>
      <c r="U114" s="81"/>
      <c r="V114" s="78"/>
      <c r="W114" s="79"/>
      <c r="X114" s="78"/>
      <c r="Y114" s="79"/>
      <c r="Z114" s="77"/>
      <c r="AA114" s="78"/>
      <c r="AB114" s="79"/>
      <c r="AC114" s="78"/>
      <c r="AD114" s="79"/>
      <c r="AE114" s="77"/>
    </row>
    <row r="115" spans="2:31">
      <c r="B115" s="58"/>
      <c r="C115" s="60"/>
      <c r="D115" s="65"/>
      <c r="E115" s="60" t="s">
        <v>188</v>
      </c>
      <c r="F115" s="72">
        <v>91</v>
      </c>
      <c r="G115" s="73">
        <v>0</v>
      </c>
      <c r="H115" s="74">
        <v>0</v>
      </c>
      <c r="I115" s="73">
        <v>0</v>
      </c>
      <c r="J115" s="76">
        <v>0</v>
      </c>
      <c r="K115" s="72">
        <v>91</v>
      </c>
      <c r="L115" s="73">
        <v>0</v>
      </c>
      <c r="M115" s="74">
        <v>0</v>
      </c>
      <c r="N115" s="73">
        <v>0</v>
      </c>
      <c r="O115" s="76">
        <v>0</v>
      </c>
      <c r="P115" s="72">
        <v>91</v>
      </c>
      <c r="Q115" s="73">
        <v>0</v>
      </c>
      <c r="R115" s="74">
        <v>0</v>
      </c>
      <c r="S115" s="73">
        <v>0</v>
      </c>
      <c r="T115" s="76">
        <v>0</v>
      </c>
      <c r="U115" s="75">
        <v>91</v>
      </c>
      <c r="V115" s="73">
        <v>0</v>
      </c>
      <c r="W115" s="74">
        <v>0</v>
      </c>
      <c r="X115" s="73">
        <v>0</v>
      </c>
      <c r="Y115" s="74">
        <v>0</v>
      </c>
      <c r="Z115" s="72">
        <v>91</v>
      </c>
      <c r="AA115" s="73">
        <v>0</v>
      </c>
      <c r="AB115" s="74">
        <v>0</v>
      </c>
      <c r="AC115" s="73">
        <v>0</v>
      </c>
      <c r="AD115" s="74">
        <v>0</v>
      </c>
      <c r="AE115" s="72">
        <v>91</v>
      </c>
    </row>
    <row r="116" spans="2:31">
      <c r="B116" s="58"/>
      <c r="C116" s="60"/>
      <c r="D116" s="65"/>
      <c r="E116" s="60" t="s">
        <v>189</v>
      </c>
      <c r="F116" s="72">
        <v>1089</v>
      </c>
      <c r="G116" s="73">
        <v>0</v>
      </c>
      <c r="H116" s="74">
        <v>0</v>
      </c>
      <c r="I116" s="73">
        <v>0</v>
      </c>
      <c r="J116" s="76">
        <v>0</v>
      </c>
      <c r="K116" s="72">
        <v>1089</v>
      </c>
      <c r="L116" s="73">
        <v>0</v>
      </c>
      <c r="M116" s="74">
        <v>0</v>
      </c>
      <c r="N116" s="73">
        <v>0</v>
      </c>
      <c r="O116" s="76">
        <v>0</v>
      </c>
      <c r="P116" s="72">
        <v>1089</v>
      </c>
      <c r="Q116" s="73">
        <v>0</v>
      </c>
      <c r="R116" s="74">
        <v>0</v>
      </c>
      <c r="S116" s="73">
        <v>0</v>
      </c>
      <c r="T116" s="76">
        <v>0</v>
      </c>
      <c r="U116" s="75">
        <v>1089</v>
      </c>
      <c r="V116" s="73">
        <v>0</v>
      </c>
      <c r="W116" s="74">
        <v>0</v>
      </c>
      <c r="X116" s="73">
        <v>0</v>
      </c>
      <c r="Y116" s="74">
        <v>0</v>
      </c>
      <c r="Z116" s="72">
        <v>1089</v>
      </c>
      <c r="AA116" s="73">
        <v>0</v>
      </c>
      <c r="AB116" s="74">
        <v>0</v>
      </c>
      <c r="AC116" s="73">
        <v>0</v>
      </c>
      <c r="AD116" s="74">
        <v>0</v>
      </c>
      <c r="AE116" s="72">
        <v>1089</v>
      </c>
    </row>
    <row r="117" spans="2:31">
      <c r="B117" s="58"/>
      <c r="C117" s="60"/>
      <c r="D117" s="65"/>
      <c r="E117" s="92"/>
      <c r="F117" s="77"/>
      <c r="G117" s="78"/>
      <c r="H117" s="79"/>
      <c r="I117" s="78"/>
      <c r="J117" s="80"/>
      <c r="K117" s="77"/>
      <c r="L117" s="78"/>
      <c r="M117" s="79"/>
      <c r="N117" s="78"/>
      <c r="O117" s="80"/>
      <c r="P117" s="77"/>
      <c r="Q117" s="78"/>
      <c r="R117" s="79"/>
      <c r="S117" s="78"/>
      <c r="T117" s="80"/>
      <c r="U117" s="81"/>
      <c r="V117" s="78"/>
      <c r="W117" s="79"/>
      <c r="X117" s="78"/>
      <c r="Y117" s="79"/>
      <c r="Z117" s="77"/>
      <c r="AA117" s="78"/>
      <c r="AB117" s="79"/>
      <c r="AC117" s="78"/>
      <c r="AD117" s="79"/>
      <c r="AE117" s="77"/>
    </row>
    <row r="118" spans="2:31">
      <c r="B118" s="58"/>
      <c r="C118" s="60"/>
      <c r="D118" s="65" t="s">
        <v>113</v>
      </c>
      <c r="E118" s="60"/>
      <c r="F118" s="77"/>
      <c r="G118" s="78"/>
      <c r="H118" s="79"/>
      <c r="I118" s="78"/>
      <c r="J118" s="80"/>
      <c r="K118" s="77"/>
      <c r="L118" s="78"/>
      <c r="M118" s="79"/>
      <c r="N118" s="78"/>
      <c r="O118" s="80"/>
      <c r="P118" s="77"/>
      <c r="Q118" s="78"/>
      <c r="R118" s="79"/>
      <c r="S118" s="78"/>
      <c r="T118" s="80"/>
      <c r="U118" s="81"/>
      <c r="V118" s="78"/>
      <c r="W118" s="79"/>
      <c r="X118" s="78"/>
      <c r="Y118" s="79"/>
      <c r="Z118" s="77"/>
      <c r="AA118" s="78"/>
      <c r="AB118" s="79"/>
      <c r="AC118" s="78"/>
      <c r="AD118" s="79"/>
      <c r="AE118" s="77"/>
    </row>
    <row r="119" spans="2:31">
      <c r="B119" s="58"/>
      <c r="C119" s="60"/>
      <c r="D119" s="65"/>
      <c r="E119" s="60" t="s">
        <v>190</v>
      </c>
      <c r="F119" s="72">
        <v>835</v>
      </c>
      <c r="G119" s="73">
        <v>0</v>
      </c>
      <c r="H119" s="74">
        <v>0</v>
      </c>
      <c r="I119" s="73">
        <v>0</v>
      </c>
      <c r="J119" s="76">
        <v>0</v>
      </c>
      <c r="K119" s="72">
        <v>835</v>
      </c>
      <c r="L119" s="73">
        <v>0</v>
      </c>
      <c r="M119" s="74">
        <v>0</v>
      </c>
      <c r="N119" s="73">
        <v>0</v>
      </c>
      <c r="O119" s="76">
        <v>0</v>
      </c>
      <c r="P119" s="72">
        <v>835</v>
      </c>
      <c r="Q119" s="73">
        <v>0</v>
      </c>
      <c r="R119" s="74">
        <v>0</v>
      </c>
      <c r="S119" s="73">
        <v>0</v>
      </c>
      <c r="T119" s="76">
        <v>0</v>
      </c>
      <c r="U119" s="75">
        <v>835</v>
      </c>
      <c r="V119" s="73">
        <v>0</v>
      </c>
      <c r="W119" s="74">
        <v>10</v>
      </c>
      <c r="X119" s="73">
        <v>0</v>
      </c>
      <c r="Y119" s="74">
        <v>10</v>
      </c>
      <c r="Z119" s="72">
        <v>835</v>
      </c>
      <c r="AA119" s="73">
        <v>0</v>
      </c>
      <c r="AB119" s="74">
        <v>10</v>
      </c>
      <c r="AC119" s="73">
        <v>0</v>
      </c>
      <c r="AD119" s="74">
        <v>10</v>
      </c>
      <c r="AE119" s="72">
        <v>835</v>
      </c>
    </row>
    <row r="120" spans="2:31">
      <c r="B120" s="58"/>
      <c r="C120" s="60"/>
      <c r="D120" s="65"/>
      <c r="E120" s="60" t="s">
        <v>191</v>
      </c>
      <c r="F120" s="72">
        <v>2354</v>
      </c>
      <c r="G120" s="73">
        <v>0</v>
      </c>
      <c r="H120" s="74">
        <v>0</v>
      </c>
      <c r="I120" s="73">
        <v>0</v>
      </c>
      <c r="J120" s="76">
        <v>0</v>
      </c>
      <c r="K120" s="72">
        <v>2354</v>
      </c>
      <c r="L120" s="73">
        <v>0</v>
      </c>
      <c r="M120" s="74">
        <v>0</v>
      </c>
      <c r="N120" s="73">
        <v>0</v>
      </c>
      <c r="O120" s="76">
        <v>0</v>
      </c>
      <c r="P120" s="72">
        <v>2354</v>
      </c>
      <c r="Q120" s="73">
        <v>0</v>
      </c>
      <c r="R120" s="74">
        <v>0</v>
      </c>
      <c r="S120" s="73">
        <v>0</v>
      </c>
      <c r="T120" s="76">
        <v>0</v>
      </c>
      <c r="U120" s="75">
        <v>2354</v>
      </c>
      <c r="V120" s="73">
        <v>0</v>
      </c>
      <c r="W120" s="74">
        <v>1</v>
      </c>
      <c r="X120" s="73">
        <v>0</v>
      </c>
      <c r="Y120" s="74">
        <v>1</v>
      </c>
      <c r="Z120" s="72">
        <v>2354</v>
      </c>
      <c r="AA120" s="73">
        <v>0</v>
      </c>
      <c r="AB120" s="74">
        <v>1</v>
      </c>
      <c r="AC120" s="73">
        <v>0</v>
      </c>
      <c r="AD120" s="74">
        <v>1</v>
      </c>
      <c r="AE120" s="72">
        <v>2354</v>
      </c>
    </row>
    <row r="121" spans="2:31">
      <c r="B121" s="58"/>
      <c r="C121" s="60"/>
      <c r="D121" s="65"/>
      <c r="E121" s="92" t="s">
        <v>192</v>
      </c>
      <c r="F121" s="72">
        <v>4708</v>
      </c>
      <c r="G121" s="73">
        <v>0</v>
      </c>
      <c r="H121" s="74">
        <v>0</v>
      </c>
      <c r="I121" s="73">
        <v>0</v>
      </c>
      <c r="J121" s="76">
        <v>0</v>
      </c>
      <c r="K121" s="72">
        <v>4708</v>
      </c>
      <c r="L121" s="73">
        <v>0</v>
      </c>
      <c r="M121" s="74">
        <v>0</v>
      </c>
      <c r="N121" s="73">
        <v>0</v>
      </c>
      <c r="O121" s="76">
        <v>0</v>
      </c>
      <c r="P121" s="72">
        <v>4708</v>
      </c>
      <c r="Q121" s="73">
        <v>0</v>
      </c>
      <c r="R121" s="74">
        <v>0</v>
      </c>
      <c r="S121" s="73">
        <v>0</v>
      </c>
      <c r="T121" s="76">
        <v>0</v>
      </c>
      <c r="U121" s="75">
        <v>4708</v>
      </c>
      <c r="V121" s="73">
        <v>0</v>
      </c>
      <c r="W121" s="74">
        <v>0</v>
      </c>
      <c r="X121" s="73">
        <v>0</v>
      </c>
      <c r="Y121" s="74">
        <v>0</v>
      </c>
      <c r="Z121" s="72">
        <v>4708</v>
      </c>
      <c r="AA121" s="73">
        <v>0</v>
      </c>
      <c r="AB121" s="74">
        <v>0</v>
      </c>
      <c r="AC121" s="73">
        <v>0</v>
      </c>
      <c r="AD121" s="74">
        <v>0</v>
      </c>
      <c r="AE121" s="72">
        <v>4708</v>
      </c>
    </row>
    <row r="122" spans="2:31">
      <c r="B122" s="58"/>
      <c r="C122" s="60"/>
      <c r="D122" s="60"/>
      <c r="E122" s="60"/>
      <c r="F122" s="77"/>
      <c r="G122" s="78"/>
      <c r="H122" s="79"/>
      <c r="I122" s="78"/>
      <c r="J122" s="80"/>
      <c r="K122" s="77"/>
      <c r="L122" s="78"/>
      <c r="M122" s="79"/>
      <c r="N122" s="78"/>
      <c r="O122" s="80"/>
      <c r="P122" s="77"/>
      <c r="Q122" s="78"/>
      <c r="R122" s="79"/>
      <c r="S122" s="78"/>
      <c r="T122" s="80"/>
      <c r="U122" s="81"/>
      <c r="V122" s="78"/>
      <c r="W122" s="79"/>
      <c r="X122" s="78"/>
      <c r="Y122" s="79"/>
      <c r="Z122" s="77"/>
      <c r="AA122" s="78"/>
      <c r="AB122" s="79"/>
      <c r="AC122" s="78"/>
      <c r="AD122" s="79"/>
      <c r="AE122" s="77"/>
    </row>
    <row r="123" spans="2:31">
      <c r="B123" s="58"/>
      <c r="C123" s="60"/>
      <c r="D123" s="65" t="s">
        <v>134</v>
      </c>
      <c r="E123" s="60"/>
      <c r="F123" s="77"/>
      <c r="G123" s="78"/>
      <c r="H123" s="79"/>
      <c r="I123" s="78"/>
      <c r="J123" s="80"/>
      <c r="K123" s="77"/>
      <c r="L123" s="78"/>
      <c r="M123" s="79"/>
      <c r="N123" s="78"/>
      <c r="O123" s="80"/>
      <c r="P123" s="77"/>
      <c r="Q123" s="78"/>
      <c r="R123" s="79"/>
      <c r="S123" s="78"/>
      <c r="T123" s="80"/>
      <c r="U123" s="81"/>
      <c r="V123" s="78"/>
      <c r="W123" s="79"/>
      <c r="X123" s="78"/>
      <c r="Y123" s="79"/>
      <c r="Z123" s="77"/>
      <c r="AA123" s="78"/>
      <c r="AB123" s="79"/>
      <c r="AC123" s="78"/>
      <c r="AD123" s="79"/>
      <c r="AE123" s="77"/>
    </row>
    <row r="124" spans="2:31">
      <c r="B124" s="58"/>
      <c r="C124" s="60"/>
      <c r="D124" s="60"/>
      <c r="E124" s="60" t="s">
        <v>193</v>
      </c>
      <c r="F124" s="72">
        <v>35</v>
      </c>
      <c r="G124" s="73">
        <v>0</v>
      </c>
      <c r="H124" s="74">
        <v>0</v>
      </c>
      <c r="I124" s="73">
        <v>0</v>
      </c>
      <c r="J124" s="76">
        <v>0</v>
      </c>
      <c r="K124" s="72">
        <v>35</v>
      </c>
      <c r="L124" s="73">
        <v>0</v>
      </c>
      <c r="M124" s="74">
        <v>0</v>
      </c>
      <c r="N124" s="73">
        <v>0.4</v>
      </c>
      <c r="O124" s="76">
        <v>0</v>
      </c>
      <c r="P124" s="72">
        <v>35.4</v>
      </c>
      <c r="Q124" s="73">
        <v>0</v>
      </c>
      <c r="R124" s="74">
        <v>0</v>
      </c>
      <c r="S124" s="73">
        <v>0</v>
      </c>
      <c r="T124" s="76">
        <v>0</v>
      </c>
      <c r="U124" s="75">
        <v>35.4</v>
      </c>
      <c r="V124" s="73">
        <v>0</v>
      </c>
      <c r="W124" s="74">
        <v>0</v>
      </c>
      <c r="X124" s="73">
        <v>0</v>
      </c>
      <c r="Y124" s="74">
        <v>0</v>
      </c>
      <c r="Z124" s="72">
        <v>35.4</v>
      </c>
      <c r="AA124" s="73">
        <v>0</v>
      </c>
      <c r="AB124" s="74">
        <v>0</v>
      </c>
      <c r="AC124" s="73">
        <v>0</v>
      </c>
      <c r="AD124" s="74">
        <v>0</v>
      </c>
      <c r="AE124" s="72">
        <v>35.4</v>
      </c>
    </row>
    <row r="125" spans="2:31">
      <c r="B125" s="58"/>
      <c r="C125" s="60"/>
      <c r="D125" s="60"/>
      <c r="E125" s="60" t="s">
        <v>194</v>
      </c>
      <c r="F125" s="72">
        <v>58</v>
      </c>
      <c r="G125" s="73">
        <v>0</v>
      </c>
      <c r="H125" s="74">
        <v>0</v>
      </c>
      <c r="I125" s="73">
        <v>0</v>
      </c>
      <c r="J125" s="76">
        <v>0</v>
      </c>
      <c r="K125" s="72">
        <v>58</v>
      </c>
      <c r="L125" s="73">
        <v>0</v>
      </c>
      <c r="M125" s="74">
        <v>0</v>
      </c>
      <c r="N125" s="73">
        <v>0</v>
      </c>
      <c r="O125" s="76">
        <v>0</v>
      </c>
      <c r="P125" s="72">
        <v>58</v>
      </c>
      <c r="Q125" s="73">
        <v>0</v>
      </c>
      <c r="R125" s="74">
        <v>0</v>
      </c>
      <c r="S125" s="73">
        <v>0</v>
      </c>
      <c r="T125" s="76">
        <v>0</v>
      </c>
      <c r="U125" s="75">
        <v>58</v>
      </c>
      <c r="V125" s="73">
        <v>0</v>
      </c>
      <c r="W125" s="74">
        <v>0.1</v>
      </c>
      <c r="X125" s="73">
        <v>0</v>
      </c>
      <c r="Y125" s="74">
        <v>0.1</v>
      </c>
      <c r="Z125" s="72">
        <v>58</v>
      </c>
      <c r="AA125" s="73">
        <v>0</v>
      </c>
      <c r="AB125" s="74">
        <v>0.1</v>
      </c>
      <c r="AC125" s="73">
        <v>0</v>
      </c>
      <c r="AD125" s="74">
        <v>0.1</v>
      </c>
      <c r="AE125" s="72">
        <v>58</v>
      </c>
    </row>
    <row r="126" spans="2:31">
      <c r="B126" s="58"/>
      <c r="C126" s="60"/>
      <c r="D126" s="60"/>
      <c r="E126" s="60" t="s">
        <v>195</v>
      </c>
      <c r="F126" s="72">
        <v>0</v>
      </c>
      <c r="G126" s="73">
        <v>0</v>
      </c>
      <c r="H126" s="74">
        <v>0</v>
      </c>
      <c r="I126" s="73">
        <v>0</v>
      </c>
      <c r="J126" s="76">
        <v>0</v>
      </c>
      <c r="K126" s="72">
        <v>0</v>
      </c>
      <c r="L126" s="73">
        <v>0</v>
      </c>
      <c r="M126" s="74">
        <v>0</v>
      </c>
      <c r="N126" s="73">
        <v>0</v>
      </c>
      <c r="O126" s="76">
        <v>0</v>
      </c>
      <c r="P126" s="72">
        <v>0</v>
      </c>
      <c r="Q126" s="73">
        <v>0</v>
      </c>
      <c r="R126" s="74">
        <v>0</v>
      </c>
      <c r="S126" s="73">
        <v>0</v>
      </c>
      <c r="T126" s="76">
        <v>0</v>
      </c>
      <c r="U126" s="75">
        <v>0</v>
      </c>
      <c r="V126" s="73">
        <v>0</v>
      </c>
      <c r="W126" s="74">
        <v>0</v>
      </c>
      <c r="X126" s="73">
        <v>0</v>
      </c>
      <c r="Y126" s="74">
        <v>0</v>
      </c>
      <c r="Z126" s="72">
        <v>0</v>
      </c>
      <c r="AA126" s="73">
        <v>0</v>
      </c>
      <c r="AB126" s="74">
        <v>0</v>
      </c>
      <c r="AC126" s="73">
        <v>0</v>
      </c>
      <c r="AD126" s="74">
        <v>0</v>
      </c>
      <c r="AE126" s="72">
        <v>0</v>
      </c>
    </row>
    <row r="127" spans="2:31">
      <c r="B127" s="58"/>
      <c r="C127" s="60"/>
      <c r="D127" s="60"/>
      <c r="E127" s="60"/>
      <c r="F127" s="77"/>
      <c r="G127" s="78"/>
      <c r="H127" s="79"/>
      <c r="I127" s="78"/>
      <c r="J127" s="80"/>
      <c r="K127" s="77"/>
      <c r="L127" s="78"/>
      <c r="M127" s="79"/>
      <c r="N127" s="78"/>
      <c r="O127" s="80"/>
      <c r="P127" s="77"/>
      <c r="Q127" s="78"/>
      <c r="R127" s="79"/>
      <c r="S127" s="78"/>
      <c r="T127" s="80"/>
      <c r="U127" s="81"/>
      <c r="V127" s="78"/>
      <c r="W127" s="79"/>
      <c r="X127" s="78"/>
      <c r="Y127" s="79"/>
      <c r="Z127" s="77"/>
      <c r="AA127" s="78"/>
      <c r="AB127" s="79"/>
      <c r="AC127" s="78"/>
      <c r="AD127" s="79"/>
      <c r="AE127" s="77"/>
    </row>
    <row r="128" spans="2:31">
      <c r="B128" s="58"/>
      <c r="C128" s="60"/>
      <c r="D128" s="65" t="s">
        <v>137</v>
      </c>
      <c r="E128" s="60"/>
      <c r="F128" s="77"/>
      <c r="G128" s="78"/>
      <c r="H128" s="79"/>
      <c r="I128" s="78"/>
      <c r="J128" s="80"/>
      <c r="K128" s="77"/>
      <c r="L128" s="78"/>
      <c r="M128" s="79"/>
      <c r="N128" s="78"/>
      <c r="O128" s="80"/>
      <c r="P128" s="77"/>
      <c r="Q128" s="78"/>
      <c r="R128" s="79"/>
      <c r="S128" s="78"/>
      <c r="T128" s="80"/>
      <c r="U128" s="81"/>
      <c r="V128" s="78"/>
      <c r="W128" s="79"/>
      <c r="X128" s="78"/>
      <c r="Y128" s="79"/>
      <c r="Z128" s="77"/>
      <c r="AA128" s="78"/>
      <c r="AB128" s="79"/>
      <c r="AC128" s="78"/>
      <c r="AD128" s="79"/>
      <c r="AE128" s="77"/>
    </row>
    <row r="129" spans="2:31">
      <c r="B129" s="58"/>
      <c r="C129" s="60"/>
      <c r="D129" s="60"/>
      <c r="E129" s="92" t="s">
        <v>196</v>
      </c>
      <c r="F129" s="72">
        <v>0</v>
      </c>
      <c r="G129" s="73">
        <v>0</v>
      </c>
      <c r="H129" s="74">
        <v>0</v>
      </c>
      <c r="I129" s="73">
        <v>0</v>
      </c>
      <c r="J129" s="76">
        <v>0</v>
      </c>
      <c r="K129" s="72">
        <v>0</v>
      </c>
      <c r="L129" s="73">
        <v>0</v>
      </c>
      <c r="M129" s="74">
        <v>0</v>
      </c>
      <c r="N129" s="73">
        <v>0</v>
      </c>
      <c r="O129" s="76">
        <v>0</v>
      </c>
      <c r="P129" s="72">
        <v>0</v>
      </c>
      <c r="Q129" s="73">
        <v>0</v>
      </c>
      <c r="R129" s="74">
        <v>0</v>
      </c>
      <c r="S129" s="73">
        <v>0</v>
      </c>
      <c r="T129" s="76">
        <v>0</v>
      </c>
      <c r="U129" s="75">
        <v>0</v>
      </c>
      <c r="V129" s="73">
        <v>0</v>
      </c>
      <c r="W129" s="74">
        <v>0</v>
      </c>
      <c r="X129" s="73">
        <v>0</v>
      </c>
      <c r="Y129" s="74">
        <v>0</v>
      </c>
      <c r="Z129" s="72">
        <v>0</v>
      </c>
      <c r="AA129" s="73">
        <v>0</v>
      </c>
      <c r="AB129" s="74">
        <v>0</v>
      </c>
      <c r="AC129" s="73">
        <v>0</v>
      </c>
      <c r="AD129" s="74">
        <v>0</v>
      </c>
      <c r="AE129" s="72">
        <v>0</v>
      </c>
    </row>
    <row r="130" spans="2:31">
      <c r="B130" s="58"/>
      <c r="C130" s="60"/>
      <c r="D130" s="60"/>
      <c r="E130" s="60"/>
      <c r="F130" s="77"/>
      <c r="G130" s="78"/>
      <c r="H130" s="79"/>
      <c r="I130" s="78"/>
      <c r="J130" s="80"/>
      <c r="K130" s="77"/>
      <c r="L130" s="78"/>
      <c r="M130" s="79"/>
      <c r="N130" s="78"/>
      <c r="O130" s="80"/>
      <c r="P130" s="77"/>
      <c r="Q130" s="78"/>
      <c r="R130" s="79"/>
      <c r="S130" s="78"/>
      <c r="T130" s="80"/>
      <c r="U130" s="81"/>
      <c r="V130" s="78"/>
      <c r="W130" s="79"/>
      <c r="X130" s="78"/>
      <c r="Y130" s="79"/>
      <c r="Z130" s="77"/>
      <c r="AA130" s="78"/>
      <c r="AB130" s="79"/>
      <c r="AC130" s="78"/>
      <c r="AD130" s="79"/>
      <c r="AE130" s="77"/>
    </row>
    <row r="131" spans="2:31">
      <c r="B131" s="58"/>
      <c r="C131" s="60"/>
      <c r="D131" s="65" t="s">
        <v>120</v>
      </c>
      <c r="E131" s="60"/>
      <c r="F131" s="77"/>
      <c r="G131" s="78"/>
      <c r="H131" s="79"/>
      <c r="I131" s="78"/>
      <c r="J131" s="80"/>
      <c r="K131" s="77"/>
      <c r="L131" s="78"/>
      <c r="M131" s="79"/>
      <c r="N131" s="78"/>
      <c r="O131" s="80"/>
      <c r="P131" s="77"/>
      <c r="Q131" s="78"/>
      <c r="R131" s="79"/>
      <c r="S131" s="78"/>
      <c r="T131" s="80"/>
      <c r="U131" s="81"/>
      <c r="V131" s="78"/>
      <c r="W131" s="79"/>
      <c r="X131" s="78"/>
      <c r="Y131" s="79"/>
      <c r="Z131" s="77"/>
      <c r="AA131" s="78"/>
      <c r="AB131" s="79"/>
      <c r="AC131" s="78"/>
      <c r="AD131" s="79"/>
      <c r="AE131" s="77"/>
    </row>
    <row r="132" spans="2:31">
      <c r="B132" s="58"/>
      <c r="C132" s="60"/>
      <c r="D132" s="60"/>
      <c r="E132" s="60" t="s">
        <v>197</v>
      </c>
      <c r="F132" s="72">
        <v>214</v>
      </c>
      <c r="G132" s="73">
        <v>2</v>
      </c>
      <c r="H132" s="74">
        <v>1</v>
      </c>
      <c r="I132" s="73">
        <v>2</v>
      </c>
      <c r="J132" s="76">
        <v>1</v>
      </c>
      <c r="K132" s="72">
        <v>214</v>
      </c>
      <c r="L132" s="73">
        <v>0</v>
      </c>
      <c r="M132" s="74">
        <v>0</v>
      </c>
      <c r="N132" s="73">
        <v>2</v>
      </c>
      <c r="O132" s="76">
        <v>1</v>
      </c>
      <c r="P132" s="72">
        <v>217</v>
      </c>
      <c r="Q132" s="73">
        <v>0</v>
      </c>
      <c r="R132" s="74">
        <v>0</v>
      </c>
      <c r="S132" s="73">
        <v>3</v>
      </c>
      <c r="T132" s="76">
        <v>2</v>
      </c>
      <c r="U132" s="75">
        <v>222</v>
      </c>
      <c r="V132" s="73">
        <v>0</v>
      </c>
      <c r="W132" s="74">
        <v>2</v>
      </c>
      <c r="X132" s="73">
        <v>0</v>
      </c>
      <c r="Y132" s="74">
        <v>2</v>
      </c>
      <c r="Z132" s="72">
        <v>222</v>
      </c>
      <c r="AA132" s="73">
        <v>0</v>
      </c>
      <c r="AB132" s="74">
        <v>2</v>
      </c>
      <c r="AC132" s="73">
        <v>0</v>
      </c>
      <c r="AD132" s="74">
        <v>2</v>
      </c>
      <c r="AE132" s="72">
        <v>222</v>
      </c>
    </row>
    <row r="133" spans="2:31">
      <c r="B133" s="58"/>
      <c r="C133" s="60"/>
      <c r="D133" s="60"/>
      <c r="E133" s="60" t="s">
        <v>198</v>
      </c>
      <c r="F133" s="72">
        <v>730</v>
      </c>
      <c r="G133" s="73">
        <v>0</v>
      </c>
      <c r="H133" s="74">
        <v>0</v>
      </c>
      <c r="I133" s="73">
        <v>0</v>
      </c>
      <c r="J133" s="76">
        <v>0</v>
      </c>
      <c r="K133" s="72">
        <v>730</v>
      </c>
      <c r="L133" s="73">
        <v>7</v>
      </c>
      <c r="M133" s="74">
        <v>4</v>
      </c>
      <c r="N133" s="73">
        <v>0</v>
      </c>
      <c r="O133" s="76">
        <v>4</v>
      </c>
      <c r="P133" s="72">
        <v>723</v>
      </c>
      <c r="Q133" s="73">
        <v>0</v>
      </c>
      <c r="R133" s="74">
        <v>0</v>
      </c>
      <c r="S133" s="73">
        <v>2</v>
      </c>
      <c r="T133" s="76">
        <v>2</v>
      </c>
      <c r="U133" s="75">
        <v>727</v>
      </c>
      <c r="V133" s="73">
        <v>0</v>
      </c>
      <c r="W133" s="74">
        <v>0</v>
      </c>
      <c r="X133" s="73">
        <v>0</v>
      </c>
      <c r="Y133" s="74">
        <v>0</v>
      </c>
      <c r="Z133" s="72">
        <v>727</v>
      </c>
      <c r="AA133" s="73">
        <v>0</v>
      </c>
      <c r="AB133" s="74">
        <v>0</v>
      </c>
      <c r="AC133" s="73">
        <v>0</v>
      </c>
      <c r="AD133" s="74">
        <v>0</v>
      </c>
      <c r="AE133" s="72">
        <v>727</v>
      </c>
    </row>
    <row r="134" spans="2:31">
      <c r="B134" s="58"/>
      <c r="C134" s="60"/>
      <c r="D134" s="60"/>
      <c r="E134" s="60"/>
      <c r="F134" s="77"/>
      <c r="G134" s="78"/>
      <c r="H134" s="79"/>
      <c r="I134" s="78"/>
      <c r="J134" s="80"/>
      <c r="K134" s="77"/>
      <c r="L134" s="78"/>
      <c r="M134" s="79"/>
      <c r="N134" s="78"/>
      <c r="O134" s="80"/>
      <c r="P134" s="77"/>
      <c r="Q134" s="78"/>
      <c r="R134" s="79"/>
      <c r="S134" s="78"/>
      <c r="T134" s="80"/>
      <c r="U134" s="81"/>
      <c r="V134" s="78"/>
      <c r="W134" s="79"/>
      <c r="X134" s="78"/>
      <c r="Y134" s="79"/>
      <c r="Z134" s="77"/>
      <c r="AA134" s="78"/>
      <c r="AB134" s="79"/>
      <c r="AC134" s="78"/>
      <c r="AD134" s="79"/>
      <c r="AE134" s="77"/>
    </row>
    <row r="135" spans="2:31">
      <c r="B135" s="58"/>
      <c r="C135" s="60"/>
      <c r="D135" s="65" t="s">
        <v>153</v>
      </c>
      <c r="E135" s="60"/>
      <c r="F135" s="77"/>
      <c r="G135" s="78"/>
      <c r="H135" s="79"/>
      <c r="I135" s="78"/>
      <c r="J135" s="80"/>
      <c r="K135" s="77"/>
      <c r="L135" s="78"/>
      <c r="M135" s="79"/>
      <c r="N135" s="78"/>
      <c r="O135" s="80"/>
      <c r="P135" s="77"/>
      <c r="Q135" s="78"/>
      <c r="R135" s="79"/>
      <c r="S135" s="78"/>
      <c r="T135" s="80"/>
      <c r="U135" s="81"/>
      <c r="V135" s="78"/>
      <c r="W135" s="79"/>
      <c r="X135" s="78"/>
      <c r="Y135" s="79"/>
      <c r="Z135" s="77"/>
      <c r="AA135" s="78"/>
      <c r="AB135" s="79"/>
      <c r="AC135" s="78"/>
      <c r="AD135" s="79"/>
      <c r="AE135" s="77"/>
    </row>
    <row r="136" spans="2:31">
      <c r="B136" s="58"/>
      <c r="C136" s="60"/>
      <c r="D136" s="60"/>
      <c r="E136" s="92" t="s">
        <v>199</v>
      </c>
      <c r="F136" s="72">
        <v>128</v>
      </c>
      <c r="G136" s="73">
        <v>0</v>
      </c>
      <c r="H136" s="74">
        <v>0</v>
      </c>
      <c r="I136" s="73">
        <v>0</v>
      </c>
      <c r="J136" s="76">
        <v>0</v>
      </c>
      <c r="K136" s="72">
        <v>128</v>
      </c>
      <c r="L136" s="73">
        <v>1</v>
      </c>
      <c r="M136" s="74">
        <v>0</v>
      </c>
      <c r="N136" s="73">
        <v>2</v>
      </c>
      <c r="O136" s="76">
        <v>0</v>
      </c>
      <c r="P136" s="72">
        <v>129</v>
      </c>
      <c r="Q136" s="73">
        <v>3</v>
      </c>
      <c r="R136" s="74">
        <v>4</v>
      </c>
      <c r="S136" s="73">
        <v>2</v>
      </c>
      <c r="T136" s="76">
        <v>4</v>
      </c>
      <c r="U136" s="75">
        <v>128</v>
      </c>
      <c r="V136" s="73">
        <v>1</v>
      </c>
      <c r="W136" s="74">
        <v>2</v>
      </c>
      <c r="X136" s="73">
        <v>1</v>
      </c>
      <c r="Y136" s="74">
        <v>2</v>
      </c>
      <c r="Z136" s="72">
        <v>128</v>
      </c>
      <c r="AA136" s="73">
        <v>0</v>
      </c>
      <c r="AB136" s="74">
        <v>2</v>
      </c>
      <c r="AC136" s="73">
        <v>3</v>
      </c>
      <c r="AD136" s="74">
        <v>2</v>
      </c>
      <c r="AE136" s="72">
        <v>131</v>
      </c>
    </row>
    <row r="137" spans="2:31">
      <c r="B137" s="58"/>
      <c r="C137" s="60"/>
      <c r="D137" s="60"/>
      <c r="E137" s="92" t="s">
        <v>200</v>
      </c>
      <c r="F137" s="72">
        <v>133</v>
      </c>
      <c r="G137" s="73">
        <v>0</v>
      </c>
      <c r="H137" s="74">
        <v>0</v>
      </c>
      <c r="I137" s="73">
        <v>0</v>
      </c>
      <c r="J137" s="76">
        <v>0</v>
      </c>
      <c r="K137" s="72">
        <v>133</v>
      </c>
      <c r="L137" s="73">
        <v>1</v>
      </c>
      <c r="M137" s="74">
        <v>0</v>
      </c>
      <c r="N137" s="73">
        <v>2</v>
      </c>
      <c r="O137" s="76">
        <v>0</v>
      </c>
      <c r="P137" s="72">
        <v>134</v>
      </c>
      <c r="Q137" s="73">
        <v>0</v>
      </c>
      <c r="R137" s="74">
        <v>0</v>
      </c>
      <c r="S137" s="73">
        <v>0</v>
      </c>
      <c r="T137" s="76">
        <v>4</v>
      </c>
      <c r="U137" s="75">
        <v>138</v>
      </c>
      <c r="V137" s="73">
        <v>0</v>
      </c>
      <c r="W137" s="74">
        <v>0</v>
      </c>
      <c r="X137" s="73">
        <v>0</v>
      </c>
      <c r="Y137" s="74">
        <v>0</v>
      </c>
      <c r="Z137" s="72">
        <v>138</v>
      </c>
      <c r="AA137" s="73">
        <v>0</v>
      </c>
      <c r="AB137" s="74">
        <v>0</v>
      </c>
      <c r="AC137" s="73">
        <v>2</v>
      </c>
      <c r="AD137" s="74">
        <v>0</v>
      </c>
      <c r="AE137" s="72">
        <v>140</v>
      </c>
    </row>
    <row r="138" spans="2:31" ht="13.5" thickBot="1">
      <c r="B138" s="82"/>
      <c r="C138" s="83"/>
      <c r="D138" s="83"/>
      <c r="E138" s="83"/>
      <c r="F138" s="84"/>
      <c r="G138" s="85"/>
      <c r="H138" s="86"/>
      <c r="I138" s="85"/>
      <c r="J138" s="87"/>
      <c r="K138" s="88"/>
      <c r="L138" s="85"/>
      <c r="M138" s="86"/>
      <c r="N138" s="85"/>
      <c r="O138" s="87"/>
      <c r="P138" s="88"/>
      <c r="Q138" s="85"/>
      <c r="R138" s="86"/>
      <c r="S138" s="85"/>
      <c r="T138" s="87"/>
      <c r="U138" s="89"/>
      <c r="V138" s="85"/>
      <c r="W138" s="86"/>
      <c r="X138" s="85"/>
      <c r="Y138" s="86"/>
      <c r="Z138" s="88"/>
      <c r="AA138" s="85"/>
      <c r="AB138" s="86"/>
      <c r="AC138" s="85"/>
      <c r="AD138" s="86"/>
      <c r="AE138" s="88"/>
    </row>
    <row r="139" spans="2:31">
      <c r="B139" s="90"/>
      <c r="C139" s="91" t="s">
        <v>201</v>
      </c>
      <c r="D139" s="91"/>
      <c r="E139" s="92"/>
      <c r="F139" s="77"/>
      <c r="G139" s="78"/>
      <c r="H139" s="79"/>
      <c r="I139" s="78"/>
      <c r="J139" s="80"/>
      <c r="K139" s="77"/>
      <c r="L139" s="78"/>
      <c r="M139" s="79"/>
      <c r="N139" s="78"/>
      <c r="O139" s="80"/>
      <c r="P139" s="77"/>
      <c r="Q139" s="78"/>
      <c r="R139" s="79"/>
      <c r="S139" s="78"/>
      <c r="T139" s="80"/>
      <c r="U139" s="81"/>
      <c r="V139" s="78"/>
      <c r="W139" s="79"/>
      <c r="X139" s="78"/>
      <c r="Y139" s="79"/>
      <c r="Z139" s="77"/>
      <c r="AA139" s="78"/>
      <c r="AB139" s="79"/>
      <c r="AC139" s="78"/>
      <c r="AD139" s="79"/>
      <c r="AE139" s="77"/>
    </row>
    <row r="140" spans="2:31">
      <c r="B140" s="58"/>
      <c r="C140" s="60"/>
      <c r="D140" s="65" t="s">
        <v>202</v>
      </c>
      <c r="E140" s="60"/>
      <c r="F140" s="77"/>
      <c r="G140" s="78"/>
      <c r="H140" s="79"/>
      <c r="I140" s="78"/>
      <c r="J140" s="80"/>
      <c r="K140" s="77"/>
      <c r="L140" s="78"/>
      <c r="M140" s="79"/>
      <c r="N140" s="78"/>
      <c r="O140" s="80"/>
      <c r="P140" s="77"/>
      <c r="Q140" s="78"/>
      <c r="R140" s="79"/>
      <c r="S140" s="78"/>
      <c r="T140" s="80"/>
      <c r="U140" s="81"/>
      <c r="V140" s="78"/>
      <c r="W140" s="79"/>
      <c r="X140" s="78"/>
      <c r="Y140" s="79"/>
      <c r="Z140" s="77"/>
      <c r="AA140" s="78"/>
      <c r="AB140" s="79"/>
      <c r="AC140" s="78"/>
      <c r="AD140" s="79"/>
      <c r="AE140" s="77"/>
    </row>
    <row r="141" spans="2:31">
      <c r="B141" s="58"/>
      <c r="C141" s="60"/>
      <c r="D141" s="60"/>
      <c r="E141" s="92" t="s">
        <v>203</v>
      </c>
      <c r="F141" s="72">
        <v>0</v>
      </c>
      <c r="G141" s="73">
        <v>0</v>
      </c>
      <c r="H141" s="74">
        <v>0</v>
      </c>
      <c r="I141" s="73">
        <v>0</v>
      </c>
      <c r="J141" s="76">
        <v>0</v>
      </c>
      <c r="K141" s="72">
        <v>0</v>
      </c>
      <c r="L141" s="73">
        <v>0</v>
      </c>
      <c r="M141" s="74">
        <v>0</v>
      </c>
      <c r="N141" s="73">
        <v>0</v>
      </c>
      <c r="O141" s="76">
        <v>0</v>
      </c>
      <c r="P141" s="72">
        <v>0</v>
      </c>
      <c r="Q141" s="73">
        <v>0</v>
      </c>
      <c r="R141" s="74">
        <v>0</v>
      </c>
      <c r="S141" s="73">
        <v>0</v>
      </c>
      <c r="T141" s="76">
        <v>0</v>
      </c>
      <c r="U141" s="75">
        <v>0</v>
      </c>
      <c r="V141" s="73">
        <v>0</v>
      </c>
      <c r="W141" s="74">
        <v>0</v>
      </c>
      <c r="X141" s="73">
        <v>0</v>
      </c>
      <c r="Y141" s="74">
        <v>0</v>
      </c>
      <c r="Z141" s="72">
        <v>0</v>
      </c>
      <c r="AA141" s="73">
        <v>0</v>
      </c>
      <c r="AB141" s="74">
        <v>0</v>
      </c>
      <c r="AC141" s="73">
        <v>1</v>
      </c>
      <c r="AD141" s="74">
        <v>0</v>
      </c>
      <c r="AE141" s="72">
        <v>1</v>
      </c>
    </row>
    <row r="142" spans="2:31">
      <c r="B142" s="58"/>
      <c r="C142" s="60"/>
      <c r="D142" s="60"/>
      <c r="E142" s="92" t="s">
        <v>204</v>
      </c>
      <c r="F142" s="72">
        <v>272</v>
      </c>
      <c r="G142" s="73">
        <v>0</v>
      </c>
      <c r="H142" s="74">
        <v>0</v>
      </c>
      <c r="I142" s="73">
        <v>0</v>
      </c>
      <c r="J142" s="76">
        <v>0</v>
      </c>
      <c r="K142" s="72">
        <v>272</v>
      </c>
      <c r="L142" s="73">
        <v>0</v>
      </c>
      <c r="M142" s="74">
        <v>0</v>
      </c>
      <c r="N142" s="73">
        <v>0</v>
      </c>
      <c r="O142" s="76">
        <v>0</v>
      </c>
      <c r="P142" s="72">
        <v>272</v>
      </c>
      <c r="Q142" s="73">
        <v>0</v>
      </c>
      <c r="R142" s="74">
        <v>0</v>
      </c>
      <c r="S142" s="73">
        <v>0</v>
      </c>
      <c r="T142" s="76">
        <v>0</v>
      </c>
      <c r="U142" s="75">
        <v>272</v>
      </c>
      <c r="V142" s="73">
        <v>0</v>
      </c>
      <c r="W142" s="74">
        <v>0</v>
      </c>
      <c r="X142" s="73">
        <v>0</v>
      </c>
      <c r="Y142" s="74">
        <v>0</v>
      </c>
      <c r="Z142" s="72">
        <v>272</v>
      </c>
      <c r="AA142" s="73">
        <v>0</v>
      </c>
      <c r="AB142" s="74">
        <v>0</v>
      </c>
      <c r="AC142" s="73">
        <v>0</v>
      </c>
      <c r="AD142" s="74">
        <v>0</v>
      </c>
      <c r="AE142" s="72">
        <v>272</v>
      </c>
    </row>
    <row r="143" spans="2:31">
      <c r="B143" s="58"/>
      <c r="C143" s="92"/>
      <c r="D143" s="65"/>
      <c r="E143" s="60"/>
      <c r="F143" s="77"/>
      <c r="G143" s="78"/>
      <c r="H143" s="79"/>
      <c r="I143" s="78"/>
      <c r="J143" s="80"/>
      <c r="K143" s="77"/>
      <c r="L143" s="78"/>
      <c r="M143" s="79"/>
      <c r="N143" s="78"/>
      <c r="O143" s="80"/>
      <c r="P143" s="77"/>
      <c r="Q143" s="78"/>
      <c r="R143" s="79"/>
      <c r="S143" s="78"/>
      <c r="T143" s="80"/>
      <c r="U143" s="81"/>
      <c r="V143" s="78"/>
      <c r="W143" s="79"/>
      <c r="X143" s="78"/>
      <c r="Y143" s="79"/>
      <c r="Z143" s="77"/>
      <c r="AA143" s="78"/>
      <c r="AB143" s="79"/>
      <c r="AC143" s="78"/>
      <c r="AD143" s="79"/>
      <c r="AE143" s="77"/>
    </row>
    <row r="144" spans="2:31">
      <c r="B144" s="58"/>
      <c r="C144" s="60"/>
      <c r="D144" s="65" t="s">
        <v>205</v>
      </c>
      <c r="E144" s="60"/>
      <c r="F144" s="77"/>
      <c r="G144" s="78"/>
      <c r="H144" s="79"/>
      <c r="I144" s="78"/>
      <c r="J144" s="80"/>
      <c r="K144" s="77"/>
      <c r="L144" s="78"/>
      <c r="M144" s="79"/>
      <c r="N144" s="78"/>
      <c r="O144" s="80"/>
      <c r="P144" s="77"/>
      <c r="Q144" s="78"/>
      <c r="R144" s="79"/>
      <c r="S144" s="78"/>
      <c r="T144" s="80"/>
      <c r="U144" s="81"/>
      <c r="V144" s="78"/>
      <c r="W144" s="79"/>
      <c r="X144" s="78"/>
      <c r="Y144" s="79"/>
      <c r="Z144" s="77"/>
      <c r="AA144" s="78"/>
      <c r="AB144" s="79"/>
      <c r="AC144" s="78"/>
      <c r="AD144" s="79"/>
      <c r="AE144" s="77"/>
    </row>
    <row r="145" spans="2:31">
      <c r="B145" s="58"/>
      <c r="C145" s="60"/>
      <c r="D145" s="60"/>
      <c r="E145" s="92" t="s">
        <v>206</v>
      </c>
      <c r="F145" s="72">
        <v>1244</v>
      </c>
      <c r="G145" s="73">
        <v>0</v>
      </c>
      <c r="H145" s="74">
        <v>0</v>
      </c>
      <c r="I145" s="73">
        <v>0</v>
      </c>
      <c r="J145" s="76">
        <v>0</v>
      </c>
      <c r="K145" s="72">
        <v>1244</v>
      </c>
      <c r="L145" s="73">
        <v>0</v>
      </c>
      <c r="M145" s="74">
        <v>0</v>
      </c>
      <c r="N145" s="73">
        <v>0</v>
      </c>
      <c r="O145" s="76">
        <v>0</v>
      </c>
      <c r="P145" s="72">
        <v>1244</v>
      </c>
      <c r="Q145" s="73">
        <v>0</v>
      </c>
      <c r="R145" s="74">
        <v>0</v>
      </c>
      <c r="S145" s="73">
        <v>0</v>
      </c>
      <c r="T145" s="76">
        <v>0</v>
      </c>
      <c r="U145" s="75">
        <v>1244</v>
      </c>
      <c r="V145" s="73">
        <v>0</v>
      </c>
      <c r="W145" s="74">
        <v>0</v>
      </c>
      <c r="X145" s="73">
        <v>1</v>
      </c>
      <c r="Y145" s="74">
        <v>0</v>
      </c>
      <c r="Z145" s="72">
        <v>1245</v>
      </c>
      <c r="AA145" s="73">
        <v>0</v>
      </c>
      <c r="AB145" s="74">
        <v>0</v>
      </c>
      <c r="AC145" s="73">
        <v>1</v>
      </c>
      <c r="AD145" s="74">
        <v>0</v>
      </c>
      <c r="AE145" s="72">
        <v>1246</v>
      </c>
    </row>
    <row r="146" spans="2:31">
      <c r="B146" s="58"/>
      <c r="C146" s="60"/>
      <c r="D146" s="60"/>
      <c r="E146" s="92" t="s">
        <v>207</v>
      </c>
      <c r="F146" s="72">
        <v>143</v>
      </c>
      <c r="G146" s="73">
        <v>0</v>
      </c>
      <c r="H146" s="74">
        <v>0</v>
      </c>
      <c r="I146" s="73">
        <v>0</v>
      </c>
      <c r="J146" s="76">
        <v>0</v>
      </c>
      <c r="K146" s="72">
        <v>143</v>
      </c>
      <c r="L146" s="73">
        <v>0</v>
      </c>
      <c r="M146" s="74">
        <v>0</v>
      </c>
      <c r="N146" s="73">
        <v>0</v>
      </c>
      <c r="O146" s="76">
        <v>0</v>
      </c>
      <c r="P146" s="72">
        <v>143</v>
      </c>
      <c r="Q146" s="73">
        <v>0</v>
      </c>
      <c r="R146" s="74">
        <v>0</v>
      </c>
      <c r="S146" s="73">
        <v>0</v>
      </c>
      <c r="T146" s="76">
        <v>0</v>
      </c>
      <c r="U146" s="75">
        <v>143</v>
      </c>
      <c r="V146" s="73">
        <v>0</v>
      </c>
      <c r="W146" s="74">
        <v>0</v>
      </c>
      <c r="X146" s="73">
        <v>0</v>
      </c>
      <c r="Y146" s="74">
        <v>0</v>
      </c>
      <c r="Z146" s="72">
        <v>143</v>
      </c>
      <c r="AA146" s="73">
        <v>0</v>
      </c>
      <c r="AB146" s="74">
        <v>0</v>
      </c>
      <c r="AC146" s="73">
        <v>0</v>
      </c>
      <c r="AD146" s="74">
        <v>0</v>
      </c>
      <c r="AE146" s="72">
        <v>143</v>
      </c>
    </row>
    <row r="147" spans="2:31" ht="13.5" thickBot="1">
      <c r="B147" s="82"/>
      <c r="C147" s="83"/>
      <c r="D147" s="83"/>
      <c r="E147" s="83"/>
      <c r="F147" s="84"/>
      <c r="G147" s="85"/>
      <c r="H147" s="86"/>
      <c r="I147" s="85"/>
      <c r="J147" s="87"/>
      <c r="K147" s="88"/>
      <c r="L147" s="85"/>
      <c r="M147" s="86"/>
      <c r="N147" s="85"/>
      <c r="O147" s="87"/>
      <c r="P147" s="88"/>
      <c r="Q147" s="85"/>
      <c r="R147" s="86"/>
      <c r="S147" s="85"/>
      <c r="T147" s="87"/>
      <c r="U147" s="98"/>
      <c r="V147" s="85"/>
      <c r="W147" s="86"/>
      <c r="X147" s="85"/>
      <c r="Y147" s="86"/>
      <c r="Z147" s="88"/>
      <c r="AA147" s="85"/>
      <c r="AB147" s="86"/>
      <c r="AC147" s="85"/>
      <c r="AD147" s="86"/>
      <c r="AE147" s="88"/>
    </row>
  </sheetData>
  <mergeCells count="17">
    <mergeCell ref="AC8:AD8"/>
    <mergeCell ref="AA7:AE7"/>
    <mergeCell ref="G8:H8"/>
    <mergeCell ref="I8:J8"/>
    <mergeCell ref="L8:M8"/>
    <mergeCell ref="N8:O8"/>
    <mergeCell ref="Q8:R8"/>
    <mergeCell ref="S8:T8"/>
    <mergeCell ref="V8:W8"/>
    <mergeCell ref="X8:Y8"/>
    <mergeCell ref="AA8:AB8"/>
    <mergeCell ref="V7:Z7"/>
    <mergeCell ref="B7:E9"/>
    <mergeCell ref="F7:F9"/>
    <mergeCell ref="G7:K7"/>
    <mergeCell ref="L7:P7"/>
    <mergeCell ref="Q7:U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A2" workbookViewId="0">
      <selection activeCell="A2" sqref="A1:XFD1048576"/>
    </sheetView>
  </sheetViews>
  <sheetFormatPr defaultColWidth="8.85546875" defaultRowHeight="12.75"/>
  <cols>
    <col min="1" max="1" width="8.85546875" customWidth="1"/>
    <col min="2" max="2" width="62.7109375" customWidth="1"/>
    <col min="3" max="3" width="10.42578125" customWidth="1"/>
    <col min="4" max="13" width="11.28515625" bestFit="1" customWidth="1"/>
    <col min="15" max="17" width="11.7109375" customWidth="1"/>
    <col min="19" max="20" width="9" bestFit="1" customWidth="1"/>
  </cols>
  <sheetData>
    <row r="1" spans="1:20">
      <c r="A1" s="47" t="s">
        <v>94</v>
      </c>
      <c r="F1" s="48" t="s">
        <v>1022</v>
      </c>
    </row>
    <row r="3" spans="1:20">
      <c r="A3" s="47" t="s">
        <v>208</v>
      </c>
    </row>
    <row r="6" spans="1:20" s="105" customFormat="1" ht="15.75" customHeight="1">
      <c r="A6" s="99"/>
      <c r="B6" s="100" t="s">
        <v>209</v>
      </c>
      <c r="C6" s="101"/>
      <c r="D6" s="102"/>
      <c r="E6" s="102"/>
      <c r="F6" s="102"/>
      <c r="G6" s="102"/>
      <c r="H6" s="102"/>
      <c r="I6" s="102"/>
      <c r="J6" s="102"/>
      <c r="K6" s="102"/>
      <c r="L6" s="102"/>
      <c r="M6" s="102"/>
      <c r="N6" s="102"/>
      <c r="O6" s="103"/>
      <c r="P6" s="103"/>
      <c r="Q6" s="103"/>
      <c r="R6" s="104"/>
      <c r="S6" s="102"/>
      <c r="T6" s="102"/>
    </row>
    <row r="7" spans="1:20" ht="13.5" thickBot="1">
      <c r="A7" s="106"/>
      <c r="B7" s="106"/>
      <c r="C7" s="107"/>
      <c r="D7" s="106"/>
      <c r="E7" s="106"/>
      <c r="F7" s="106"/>
      <c r="G7" s="106"/>
      <c r="H7" s="106"/>
      <c r="I7" s="106"/>
      <c r="J7" s="106"/>
      <c r="K7" s="106"/>
      <c r="L7" s="106"/>
      <c r="M7" s="106"/>
      <c r="N7" s="106"/>
      <c r="O7" s="106"/>
      <c r="P7" s="106"/>
      <c r="Q7" s="106"/>
      <c r="R7" s="108"/>
      <c r="S7" s="106"/>
      <c r="T7" s="106"/>
    </row>
    <row r="8" spans="1:20" ht="15.75" customHeight="1">
      <c r="A8" s="106"/>
      <c r="B8" s="1234" t="s">
        <v>209</v>
      </c>
      <c r="C8" s="1236" t="s">
        <v>210</v>
      </c>
      <c r="D8" s="109" t="s">
        <v>211</v>
      </c>
      <c r="E8" s="110"/>
      <c r="F8" s="110"/>
      <c r="G8" s="110"/>
      <c r="H8" s="111"/>
      <c r="I8" s="110" t="s">
        <v>212</v>
      </c>
      <c r="J8" s="112"/>
      <c r="K8" s="112"/>
      <c r="L8" s="112"/>
      <c r="M8" s="111"/>
      <c r="N8" s="106"/>
      <c r="O8" s="113" t="s">
        <v>211</v>
      </c>
      <c r="P8" s="114"/>
      <c r="Q8" s="115"/>
      <c r="R8" s="108"/>
      <c r="S8" s="113" t="s">
        <v>212</v>
      </c>
      <c r="T8" s="115"/>
    </row>
    <row r="9" spans="1:20" ht="25.5">
      <c r="A9" s="106"/>
      <c r="B9" s="1235"/>
      <c r="C9" s="1237"/>
      <c r="D9" s="116" t="s">
        <v>99</v>
      </c>
      <c r="E9" s="117" t="s">
        <v>100</v>
      </c>
      <c r="F9" s="117" t="s">
        <v>101</v>
      </c>
      <c r="G9" s="117" t="s">
        <v>102</v>
      </c>
      <c r="H9" s="118" t="s">
        <v>64</v>
      </c>
      <c r="I9" s="119" t="s">
        <v>213</v>
      </c>
      <c r="J9" s="117" t="s">
        <v>214</v>
      </c>
      <c r="K9" s="117" t="s">
        <v>215</v>
      </c>
      <c r="L9" s="117" t="s">
        <v>216</v>
      </c>
      <c r="M9" s="118" t="s">
        <v>217</v>
      </c>
      <c r="N9" s="106"/>
      <c r="O9" s="120" t="s">
        <v>218</v>
      </c>
      <c r="P9" s="121" t="s">
        <v>219</v>
      </c>
      <c r="Q9" s="122" t="s">
        <v>220</v>
      </c>
      <c r="R9" s="108"/>
      <c r="S9" s="120" t="s">
        <v>219</v>
      </c>
      <c r="T9" s="122" t="s">
        <v>221</v>
      </c>
    </row>
    <row r="10" spans="1:20" s="105" customFormat="1" ht="15.75" customHeight="1">
      <c r="A10" s="99"/>
      <c r="B10" s="123" t="s">
        <v>222</v>
      </c>
      <c r="C10" s="124" t="s">
        <v>223</v>
      </c>
      <c r="D10" s="125">
        <v>17.600000000000001</v>
      </c>
      <c r="E10" s="126">
        <v>18.100000000000001</v>
      </c>
      <c r="F10" s="126">
        <v>20.7</v>
      </c>
      <c r="G10" s="126">
        <v>15.3</v>
      </c>
      <c r="H10" s="127">
        <v>14.6</v>
      </c>
      <c r="I10" s="126">
        <v>13.4</v>
      </c>
      <c r="J10" s="128">
        <v>14.1</v>
      </c>
      <c r="K10" s="128">
        <v>13.1</v>
      </c>
      <c r="L10" s="128">
        <v>13.1</v>
      </c>
      <c r="M10" s="127">
        <v>13.8</v>
      </c>
      <c r="N10" s="103"/>
      <c r="O10" s="129">
        <v>56.4</v>
      </c>
      <c r="P10" s="130">
        <v>29.9</v>
      </c>
      <c r="Q10" s="131">
        <v>86.3</v>
      </c>
      <c r="R10" s="108"/>
      <c r="S10" s="129">
        <v>67.5</v>
      </c>
      <c r="T10" s="132">
        <v>-0.2178447276940905</v>
      </c>
    </row>
    <row r="11" spans="1:20" s="105" customFormat="1" ht="15.75" customHeight="1">
      <c r="A11" s="99"/>
      <c r="B11" s="123" t="s">
        <v>224</v>
      </c>
      <c r="C11" s="124" t="s">
        <v>223</v>
      </c>
      <c r="D11" s="133">
        <v>17</v>
      </c>
      <c r="E11" s="134">
        <v>17.100000000000001</v>
      </c>
      <c r="F11" s="134">
        <v>19</v>
      </c>
      <c r="G11" s="134">
        <v>14.15</v>
      </c>
      <c r="H11" s="135">
        <v>13.5</v>
      </c>
      <c r="I11" s="134">
        <v>12.7</v>
      </c>
      <c r="J11" s="136">
        <v>13.15</v>
      </c>
      <c r="K11" s="136">
        <v>12.3</v>
      </c>
      <c r="L11" s="136">
        <v>12.3</v>
      </c>
      <c r="M11" s="135">
        <v>12.85</v>
      </c>
      <c r="N11" s="103"/>
      <c r="O11" s="129">
        <v>53.1</v>
      </c>
      <c r="P11" s="130">
        <v>27.65</v>
      </c>
      <c r="Q11" s="131">
        <v>80.75</v>
      </c>
      <c r="R11" s="108"/>
      <c r="S11" s="129">
        <v>63.3</v>
      </c>
      <c r="T11" s="132">
        <v>-0.21609907120743044</v>
      </c>
    </row>
    <row r="12" spans="1:20" s="105" customFormat="1" ht="15.75" customHeight="1">
      <c r="A12" s="99"/>
      <c r="B12" s="123" t="s">
        <v>225</v>
      </c>
      <c r="C12" s="124" t="s">
        <v>223</v>
      </c>
      <c r="D12" s="137">
        <v>0.59999999999999787</v>
      </c>
      <c r="E12" s="138">
        <v>1</v>
      </c>
      <c r="F12" s="138">
        <v>1.7</v>
      </c>
      <c r="G12" s="138">
        <v>1.1499999999999999</v>
      </c>
      <c r="H12" s="139">
        <v>1.1000000000000001</v>
      </c>
      <c r="I12" s="140">
        <v>0.70000000000000107</v>
      </c>
      <c r="J12" s="138">
        <v>0.94999999999999929</v>
      </c>
      <c r="K12" s="138">
        <v>0.80000000000000071</v>
      </c>
      <c r="L12" s="138">
        <v>0.80000000000000071</v>
      </c>
      <c r="M12" s="139">
        <v>0.94999999999999929</v>
      </c>
      <c r="N12" s="103"/>
      <c r="O12" s="129">
        <v>3.2999999999999936</v>
      </c>
      <c r="P12" s="130">
        <v>2.25</v>
      </c>
      <c r="Q12" s="131">
        <v>5.5499999999999936</v>
      </c>
      <c r="R12" s="108"/>
      <c r="S12" s="129">
        <v>4.2</v>
      </c>
      <c r="T12" s="132">
        <v>-0.24324324324324217</v>
      </c>
    </row>
    <row r="13" spans="1:20" s="105" customFormat="1" ht="15.75" customHeight="1">
      <c r="A13" s="99"/>
      <c r="B13" s="123" t="s">
        <v>226</v>
      </c>
      <c r="C13" s="124" t="s">
        <v>223</v>
      </c>
      <c r="D13" s="133">
        <v>-0.7</v>
      </c>
      <c r="E13" s="134">
        <v>3.8</v>
      </c>
      <c r="F13" s="134">
        <v>5.8</v>
      </c>
      <c r="G13" s="134">
        <v>5.4</v>
      </c>
      <c r="H13" s="135">
        <v>5.0999999999999996</v>
      </c>
      <c r="I13" s="134">
        <v>4.8</v>
      </c>
      <c r="J13" s="136">
        <v>5</v>
      </c>
      <c r="K13" s="136">
        <v>4.7</v>
      </c>
      <c r="L13" s="136">
        <v>4.7</v>
      </c>
      <c r="M13" s="135">
        <v>4.9000000000000004</v>
      </c>
      <c r="N13" s="103"/>
      <c r="O13" s="129">
        <v>8.9</v>
      </c>
      <c r="P13" s="130">
        <v>10.5</v>
      </c>
      <c r="Q13" s="131">
        <v>19.399999999999999</v>
      </c>
      <c r="R13" s="108"/>
      <c r="S13" s="129">
        <v>24.1</v>
      </c>
      <c r="T13" s="132">
        <v>0.24226804123711357</v>
      </c>
    </row>
    <row r="14" spans="1:20" s="105" customFormat="1" ht="15.75" customHeight="1" thickBot="1">
      <c r="A14" s="99"/>
      <c r="B14" s="141" t="s">
        <v>227</v>
      </c>
      <c r="C14" s="142" t="s">
        <v>223</v>
      </c>
      <c r="D14" s="143">
        <v>1.3</v>
      </c>
      <c r="E14" s="144">
        <v>-2.8</v>
      </c>
      <c r="F14" s="144">
        <v>-4.0999999999999996</v>
      </c>
      <c r="G14" s="144">
        <v>-4.25</v>
      </c>
      <c r="H14" s="145">
        <v>-4</v>
      </c>
      <c r="I14" s="146">
        <v>-4.0999999999999996</v>
      </c>
      <c r="J14" s="144">
        <v>-4.05</v>
      </c>
      <c r="K14" s="144">
        <v>-3.9</v>
      </c>
      <c r="L14" s="144">
        <v>-3.9</v>
      </c>
      <c r="M14" s="145">
        <v>-3.95</v>
      </c>
      <c r="N14" s="103"/>
      <c r="O14" s="147">
        <v>-5.6000000000000059</v>
      </c>
      <c r="P14" s="148">
        <v>-8.25</v>
      </c>
      <c r="Q14" s="149">
        <v>-13.85</v>
      </c>
      <c r="R14" s="108"/>
      <c r="S14" s="147">
        <v>-19.899999999999999</v>
      </c>
      <c r="T14" s="150">
        <v>0.43682310469314001</v>
      </c>
    </row>
    <row r="15" spans="1:20">
      <c r="A15" s="106"/>
      <c r="B15" s="106"/>
      <c r="C15" s="107"/>
      <c r="D15" s="151"/>
      <c r="E15" s="151"/>
      <c r="F15" s="151"/>
      <c r="G15" s="151"/>
      <c r="H15" s="151"/>
      <c r="I15" s="151"/>
      <c r="J15" s="151"/>
      <c r="K15" s="151"/>
      <c r="L15" s="151"/>
      <c r="M15" s="151"/>
      <c r="N15" s="151"/>
      <c r="O15" s="151"/>
      <c r="P15" s="151"/>
      <c r="Q15" s="151"/>
      <c r="R15" s="152"/>
      <c r="S15" s="151"/>
      <c r="T15" s="151"/>
    </row>
    <row r="16" spans="1:20" s="105" customFormat="1" ht="15.75" customHeight="1">
      <c r="A16" s="99"/>
      <c r="B16" s="100" t="s">
        <v>228</v>
      </c>
      <c r="C16" s="101"/>
      <c r="D16" s="102"/>
      <c r="E16" s="102"/>
      <c r="F16" s="102"/>
      <c r="G16" s="102"/>
      <c r="H16" s="102"/>
      <c r="I16" s="102"/>
      <c r="J16" s="102"/>
      <c r="K16" s="102"/>
      <c r="L16" s="102"/>
      <c r="M16" s="102"/>
      <c r="N16" s="102"/>
      <c r="O16" s="103"/>
      <c r="P16" s="103"/>
      <c r="Q16" s="103"/>
      <c r="R16" s="104"/>
      <c r="S16" s="102"/>
      <c r="T16" s="102"/>
    </row>
    <row r="17" spans="1:20" ht="13.5" thickBot="1">
      <c r="A17" s="106"/>
      <c r="B17" s="153"/>
      <c r="C17" s="107"/>
      <c r="D17" s="102"/>
      <c r="E17" s="102"/>
      <c r="F17" s="102"/>
      <c r="G17" s="102"/>
      <c r="H17" s="102"/>
      <c r="I17" s="102"/>
      <c r="J17" s="102"/>
      <c r="K17" s="102"/>
      <c r="L17" s="102"/>
      <c r="M17" s="102"/>
      <c r="N17" s="152"/>
      <c r="O17" s="152"/>
      <c r="P17" s="152"/>
      <c r="Q17" s="152"/>
      <c r="R17" s="152"/>
      <c r="S17" s="152"/>
      <c r="T17" s="152"/>
    </row>
    <row r="18" spans="1:20" ht="15.75" customHeight="1">
      <c r="A18" s="106"/>
      <c r="B18" s="1234" t="s">
        <v>228</v>
      </c>
      <c r="C18" s="1236" t="s">
        <v>210</v>
      </c>
      <c r="D18" s="154" t="s">
        <v>211</v>
      </c>
      <c r="E18" s="155"/>
      <c r="F18" s="155"/>
      <c r="G18" s="155"/>
      <c r="H18" s="156"/>
      <c r="I18" s="155" t="s">
        <v>212</v>
      </c>
      <c r="J18" s="157"/>
      <c r="K18" s="157"/>
      <c r="L18" s="157"/>
      <c r="M18" s="156"/>
      <c r="N18" s="152"/>
      <c r="O18" s="152"/>
      <c r="P18" s="152"/>
      <c r="Q18" s="152"/>
      <c r="R18" s="152"/>
      <c r="S18" s="152"/>
      <c r="T18" s="152"/>
    </row>
    <row r="19" spans="1:20" ht="26.25" customHeight="1">
      <c r="A19" s="106"/>
      <c r="B19" s="1235"/>
      <c r="C19" s="1237"/>
      <c r="D19" s="158" t="s">
        <v>99</v>
      </c>
      <c r="E19" s="159" t="s">
        <v>100</v>
      </c>
      <c r="F19" s="159" t="s">
        <v>101</v>
      </c>
      <c r="G19" s="159" t="s">
        <v>102</v>
      </c>
      <c r="H19" s="160" t="s">
        <v>64</v>
      </c>
      <c r="I19" s="161" t="s">
        <v>213</v>
      </c>
      <c r="J19" s="159" t="s">
        <v>214</v>
      </c>
      <c r="K19" s="159" t="s">
        <v>215</v>
      </c>
      <c r="L19" s="159" t="s">
        <v>216</v>
      </c>
      <c r="M19" s="160" t="s">
        <v>217</v>
      </c>
      <c r="N19" s="152"/>
      <c r="O19" s="152"/>
      <c r="P19" s="152"/>
      <c r="Q19" s="152"/>
      <c r="R19" s="152"/>
      <c r="S19" s="152"/>
      <c r="T19" s="152"/>
    </row>
    <row r="20" spans="1:20">
      <c r="A20" s="106"/>
      <c r="B20" s="162"/>
      <c r="C20" s="163"/>
      <c r="D20" s="164"/>
      <c r="E20" s="165"/>
      <c r="F20" s="165"/>
      <c r="G20" s="165"/>
      <c r="H20" s="166"/>
      <c r="I20" s="165"/>
      <c r="J20" s="165"/>
      <c r="K20" s="165"/>
      <c r="L20" s="165"/>
      <c r="M20" s="166"/>
      <c r="N20" s="152"/>
      <c r="O20" s="152"/>
      <c r="P20" s="152"/>
      <c r="Q20" s="152"/>
      <c r="R20" s="152"/>
      <c r="S20" s="152"/>
      <c r="T20" s="152"/>
    </row>
    <row r="21" spans="1:20" ht="15.75" customHeight="1">
      <c r="A21" s="106"/>
      <c r="B21" s="167" t="s">
        <v>229</v>
      </c>
      <c r="C21" s="168" t="s">
        <v>230</v>
      </c>
      <c r="D21" s="169">
        <v>2248.9503331799997</v>
      </c>
      <c r="E21" s="134">
        <v>2150.7974694199997</v>
      </c>
      <c r="F21" s="134">
        <v>2179.2925999999998</v>
      </c>
      <c r="G21" s="134">
        <v>2157.856080333333</v>
      </c>
      <c r="H21" s="135">
        <v>2157.856080333333</v>
      </c>
      <c r="I21" s="134">
        <v>2179.4346411366664</v>
      </c>
      <c r="J21" s="136">
        <v>2201.2289875480333</v>
      </c>
      <c r="K21" s="136">
        <v>2223.2412774235136</v>
      </c>
      <c r="L21" s="136">
        <v>2245.4736901977485</v>
      </c>
      <c r="M21" s="135">
        <v>2267.9284270997259</v>
      </c>
      <c r="N21" s="152"/>
      <c r="O21" s="152"/>
      <c r="P21" s="152"/>
      <c r="Q21" s="152"/>
      <c r="R21" s="152"/>
      <c r="S21" s="152"/>
      <c r="T21" s="152"/>
    </row>
    <row r="22" spans="1:20" ht="15.75" customHeight="1">
      <c r="A22" s="106"/>
      <c r="B22" s="167" t="s">
        <v>231</v>
      </c>
      <c r="C22" s="168" t="s">
        <v>230</v>
      </c>
      <c r="D22" s="133">
        <v>14.9925</v>
      </c>
      <c r="E22" s="134">
        <v>-98.152863759999931</v>
      </c>
      <c r="F22" s="134">
        <v>28.495130580000023</v>
      </c>
      <c r="G22" s="134">
        <v>-21.436519666666754</v>
      </c>
      <c r="H22" s="135">
        <v>0</v>
      </c>
      <c r="I22" s="134">
        <v>21.578560803333403</v>
      </c>
      <c r="J22" s="136">
        <v>21.79434641136686</v>
      </c>
      <c r="K22" s="136">
        <v>22.012289875480292</v>
      </c>
      <c r="L22" s="136">
        <v>22.232412774234945</v>
      </c>
      <c r="M22" s="135">
        <v>22.454736901977412</v>
      </c>
      <c r="N22" s="152"/>
      <c r="O22" s="152"/>
      <c r="P22" s="152"/>
      <c r="Q22" s="152"/>
      <c r="R22" s="152"/>
      <c r="S22" s="152"/>
      <c r="T22" s="152"/>
    </row>
    <row r="23" spans="1:20" ht="15.75" customHeight="1">
      <c r="A23" s="106"/>
      <c r="B23" s="170" t="s">
        <v>232</v>
      </c>
      <c r="C23" s="168" t="s">
        <v>230</v>
      </c>
      <c r="D23" s="171">
        <v>14.9925</v>
      </c>
      <c r="E23" s="172">
        <v>13.302100000000001</v>
      </c>
      <c r="F23" s="172">
        <v>18.3856</v>
      </c>
      <c r="G23" s="172">
        <v>14.914999999999999</v>
      </c>
      <c r="H23" s="173">
        <v>14.75</v>
      </c>
      <c r="I23" s="172">
        <v>15.8</v>
      </c>
      <c r="J23" s="174">
        <v>17.100000000000001</v>
      </c>
      <c r="K23" s="174">
        <v>18.100000000000001</v>
      </c>
      <c r="L23" s="174">
        <v>18.100000000000001</v>
      </c>
      <c r="M23" s="173">
        <v>18.100000000000001</v>
      </c>
      <c r="N23" s="152"/>
      <c r="O23" s="152"/>
      <c r="P23" s="152"/>
      <c r="Q23" s="152"/>
      <c r="R23" s="152"/>
      <c r="S23" s="152"/>
      <c r="T23" s="152"/>
    </row>
    <row r="24" spans="1:20" ht="15.75" customHeight="1">
      <c r="A24" s="106"/>
      <c r="B24" s="170" t="s">
        <v>233</v>
      </c>
      <c r="C24" s="168" t="s">
        <v>230</v>
      </c>
      <c r="D24" s="171">
        <v>0</v>
      </c>
      <c r="E24" s="172">
        <v>-0.42820000000000003</v>
      </c>
      <c r="F24" s="172">
        <v>-0.84540000000000004</v>
      </c>
      <c r="G24" s="172">
        <v>-0.47</v>
      </c>
      <c r="H24" s="173">
        <v>-0.44800000000000006</v>
      </c>
      <c r="I24" s="172">
        <v>-0.72</v>
      </c>
      <c r="J24" s="174">
        <v>-0.77500000000000002</v>
      </c>
      <c r="K24" s="174">
        <v>-0.77500000000000002</v>
      </c>
      <c r="L24" s="174">
        <v>-0.77500000000000002</v>
      </c>
      <c r="M24" s="173">
        <v>-0.77500000000000002</v>
      </c>
      <c r="N24" s="152"/>
      <c r="O24" s="152"/>
      <c r="P24" s="152"/>
      <c r="Q24" s="152"/>
      <c r="R24" s="152"/>
      <c r="S24" s="152"/>
      <c r="T24" s="152"/>
    </row>
    <row r="25" spans="1:20" ht="15.75" customHeight="1">
      <c r="A25" s="106"/>
      <c r="B25" s="170" t="s">
        <v>234</v>
      </c>
      <c r="C25" s="168" t="s">
        <v>230</v>
      </c>
      <c r="D25" s="171">
        <v>0</v>
      </c>
      <c r="E25" s="172">
        <v>-111.02676375999994</v>
      </c>
      <c r="F25" s="172">
        <v>10.954930580000022</v>
      </c>
      <c r="G25" s="172">
        <v>-35.881519666666755</v>
      </c>
      <c r="H25" s="173">
        <v>-14.302</v>
      </c>
      <c r="I25" s="172">
        <v>6.4985608033334019</v>
      </c>
      <c r="J25" s="174">
        <v>5.4693464113668586</v>
      </c>
      <c r="K25" s="174">
        <v>4.6872898754802907</v>
      </c>
      <c r="L25" s="174">
        <v>4.9074127742349436</v>
      </c>
      <c r="M25" s="173">
        <v>5.1297369019774113</v>
      </c>
      <c r="N25" s="152"/>
      <c r="O25" s="152"/>
      <c r="P25" s="152"/>
      <c r="Q25" s="152"/>
      <c r="R25" s="152"/>
      <c r="S25" s="152"/>
      <c r="T25" s="152"/>
    </row>
    <row r="26" spans="1:20" ht="15.75" customHeight="1">
      <c r="A26" s="106"/>
      <c r="B26" s="175"/>
      <c r="C26" s="176"/>
      <c r="D26" s="177"/>
      <c r="E26" s="178"/>
      <c r="F26" s="178"/>
      <c r="G26" s="178"/>
      <c r="H26" s="179"/>
      <c r="I26" s="178"/>
      <c r="J26" s="178"/>
      <c r="K26" s="178"/>
      <c r="L26" s="178"/>
      <c r="M26" s="179"/>
      <c r="N26" s="152"/>
      <c r="O26" s="152"/>
      <c r="P26" s="152"/>
      <c r="Q26" s="152"/>
      <c r="R26" s="152"/>
      <c r="S26" s="152"/>
      <c r="T26" s="152"/>
    </row>
    <row r="27" spans="1:20" ht="15.75" customHeight="1">
      <c r="A27" s="106"/>
      <c r="B27" s="167" t="s">
        <v>235</v>
      </c>
      <c r="C27" s="168" t="s">
        <v>236</v>
      </c>
      <c r="D27" s="169">
        <v>13175.31223220985</v>
      </c>
      <c r="E27" s="134">
        <v>12752.515874775498</v>
      </c>
      <c r="F27" s="134">
        <v>12653.150485799997</v>
      </c>
      <c r="G27" s="134">
        <v>12355.350485799998</v>
      </c>
      <c r="H27" s="135">
        <v>12355.350485799998</v>
      </c>
      <c r="I27" s="134">
        <v>12478.904140633249</v>
      </c>
      <c r="J27" s="136">
        <v>12603.693332014831</v>
      </c>
      <c r="K27" s="136">
        <v>12729.730415310229</v>
      </c>
      <c r="L27" s="136">
        <v>12857.027869438582</v>
      </c>
      <c r="M27" s="135">
        <v>12985.598298108218</v>
      </c>
      <c r="N27" s="152"/>
      <c r="O27" s="152"/>
      <c r="P27" s="152"/>
      <c r="Q27" s="152"/>
      <c r="R27" s="152"/>
      <c r="S27" s="152"/>
      <c r="T27" s="152"/>
    </row>
    <row r="28" spans="1:20" ht="15.75" customHeight="1">
      <c r="A28" s="106"/>
      <c r="B28" s="180" t="s">
        <v>237</v>
      </c>
      <c r="C28" s="168" t="s">
        <v>236</v>
      </c>
      <c r="D28" s="133">
        <v>56.017452167050578</v>
      </c>
      <c r="E28" s="134">
        <v>-422.7963574343521</v>
      </c>
      <c r="F28" s="134">
        <v>-99.365388975500537</v>
      </c>
      <c r="G28" s="134">
        <v>-297.8</v>
      </c>
      <c r="H28" s="135">
        <v>0</v>
      </c>
      <c r="I28" s="134">
        <v>123.55365483325113</v>
      </c>
      <c r="J28" s="136">
        <v>124.78919138158199</v>
      </c>
      <c r="K28" s="136">
        <v>126.03708329539768</v>
      </c>
      <c r="L28" s="136">
        <v>127.29745412835291</v>
      </c>
      <c r="M28" s="135">
        <v>128.57042866963639</v>
      </c>
      <c r="N28" s="152"/>
      <c r="O28" s="152"/>
      <c r="P28" s="152"/>
      <c r="Q28" s="152"/>
      <c r="R28" s="152"/>
      <c r="S28" s="152"/>
      <c r="T28" s="152"/>
    </row>
    <row r="29" spans="1:20" ht="15.75" customHeight="1">
      <c r="A29" s="106"/>
      <c r="B29" s="181" t="s">
        <v>238</v>
      </c>
      <c r="C29" s="168" t="s">
        <v>236</v>
      </c>
      <c r="D29" s="171">
        <v>56.017452167050578</v>
      </c>
      <c r="E29" s="172">
        <v>-422.7963574343521</v>
      </c>
      <c r="F29" s="172">
        <v>-99.365388975500537</v>
      </c>
      <c r="G29" s="172">
        <v>-171.3</v>
      </c>
      <c r="H29" s="173">
        <v>123.6</v>
      </c>
      <c r="I29" s="172">
        <v>123.55365483325113</v>
      </c>
      <c r="J29" s="174">
        <v>124.78919138158199</v>
      </c>
      <c r="K29" s="174">
        <v>126.03708329539768</v>
      </c>
      <c r="L29" s="174">
        <v>127.29745412835291</v>
      </c>
      <c r="M29" s="173">
        <v>128.57042866963639</v>
      </c>
      <c r="N29" s="152"/>
      <c r="O29" s="152"/>
      <c r="P29" s="152"/>
      <c r="Q29" s="152"/>
      <c r="R29" s="152"/>
      <c r="S29" s="152"/>
      <c r="T29" s="152"/>
    </row>
    <row r="30" spans="1:20" ht="15.75" customHeight="1">
      <c r="A30" s="106"/>
      <c r="B30" s="181" t="s">
        <v>239</v>
      </c>
      <c r="C30" s="168" t="s">
        <v>236</v>
      </c>
      <c r="D30" s="171">
        <v>0</v>
      </c>
      <c r="E30" s="172">
        <v>0</v>
      </c>
      <c r="F30" s="172">
        <v>0</v>
      </c>
      <c r="G30" s="172">
        <v>0</v>
      </c>
      <c r="H30" s="173">
        <v>0</v>
      </c>
      <c r="I30" s="172">
        <v>0</v>
      </c>
      <c r="J30" s="174">
        <v>0</v>
      </c>
      <c r="K30" s="174">
        <v>0</v>
      </c>
      <c r="L30" s="174">
        <v>0</v>
      </c>
      <c r="M30" s="173">
        <v>0</v>
      </c>
      <c r="N30" s="152"/>
      <c r="O30" s="152"/>
      <c r="P30" s="152"/>
      <c r="Q30" s="152"/>
      <c r="R30" s="152"/>
      <c r="S30" s="152"/>
      <c r="T30" s="152"/>
    </row>
    <row r="31" spans="1:20" ht="15.75" customHeight="1">
      <c r="A31" s="106"/>
      <c r="B31" s="181" t="s">
        <v>240</v>
      </c>
      <c r="C31" s="168" t="s">
        <v>236</v>
      </c>
      <c r="D31" s="171">
        <v>0</v>
      </c>
      <c r="E31" s="172">
        <v>0</v>
      </c>
      <c r="F31" s="172">
        <v>0</v>
      </c>
      <c r="G31" s="172">
        <v>0</v>
      </c>
      <c r="H31" s="173">
        <v>0</v>
      </c>
      <c r="I31" s="172">
        <v>0</v>
      </c>
      <c r="J31" s="174">
        <v>0</v>
      </c>
      <c r="K31" s="174">
        <v>0</v>
      </c>
      <c r="L31" s="174">
        <v>0</v>
      </c>
      <c r="M31" s="173">
        <v>0</v>
      </c>
      <c r="N31" s="152"/>
      <c r="O31" s="152"/>
      <c r="P31" s="152"/>
      <c r="Q31" s="152"/>
      <c r="R31" s="152"/>
      <c r="S31" s="152"/>
      <c r="T31" s="152"/>
    </row>
    <row r="32" spans="1:20" ht="15.75" customHeight="1">
      <c r="A32" s="106"/>
      <c r="B32" s="181" t="s">
        <v>241</v>
      </c>
      <c r="C32" s="168" t="s">
        <v>236</v>
      </c>
      <c r="D32" s="171">
        <v>0</v>
      </c>
      <c r="E32" s="172">
        <v>0</v>
      </c>
      <c r="F32" s="172">
        <v>0</v>
      </c>
      <c r="G32" s="172">
        <v>0</v>
      </c>
      <c r="H32" s="173">
        <v>0</v>
      </c>
      <c r="I32" s="172">
        <v>0</v>
      </c>
      <c r="J32" s="174">
        <v>0</v>
      </c>
      <c r="K32" s="174">
        <v>0</v>
      </c>
      <c r="L32" s="174">
        <v>0</v>
      </c>
      <c r="M32" s="173">
        <v>0</v>
      </c>
      <c r="N32" s="152"/>
      <c r="O32" s="152"/>
      <c r="P32" s="152"/>
      <c r="Q32" s="152"/>
      <c r="R32" s="152"/>
      <c r="S32" s="152"/>
      <c r="T32" s="152"/>
    </row>
    <row r="33" spans="1:20" ht="15.75" customHeight="1">
      <c r="A33" s="106"/>
      <c r="B33" s="181" t="s">
        <v>242</v>
      </c>
      <c r="C33" s="168" t="s">
        <v>236</v>
      </c>
      <c r="D33" s="171">
        <v>0</v>
      </c>
      <c r="E33" s="172">
        <v>0</v>
      </c>
      <c r="F33" s="172">
        <v>0</v>
      </c>
      <c r="G33" s="172">
        <v>0</v>
      </c>
      <c r="H33" s="173">
        <v>0</v>
      </c>
      <c r="I33" s="172">
        <v>0</v>
      </c>
      <c r="J33" s="174">
        <v>0</v>
      </c>
      <c r="K33" s="174">
        <v>0</v>
      </c>
      <c r="L33" s="174">
        <v>0</v>
      </c>
      <c r="M33" s="173">
        <v>0</v>
      </c>
      <c r="N33" s="152"/>
      <c r="O33" s="152"/>
      <c r="P33" s="152"/>
      <c r="Q33" s="152"/>
      <c r="R33" s="152"/>
      <c r="S33" s="152"/>
      <c r="T33" s="152"/>
    </row>
    <row r="34" spans="1:20" ht="15.75" customHeight="1">
      <c r="A34" s="106"/>
      <c r="B34" s="181" t="s">
        <v>243</v>
      </c>
      <c r="C34" s="168" t="s">
        <v>236</v>
      </c>
      <c r="D34" s="171">
        <v>0</v>
      </c>
      <c r="E34" s="172">
        <v>0</v>
      </c>
      <c r="F34" s="172">
        <v>0</v>
      </c>
      <c r="G34" s="172">
        <v>-126.5</v>
      </c>
      <c r="H34" s="173">
        <v>-123.6</v>
      </c>
      <c r="I34" s="172">
        <v>0</v>
      </c>
      <c r="J34" s="174">
        <v>0</v>
      </c>
      <c r="K34" s="174">
        <v>0</v>
      </c>
      <c r="L34" s="174">
        <v>0</v>
      </c>
      <c r="M34" s="173">
        <v>0</v>
      </c>
      <c r="N34" s="152"/>
      <c r="O34" s="152"/>
      <c r="P34" s="152"/>
      <c r="Q34" s="152"/>
      <c r="R34" s="152"/>
      <c r="S34" s="152"/>
      <c r="T34" s="152"/>
    </row>
    <row r="35" spans="1:20" ht="15.75" customHeight="1">
      <c r="A35" s="106"/>
      <c r="B35" s="175"/>
      <c r="C35" s="176"/>
      <c r="D35" s="182"/>
      <c r="E35" s="183"/>
      <c r="F35" s="183"/>
      <c r="G35" s="183"/>
      <c r="H35" s="184"/>
      <c r="I35" s="183"/>
      <c r="J35" s="183"/>
      <c r="K35" s="183"/>
      <c r="L35" s="183"/>
      <c r="M35" s="184"/>
      <c r="N35" s="152"/>
      <c r="O35" s="152"/>
      <c r="P35" s="152"/>
      <c r="Q35" s="152"/>
      <c r="R35" s="152"/>
      <c r="S35" s="152"/>
      <c r="T35" s="152"/>
    </row>
    <row r="36" spans="1:20" ht="15.75" customHeight="1">
      <c r="A36" s="106"/>
      <c r="B36" s="167" t="s">
        <v>235</v>
      </c>
      <c r="C36" s="168"/>
      <c r="D36" s="185"/>
      <c r="E36" s="186"/>
      <c r="F36" s="186"/>
      <c r="G36" s="186"/>
      <c r="H36" s="187"/>
      <c r="I36" s="186"/>
      <c r="J36" s="186"/>
      <c r="K36" s="186"/>
      <c r="L36" s="186"/>
      <c r="M36" s="187"/>
      <c r="N36" s="152"/>
      <c r="O36" s="152"/>
      <c r="P36" s="152"/>
      <c r="Q36" s="152"/>
      <c r="R36" s="152"/>
      <c r="S36" s="152"/>
      <c r="T36" s="152"/>
    </row>
    <row r="37" spans="1:20" ht="15.75" customHeight="1">
      <c r="A37" s="106"/>
      <c r="B37" s="170" t="s">
        <v>244</v>
      </c>
      <c r="C37" s="168" t="s">
        <v>236</v>
      </c>
      <c r="D37" s="171">
        <v>7428.8729010000015</v>
      </c>
      <c r="E37" s="172">
        <v>7245.3084919999992</v>
      </c>
      <c r="F37" s="172">
        <v>7216.2041944999992</v>
      </c>
      <c r="G37" s="172">
        <v>7288.3662364449992</v>
      </c>
      <c r="H37" s="173">
        <v>7288.3662364449992</v>
      </c>
      <c r="I37" s="172">
        <v>7361.2498988094494</v>
      </c>
      <c r="J37" s="174">
        <v>7434.862397797544</v>
      </c>
      <c r="K37" s="174">
        <v>7509.2110217755198</v>
      </c>
      <c r="L37" s="174">
        <v>7584.3031319932752</v>
      </c>
      <c r="M37" s="173">
        <v>7660.1461633132076</v>
      </c>
      <c r="N37" s="152"/>
      <c r="O37" s="152"/>
      <c r="P37" s="152"/>
      <c r="Q37" s="152"/>
      <c r="R37" s="152"/>
      <c r="S37" s="152"/>
      <c r="T37" s="152"/>
    </row>
    <row r="38" spans="1:20" ht="15.75" customHeight="1">
      <c r="A38" s="106"/>
      <c r="B38" s="170" t="s">
        <v>245</v>
      </c>
      <c r="C38" s="168" t="s">
        <v>236</v>
      </c>
      <c r="D38" s="171">
        <v>2674.8896592833335</v>
      </c>
      <c r="E38" s="172">
        <v>2491.1796430000004</v>
      </c>
      <c r="F38" s="172">
        <v>2482.1083529999996</v>
      </c>
      <c r="G38" s="172">
        <v>2407.6451024099997</v>
      </c>
      <c r="H38" s="173">
        <v>2407.6451024099997</v>
      </c>
      <c r="I38" s="172">
        <v>2431.7215534340999</v>
      </c>
      <c r="J38" s="174">
        <v>2456.0387689684408</v>
      </c>
      <c r="K38" s="174">
        <v>2480.5991566581251</v>
      </c>
      <c r="L38" s="174">
        <v>2505.4051482247064</v>
      </c>
      <c r="M38" s="173">
        <v>2530.4591997069533</v>
      </c>
      <c r="N38" s="152"/>
      <c r="O38" s="152"/>
      <c r="P38" s="152"/>
      <c r="Q38" s="152"/>
      <c r="R38" s="152"/>
      <c r="S38" s="152"/>
      <c r="T38" s="152"/>
    </row>
    <row r="39" spans="1:20" ht="15.75" customHeight="1">
      <c r="A39" s="106"/>
      <c r="B39" s="170" t="s">
        <v>246</v>
      </c>
      <c r="C39" s="168" t="s">
        <v>236</v>
      </c>
      <c r="D39" s="171">
        <v>3071.5496719265129</v>
      </c>
      <c r="E39" s="172">
        <v>3016.0277397754976</v>
      </c>
      <c r="F39" s="172">
        <v>2954.8379382999997</v>
      </c>
      <c r="G39" s="172">
        <v>2659.3541444699999</v>
      </c>
      <c r="H39" s="173">
        <v>2659.3541444699999</v>
      </c>
      <c r="I39" s="172">
        <v>2685.9476859146998</v>
      </c>
      <c r="J39" s="174">
        <v>2712.8071627738468</v>
      </c>
      <c r="K39" s="174">
        <v>2739.9352344015851</v>
      </c>
      <c r="L39" s="174">
        <v>2767.334586745601</v>
      </c>
      <c r="M39" s="173">
        <v>2795.0079326130572</v>
      </c>
      <c r="N39" s="152"/>
      <c r="O39" s="152"/>
      <c r="P39" s="152"/>
      <c r="Q39" s="152"/>
      <c r="R39" s="152"/>
      <c r="S39" s="152"/>
      <c r="T39" s="152"/>
    </row>
    <row r="40" spans="1:20" ht="15.75" customHeight="1">
      <c r="A40" s="106"/>
      <c r="B40" s="167" t="s">
        <v>247</v>
      </c>
      <c r="C40" s="168" t="s">
        <v>236</v>
      </c>
      <c r="D40" s="137">
        <v>13175.31223220985</v>
      </c>
      <c r="E40" s="140">
        <v>12752.515874775498</v>
      </c>
      <c r="F40" s="140">
        <v>12653.150485799997</v>
      </c>
      <c r="G40" s="140">
        <v>12355.365483324998</v>
      </c>
      <c r="H40" s="139">
        <v>12355.365483324998</v>
      </c>
      <c r="I40" s="140">
        <v>12478.91913815825</v>
      </c>
      <c r="J40" s="138">
        <v>12603.708329539832</v>
      </c>
      <c r="K40" s="138">
        <v>12729.745412835229</v>
      </c>
      <c r="L40" s="138">
        <v>12857.042866963582</v>
      </c>
      <c r="M40" s="139">
        <v>12985.613295633219</v>
      </c>
      <c r="N40" s="152"/>
      <c r="O40" s="152"/>
      <c r="P40" s="152"/>
      <c r="Q40" s="152"/>
      <c r="R40" s="152"/>
      <c r="S40" s="152"/>
      <c r="T40" s="152"/>
    </row>
    <row r="41" spans="1:20" ht="15.75" customHeight="1">
      <c r="A41" s="106"/>
      <c r="B41" s="180"/>
      <c r="C41" s="168"/>
      <c r="D41" s="177"/>
      <c r="E41" s="178"/>
      <c r="F41" s="178"/>
      <c r="G41" s="178"/>
      <c r="H41" s="179"/>
      <c r="I41" s="178"/>
      <c r="J41" s="178"/>
      <c r="K41" s="178"/>
      <c r="L41" s="178"/>
      <c r="M41" s="179"/>
      <c r="N41" s="152"/>
      <c r="O41" s="152"/>
      <c r="P41" s="152"/>
      <c r="Q41" s="152"/>
      <c r="R41" s="152"/>
      <c r="S41" s="152"/>
      <c r="T41" s="152"/>
    </row>
    <row r="42" spans="1:20" ht="15.75" customHeight="1">
      <c r="A42" s="106"/>
      <c r="B42" s="180" t="s">
        <v>248</v>
      </c>
      <c r="C42" s="168"/>
      <c r="D42" s="185"/>
      <c r="E42" s="186"/>
      <c r="F42" s="186"/>
      <c r="G42" s="186"/>
      <c r="H42" s="187"/>
      <c r="I42" s="186"/>
      <c r="J42" s="186"/>
      <c r="K42" s="186"/>
      <c r="L42" s="186"/>
      <c r="M42" s="187"/>
      <c r="N42" s="152"/>
      <c r="O42" s="152"/>
      <c r="P42" s="152"/>
      <c r="Q42" s="152"/>
      <c r="R42" s="152"/>
      <c r="S42" s="152"/>
      <c r="T42" s="152"/>
    </row>
    <row r="43" spans="1:20" ht="15.75" customHeight="1">
      <c r="A43" s="106"/>
      <c r="B43" s="170" t="s">
        <v>244</v>
      </c>
      <c r="C43" s="168" t="s">
        <v>249</v>
      </c>
      <c r="D43" s="171">
        <v>37362.5</v>
      </c>
      <c r="E43" s="172">
        <v>38496.5</v>
      </c>
      <c r="F43" s="172">
        <v>42462</v>
      </c>
      <c r="G43" s="172">
        <v>31500</v>
      </c>
      <c r="H43" s="173">
        <v>30345</v>
      </c>
      <c r="I43" s="172">
        <v>28000</v>
      </c>
      <c r="J43" s="174">
        <v>27125</v>
      </c>
      <c r="K43" s="174">
        <v>24675</v>
      </c>
      <c r="L43" s="174">
        <v>24675</v>
      </c>
      <c r="M43" s="173">
        <v>24675</v>
      </c>
      <c r="N43" s="152"/>
      <c r="O43" s="152"/>
      <c r="P43" s="152"/>
      <c r="Q43" s="152"/>
      <c r="R43" s="152"/>
      <c r="S43" s="152"/>
      <c r="T43" s="152"/>
    </row>
    <row r="44" spans="1:20" ht="15.75" customHeight="1">
      <c r="A44" s="106"/>
      <c r="B44" s="170" t="s">
        <v>245</v>
      </c>
      <c r="C44" s="168" t="s">
        <v>249</v>
      </c>
      <c r="D44" s="171">
        <v>28470</v>
      </c>
      <c r="E44" s="172">
        <v>5255</v>
      </c>
      <c r="F44" s="172">
        <v>37230</v>
      </c>
      <c r="G44" s="172">
        <v>30660</v>
      </c>
      <c r="H44" s="173">
        <v>30660</v>
      </c>
      <c r="I44" s="172">
        <v>32850</v>
      </c>
      <c r="J44" s="174">
        <v>39420</v>
      </c>
      <c r="K44" s="174">
        <v>48180</v>
      </c>
      <c r="L44" s="174">
        <v>48180</v>
      </c>
      <c r="M44" s="173">
        <v>48180</v>
      </c>
      <c r="N44" s="152"/>
      <c r="O44" s="152"/>
      <c r="P44" s="152"/>
      <c r="Q44" s="152"/>
      <c r="R44" s="152"/>
      <c r="S44" s="152"/>
      <c r="T44" s="152"/>
    </row>
    <row r="45" spans="1:20" ht="15.75" customHeight="1">
      <c r="A45" s="106"/>
      <c r="B45" s="170" t="s">
        <v>246</v>
      </c>
      <c r="C45" s="168" t="s">
        <v>249</v>
      </c>
      <c r="D45" s="171">
        <v>0</v>
      </c>
      <c r="E45" s="172">
        <v>0</v>
      </c>
      <c r="F45" s="172">
        <v>30000</v>
      </c>
      <c r="G45" s="172">
        <v>89000</v>
      </c>
      <c r="H45" s="173">
        <v>0</v>
      </c>
      <c r="I45" s="172">
        <v>0</v>
      </c>
      <c r="J45" s="174">
        <v>20000</v>
      </c>
      <c r="K45" s="174">
        <v>20000</v>
      </c>
      <c r="L45" s="174">
        <v>0</v>
      </c>
      <c r="M45" s="173">
        <v>20000</v>
      </c>
      <c r="N45" s="152"/>
      <c r="O45" s="152"/>
      <c r="P45" s="152"/>
      <c r="Q45" s="152"/>
      <c r="R45" s="152"/>
      <c r="S45" s="152"/>
      <c r="T45" s="152"/>
    </row>
    <row r="46" spans="1:20" ht="15.75" customHeight="1" thickBot="1">
      <c r="A46" s="106"/>
      <c r="B46" s="188" t="s">
        <v>250</v>
      </c>
      <c r="C46" s="189" t="s">
        <v>249</v>
      </c>
      <c r="D46" s="143">
        <v>65832.5</v>
      </c>
      <c r="E46" s="146">
        <v>43751.5</v>
      </c>
      <c r="F46" s="146">
        <v>109692</v>
      </c>
      <c r="G46" s="146">
        <v>151160</v>
      </c>
      <c r="H46" s="145">
        <v>61005</v>
      </c>
      <c r="I46" s="146">
        <v>60850</v>
      </c>
      <c r="J46" s="144">
        <v>86545</v>
      </c>
      <c r="K46" s="144">
        <v>92855</v>
      </c>
      <c r="L46" s="144">
        <v>72855</v>
      </c>
      <c r="M46" s="145">
        <v>92855</v>
      </c>
      <c r="N46" s="190"/>
      <c r="O46" s="152"/>
      <c r="P46" s="152"/>
      <c r="Q46" s="152"/>
      <c r="R46" s="152"/>
      <c r="S46" s="152"/>
      <c r="T46" s="152"/>
    </row>
    <row r="47" spans="1:20">
      <c r="A47" s="108"/>
      <c r="B47" s="108"/>
      <c r="C47" s="108"/>
      <c r="D47" s="152"/>
      <c r="E47" s="152"/>
      <c r="F47" s="152"/>
      <c r="G47" s="152"/>
      <c r="H47" s="152"/>
      <c r="I47" s="152"/>
      <c r="J47" s="152"/>
      <c r="K47" s="152"/>
      <c r="L47" s="152"/>
      <c r="M47" s="152"/>
      <c r="N47" s="152"/>
      <c r="O47" s="152"/>
      <c r="P47" s="152"/>
      <c r="Q47" s="152"/>
      <c r="R47" s="152"/>
      <c r="S47" s="152"/>
      <c r="T47" s="152"/>
    </row>
    <row r="48" spans="1:20">
      <c r="A48" s="106"/>
      <c r="B48" s="106"/>
      <c r="C48" s="107"/>
      <c r="D48" s="102"/>
      <c r="E48" s="102"/>
      <c r="F48" s="102"/>
      <c r="G48" s="102"/>
      <c r="H48" s="102"/>
      <c r="I48" s="102"/>
      <c r="J48" s="102"/>
      <c r="K48" s="102"/>
      <c r="L48" s="102"/>
      <c r="M48" s="102"/>
      <c r="N48" s="152"/>
      <c r="O48" s="152"/>
      <c r="P48" s="152"/>
      <c r="Q48" s="152"/>
      <c r="R48" s="152"/>
      <c r="S48" s="152"/>
      <c r="T48" s="152"/>
    </row>
    <row r="49" spans="1:20" s="105" customFormat="1" ht="15.75" customHeight="1">
      <c r="A49" s="99"/>
      <c r="B49" s="100" t="s">
        <v>251</v>
      </c>
      <c r="C49" s="101"/>
      <c r="D49" s="102"/>
      <c r="E49" s="102"/>
      <c r="F49" s="102"/>
      <c r="G49" s="102"/>
      <c r="H49" s="102"/>
      <c r="I49" s="102"/>
      <c r="J49" s="102"/>
      <c r="K49" s="102"/>
      <c r="L49" s="102"/>
      <c r="M49" s="102"/>
      <c r="N49" s="102"/>
      <c r="O49" s="103"/>
      <c r="P49" s="103"/>
      <c r="Q49" s="103"/>
      <c r="R49" s="104"/>
      <c r="S49" s="102"/>
      <c r="T49" s="102"/>
    </row>
    <row r="50" spans="1:20" ht="13.5" thickBot="1">
      <c r="A50" s="106"/>
      <c r="B50" s="153"/>
      <c r="C50" s="107"/>
      <c r="D50" s="102"/>
      <c r="E50" s="102"/>
      <c r="F50" s="102"/>
      <c r="G50" s="102"/>
      <c r="H50" s="102"/>
      <c r="I50" s="102"/>
      <c r="J50" s="102"/>
      <c r="K50" s="102"/>
      <c r="L50" s="102"/>
      <c r="M50" s="102"/>
      <c r="N50" s="152"/>
      <c r="O50" s="152"/>
      <c r="P50" s="152"/>
      <c r="Q50" s="152"/>
      <c r="R50" s="152"/>
      <c r="S50" s="152"/>
      <c r="T50" s="152"/>
    </row>
    <row r="51" spans="1:20" ht="15.75" customHeight="1">
      <c r="A51" s="106"/>
      <c r="B51" s="1234" t="s">
        <v>251</v>
      </c>
      <c r="C51" s="1236" t="s">
        <v>210</v>
      </c>
      <c r="D51" s="154" t="s">
        <v>211</v>
      </c>
      <c r="E51" s="155"/>
      <c r="F51" s="155"/>
      <c r="G51" s="155"/>
      <c r="H51" s="156"/>
      <c r="I51" s="155" t="s">
        <v>212</v>
      </c>
      <c r="J51" s="157"/>
      <c r="K51" s="157"/>
      <c r="L51" s="157"/>
      <c r="M51" s="156"/>
      <c r="N51" s="152"/>
      <c r="O51" s="152"/>
      <c r="P51" s="152"/>
      <c r="Q51" s="152"/>
      <c r="R51" s="152"/>
      <c r="S51" s="152"/>
      <c r="T51" s="152"/>
    </row>
    <row r="52" spans="1:20" ht="26.25" customHeight="1">
      <c r="A52" s="106"/>
      <c r="B52" s="1235"/>
      <c r="C52" s="1237"/>
      <c r="D52" s="158" t="s">
        <v>99</v>
      </c>
      <c r="E52" s="159" t="s">
        <v>100</v>
      </c>
      <c r="F52" s="159" t="s">
        <v>101</v>
      </c>
      <c r="G52" s="159" t="s">
        <v>102</v>
      </c>
      <c r="H52" s="160" t="s">
        <v>64</v>
      </c>
      <c r="I52" s="161" t="s">
        <v>213</v>
      </c>
      <c r="J52" s="159" t="s">
        <v>214</v>
      </c>
      <c r="K52" s="159" t="s">
        <v>215</v>
      </c>
      <c r="L52" s="159" t="s">
        <v>216</v>
      </c>
      <c r="M52" s="160" t="s">
        <v>217</v>
      </c>
      <c r="N52" s="152"/>
      <c r="O52" s="152"/>
      <c r="P52" s="152"/>
      <c r="Q52" s="152"/>
      <c r="R52" s="152"/>
      <c r="S52" s="152"/>
      <c r="T52" s="152"/>
    </row>
    <row r="53" spans="1:20" ht="15.75" customHeight="1">
      <c r="A53" s="106"/>
      <c r="B53" s="191" t="s">
        <v>252</v>
      </c>
      <c r="C53" s="192"/>
      <c r="D53" s="193"/>
      <c r="E53" s="194"/>
      <c r="F53" s="194"/>
      <c r="G53" s="194"/>
      <c r="H53" s="195"/>
      <c r="I53" s="196"/>
      <c r="J53" s="196"/>
      <c r="K53" s="196"/>
      <c r="L53" s="196"/>
      <c r="M53" s="197"/>
      <c r="N53" s="198"/>
      <c r="O53" s="152"/>
      <c r="P53" s="152"/>
      <c r="Q53" s="152"/>
      <c r="R53" s="152"/>
      <c r="S53" s="152"/>
      <c r="T53" s="152"/>
    </row>
    <row r="54" spans="1:20" ht="15.75" customHeight="1">
      <c r="A54" s="106"/>
      <c r="B54" s="175" t="s">
        <v>253</v>
      </c>
      <c r="C54" s="199"/>
      <c r="D54" s="200"/>
      <c r="E54" s="201"/>
      <c r="F54" s="201"/>
      <c r="G54" s="201"/>
      <c r="H54" s="202"/>
      <c r="I54" s="203"/>
      <c r="J54" s="203"/>
      <c r="K54" s="203"/>
      <c r="L54" s="203"/>
      <c r="M54" s="204"/>
      <c r="N54" s="198"/>
      <c r="O54" s="152"/>
      <c r="P54" s="152"/>
      <c r="Q54" s="152"/>
      <c r="R54" s="152"/>
      <c r="S54" s="152"/>
      <c r="T54" s="152"/>
    </row>
    <row r="55" spans="1:20" ht="15.75" customHeight="1">
      <c r="A55" s="106"/>
      <c r="B55" s="205" t="s">
        <v>254</v>
      </c>
      <c r="C55" s="199" t="s">
        <v>255</v>
      </c>
      <c r="D55" s="206">
        <v>0</v>
      </c>
      <c r="E55" s="207">
        <v>0</v>
      </c>
      <c r="F55" s="207">
        <v>7</v>
      </c>
      <c r="G55" s="207">
        <v>2</v>
      </c>
      <c r="H55" s="208">
        <v>4</v>
      </c>
      <c r="I55" s="207">
        <v>8</v>
      </c>
      <c r="J55" s="209">
        <v>10</v>
      </c>
      <c r="K55" s="209">
        <v>12</v>
      </c>
      <c r="L55" s="209">
        <v>12</v>
      </c>
      <c r="M55" s="208">
        <v>12</v>
      </c>
      <c r="N55" s="152"/>
      <c r="O55" s="152"/>
      <c r="P55" s="152"/>
      <c r="Q55" s="152"/>
      <c r="R55" s="152"/>
      <c r="S55" s="152"/>
      <c r="T55" s="152"/>
    </row>
    <row r="56" spans="1:20" ht="15.75" customHeight="1">
      <c r="A56" s="106"/>
      <c r="B56" s="205" t="s">
        <v>256</v>
      </c>
      <c r="C56" s="199" t="s">
        <v>255</v>
      </c>
      <c r="D56" s="206">
        <v>10675</v>
      </c>
      <c r="E56" s="207">
        <v>11161</v>
      </c>
      <c r="F56" s="207">
        <v>10696</v>
      </c>
      <c r="G56" s="207">
        <v>9200</v>
      </c>
      <c r="H56" s="208">
        <v>8850</v>
      </c>
      <c r="I56" s="207">
        <v>8200</v>
      </c>
      <c r="J56" s="209">
        <v>8000</v>
      </c>
      <c r="K56" s="209">
        <v>7300</v>
      </c>
      <c r="L56" s="209">
        <v>7300</v>
      </c>
      <c r="M56" s="208">
        <v>7300</v>
      </c>
      <c r="N56" s="152"/>
      <c r="O56" s="152"/>
      <c r="P56" s="152"/>
      <c r="Q56" s="152"/>
      <c r="R56" s="152"/>
      <c r="S56" s="152"/>
      <c r="T56" s="152"/>
    </row>
    <row r="57" spans="1:20" ht="15.75" customHeight="1">
      <c r="A57" s="106"/>
      <c r="B57" s="205" t="s">
        <v>257</v>
      </c>
      <c r="C57" s="199" t="s">
        <v>255</v>
      </c>
      <c r="D57" s="206" t="s">
        <v>985</v>
      </c>
      <c r="E57" s="207">
        <v>162</v>
      </c>
      <c r="F57" s="207">
        <v>314</v>
      </c>
      <c r="G57" s="207">
        <v>200</v>
      </c>
      <c r="H57" s="208">
        <v>180</v>
      </c>
      <c r="I57" s="207">
        <v>200</v>
      </c>
      <c r="J57" s="209">
        <v>250</v>
      </c>
      <c r="K57" s="209">
        <v>250</v>
      </c>
      <c r="L57" s="209">
        <v>250</v>
      </c>
      <c r="M57" s="208">
        <v>250</v>
      </c>
      <c r="N57" s="152"/>
      <c r="O57" s="152"/>
      <c r="P57" s="152"/>
      <c r="Q57" s="152"/>
      <c r="R57" s="152"/>
      <c r="S57" s="152"/>
      <c r="T57" s="152"/>
    </row>
    <row r="58" spans="1:20" ht="15.75" customHeight="1">
      <c r="A58" s="106"/>
      <c r="B58" s="175" t="s">
        <v>258</v>
      </c>
      <c r="C58" s="199"/>
      <c r="D58" s="210"/>
      <c r="E58" s="211"/>
      <c r="F58" s="211"/>
      <c r="G58" s="211"/>
      <c r="H58" s="212"/>
      <c r="I58" s="213"/>
      <c r="J58" s="213"/>
      <c r="K58" s="213"/>
      <c r="L58" s="213"/>
      <c r="M58" s="214"/>
      <c r="N58" s="198"/>
      <c r="O58" s="152"/>
      <c r="P58" s="152"/>
      <c r="Q58" s="152"/>
      <c r="R58" s="152"/>
      <c r="S58" s="152"/>
      <c r="T58" s="152"/>
    </row>
    <row r="59" spans="1:20" ht="15.75" customHeight="1">
      <c r="A59" s="106"/>
      <c r="B59" s="205" t="s">
        <v>254</v>
      </c>
      <c r="C59" s="199" t="s">
        <v>255</v>
      </c>
      <c r="D59" s="206">
        <v>0</v>
      </c>
      <c r="E59" s="207">
        <v>1</v>
      </c>
      <c r="F59" s="207">
        <v>4</v>
      </c>
      <c r="G59" s="207">
        <v>3</v>
      </c>
      <c r="H59" s="208">
        <v>3</v>
      </c>
      <c r="I59" s="207">
        <v>6</v>
      </c>
      <c r="J59" s="209">
        <v>8</v>
      </c>
      <c r="K59" s="209">
        <v>10</v>
      </c>
      <c r="L59" s="209">
        <v>10</v>
      </c>
      <c r="M59" s="208">
        <v>10</v>
      </c>
      <c r="N59" s="152"/>
      <c r="O59" s="152"/>
      <c r="P59" s="152"/>
      <c r="Q59" s="152"/>
      <c r="R59" s="152"/>
      <c r="S59" s="152"/>
      <c r="T59" s="152"/>
    </row>
    <row r="60" spans="1:20" ht="15.75" customHeight="1">
      <c r="A60" s="106"/>
      <c r="B60" s="205" t="s">
        <v>256</v>
      </c>
      <c r="C60" s="199" t="s">
        <v>255</v>
      </c>
      <c r="D60" s="206">
        <v>13</v>
      </c>
      <c r="E60" s="207">
        <v>3</v>
      </c>
      <c r="F60" s="207">
        <v>19</v>
      </c>
      <c r="G60" s="207">
        <v>15</v>
      </c>
      <c r="H60" s="208">
        <v>15</v>
      </c>
      <c r="I60" s="207">
        <v>17</v>
      </c>
      <c r="J60" s="209">
        <v>20</v>
      </c>
      <c r="K60" s="209">
        <v>24</v>
      </c>
      <c r="L60" s="209">
        <v>24</v>
      </c>
      <c r="M60" s="208">
        <v>24</v>
      </c>
      <c r="N60" s="152"/>
      <c r="O60" s="152"/>
      <c r="P60" s="152"/>
      <c r="Q60" s="152"/>
      <c r="R60" s="152"/>
      <c r="S60" s="152"/>
      <c r="T60" s="152"/>
    </row>
    <row r="61" spans="1:20" ht="15.75" customHeight="1">
      <c r="A61" s="106"/>
      <c r="B61" s="205" t="s">
        <v>257</v>
      </c>
      <c r="C61" s="199" t="s">
        <v>255</v>
      </c>
      <c r="D61" s="206" t="s">
        <v>985</v>
      </c>
      <c r="E61" s="207">
        <v>1</v>
      </c>
      <c r="F61" s="207">
        <v>2</v>
      </c>
      <c r="G61" s="207">
        <v>1</v>
      </c>
      <c r="H61" s="208">
        <v>1</v>
      </c>
      <c r="I61" s="207">
        <v>2</v>
      </c>
      <c r="J61" s="209">
        <v>2</v>
      </c>
      <c r="K61" s="209">
        <v>2</v>
      </c>
      <c r="L61" s="209">
        <v>2</v>
      </c>
      <c r="M61" s="208">
        <v>2</v>
      </c>
      <c r="N61" s="152"/>
      <c r="O61" s="152"/>
      <c r="P61" s="152"/>
      <c r="Q61" s="152"/>
      <c r="R61" s="152"/>
      <c r="S61" s="152"/>
      <c r="T61" s="152"/>
    </row>
    <row r="62" spans="1:20" ht="15.75" customHeight="1">
      <c r="A62" s="106"/>
      <c r="B62" s="175" t="s">
        <v>259</v>
      </c>
      <c r="C62" s="199"/>
      <c r="D62" s="210"/>
      <c r="E62" s="211"/>
      <c r="F62" s="211"/>
      <c r="G62" s="211"/>
      <c r="H62" s="212"/>
      <c r="I62" s="213"/>
      <c r="J62" s="213"/>
      <c r="K62" s="213"/>
      <c r="L62" s="213"/>
      <c r="M62" s="214"/>
      <c r="N62" s="198"/>
      <c r="O62" s="152"/>
      <c r="P62" s="152"/>
      <c r="Q62" s="152"/>
      <c r="R62" s="152"/>
      <c r="S62" s="152"/>
      <c r="T62" s="152"/>
    </row>
    <row r="63" spans="1:20" ht="15.75" customHeight="1">
      <c r="A63" s="106"/>
      <c r="B63" s="205" t="s">
        <v>254</v>
      </c>
      <c r="C63" s="199" t="s">
        <v>255</v>
      </c>
      <c r="D63" s="206">
        <v>0</v>
      </c>
      <c r="E63" s="207">
        <v>0</v>
      </c>
      <c r="F63" s="207">
        <v>1</v>
      </c>
      <c r="G63" s="207">
        <v>0</v>
      </c>
      <c r="H63" s="208">
        <v>0</v>
      </c>
      <c r="I63" s="207">
        <v>0</v>
      </c>
      <c r="J63" s="209">
        <v>0</v>
      </c>
      <c r="K63" s="209">
        <v>0</v>
      </c>
      <c r="L63" s="209">
        <v>0</v>
      </c>
      <c r="M63" s="208">
        <v>0</v>
      </c>
      <c r="N63" s="152"/>
      <c r="O63" s="152"/>
      <c r="P63" s="152"/>
      <c r="Q63" s="152"/>
      <c r="R63" s="152"/>
      <c r="S63" s="152"/>
      <c r="T63" s="152"/>
    </row>
    <row r="64" spans="1:20" ht="15.75" customHeight="1">
      <c r="A64" s="106"/>
      <c r="B64" s="205" t="s">
        <v>256</v>
      </c>
      <c r="C64" s="199" t="s">
        <v>255</v>
      </c>
      <c r="D64" s="206">
        <v>0</v>
      </c>
      <c r="E64" s="207">
        <v>0</v>
      </c>
      <c r="F64" s="207">
        <v>1</v>
      </c>
      <c r="G64" s="207">
        <v>1</v>
      </c>
      <c r="H64" s="208">
        <v>0</v>
      </c>
      <c r="I64" s="207">
        <v>0</v>
      </c>
      <c r="J64" s="209">
        <v>1</v>
      </c>
      <c r="K64" s="209">
        <v>0</v>
      </c>
      <c r="L64" s="209">
        <v>0</v>
      </c>
      <c r="M64" s="208">
        <v>1</v>
      </c>
      <c r="N64" s="152"/>
      <c r="O64" s="152"/>
      <c r="P64" s="152"/>
      <c r="Q64" s="152"/>
      <c r="R64" s="152"/>
      <c r="S64" s="152"/>
      <c r="T64" s="152"/>
    </row>
    <row r="65" spans="1:20" ht="15.75" customHeight="1">
      <c r="A65" s="106"/>
      <c r="B65" s="205" t="s">
        <v>257</v>
      </c>
      <c r="C65" s="199" t="s">
        <v>255</v>
      </c>
      <c r="D65" s="206" t="s">
        <v>985</v>
      </c>
      <c r="E65" s="207">
        <v>0</v>
      </c>
      <c r="F65" s="207">
        <v>0</v>
      </c>
      <c r="G65" s="207">
        <v>0</v>
      </c>
      <c r="H65" s="208">
        <v>0</v>
      </c>
      <c r="I65" s="207">
        <v>0</v>
      </c>
      <c r="J65" s="209">
        <v>0</v>
      </c>
      <c r="K65" s="209">
        <v>0</v>
      </c>
      <c r="L65" s="209">
        <v>0</v>
      </c>
      <c r="M65" s="208">
        <v>0</v>
      </c>
      <c r="N65" s="152"/>
      <c r="O65" s="152"/>
      <c r="P65" s="152"/>
      <c r="Q65" s="152"/>
      <c r="R65" s="152"/>
      <c r="S65" s="152"/>
      <c r="T65" s="152"/>
    </row>
    <row r="66" spans="1:20" ht="15.75" customHeight="1">
      <c r="A66" s="106"/>
      <c r="B66" s="175" t="s">
        <v>260</v>
      </c>
      <c r="C66" s="199"/>
      <c r="D66" s="210"/>
      <c r="E66" s="211"/>
      <c r="F66" s="211"/>
      <c r="G66" s="211"/>
      <c r="H66" s="212"/>
      <c r="I66" s="213"/>
      <c r="J66" s="213"/>
      <c r="K66" s="213"/>
      <c r="L66" s="213"/>
      <c r="M66" s="214"/>
      <c r="N66" s="198"/>
      <c r="O66" s="152"/>
      <c r="P66" s="152"/>
      <c r="Q66" s="152"/>
      <c r="R66" s="152"/>
      <c r="S66" s="152"/>
      <c r="T66" s="152"/>
    </row>
    <row r="67" spans="1:20" ht="15.75" customHeight="1">
      <c r="A67" s="106"/>
      <c r="B67" s="205" t="s">
        <v>254</v>
      </c>
      <c r="C67" s="199" t="s">
        <v>255</v>
      </c>
      <c r="D67" s="215">
        <v>0</v>
      </c>
      <c r="E67" s="216">
        <v>0</v>
      </c>
      <c r="F67" s="216">
        <v>0</v>
      </c>
      <c r="G67" s="216">
        <v>0</v>
      </c>
      <c r="H67" s="217">
        <v>0</v>
      </c>
      <c r="I67" s="216">
        <v>0</v>
      </c>
      <c r="J67" s="218">
        <v>0</v>
      </c>
      <c r="K67" s="218">
        <v>0</v>
      </c>
      <c r="L67" s="218">
        <v>0</v>
      </c>
      <c r="M67" s="217">
        <v>0</v>
      </c>
      <c r="N67" s="152"/>
      <c r="O67" s="152"/>
      <c r="P67" s="152"/>
      <c r="Q67" s="152"/>
      <c r="R67" s="152"/>
      <c r="S67" s="152"/>
      <c r="T67" s="152"/>
    </row>
    <row r="68" spans="1:20" ht="15.75" customHeight="1">
      <c r="A68" s="106"/>
      <c r="B68" s="205" t="s">
        <v>256</v>
      </c>
      <c r="C68" s="199" t="s">
        <v>255</v>
      </c>
      <c r="D68" s="215">
        <v>0</v>
      </c>
      <c r="E68" s="216">
        <v>0</v>
      </c>
      <c r="F68" s="216">
        <v>0</v>
      </c>
      <c r="G68" s="216">
        <v>0</v>
      </c>
      <c r="H68" s="217">
        <v>0</v>
      </c>
      <c r="I68" s="216">
        <v>0</v>
      </c>
      <c r="J68" s="218">
        <v>0</v>
      </c>
      <c r="K68" s="218">
        <v>0</v>
      </c>
      <c r="L68" s="218">
        <v>0</v>
      </c>
      <c r="M68" s="217">
        <v>0</v>
      </c>
      <c r="N68" s="152"/>
      <c r="O68" s="152"/>
      <c r="P68" s="152"/>
      <c r="Q68" s="152"/>
      <c r="R68" s="152"/>
      <c r="S68" s="152"/>
      <c r="T68" s="152"/>
    </row>
    <row r="69" spans="1:20" ht="15.75" customHeight="1">
      <c r="A69" s="106"/>
      <c r="B69" s="205" t="s">
        <v>257</v>
      </c>
      <c r="C69" s="199" t="s">
        <v>255</v>
      </c>
      <c r="D69" s="206" t="s">
        <v>985</v>
      </c>
      <c r="E69" s="207">
        <v>0</v>
      </c>
      <c r="F69" s="207">
        <v>0</v>
      </c>
      <c r="G69" s="207">
        <v>0</v>
      </c>
      <c r="H69" s="208">
        <v>0</v>
      </c>
      <c r="I69" s="207">
        <v>0</v>
      </c>
      <c r="J69" s="209">
        <v>0</v>
      </c>
      <c r="K69" s="209">
        <v>0</v>
      </c>
      <c r="L69" s="209">
        <v>0</v>
      </c>
      <c r="M69" s="208">
        <v>0</v>
      </c>
      <c r="N69" s="152"/>
      <c r="O69" s="152"/>
      <c r="P69" s="152"/>
      <c r="Q69" s="152"/>
      <c r="R69" s="152"/>
      <c r="S69" s="152"/>
      <c r="T69" s="152"/>
    </row>
    <row r="70" spans="1:20" ht="15.75" customHeight="1">
      <c r="A70" s="106"/>
      <c r="B70" s="167" t="s">
        <v>261</v>
      </c>
      <c r="C70" s="199" t="s">
        <v>255</v>
      </c>
      <c r="D70" s="219">
        <v>10688</v>
      </c>
      <c r="E70" s="220">
        <v>11165</v>
      </c>
      <c r="F70" s="220">
        <v>10728</v>
      </c>
      <c r="G70" s="220">
        <v>9221</v>
      </c>
      <c r="H70" s="221">
        <v>8872</v>
      </c>
      <c r="I70" s="222">
        <v>8231</v>
      </c>
      <c r="J70" s="220">
        <v>8039</v>
      </c>
      <c r="K70" s="220">
        <v>7346</v>
      </c>
      <c r="L70" s="220">
        <v>7346</v>
      </c>
      <c r="M70" s="221">
        <v>7347</v>
      </c>
      <c r="N70" s="223"/>
      <c r="O70" s="152"/>
      <c r="P70" s="152"/>
      <c r="Q70" s="152"/>
      <c r="R70" s="152"/>
      <c r="S70" s="152"/>
      <c r="T70" s="152"/>
    </row>
    <row r="71" spans="1:20" ht="15.75" customHeight="1" thickBot="1">
      <c r="A71" s="106"/>
      <c r="B71" s="224" t="s">
        <v>262</v>
      </c>
      <c r="C71" s="225" t="s">
        <v>255</v>
      </c>
      <c r="D71" s="226">
        <v>0</v>
      </c>
      <c r="E71" s="227">
        <v>163</v>
      </c>
      <c r="F71" s="227">
        <v>316</v>
      </c>
      <c r="G71" s="227">
        <v>201</v>
      </c>
      <c r="H71" s="228">
        <v>181</v>
      </c>
      <c r="I71" s="229">
        <v>202</v>
      </c>
      <c r="J71" s="227">
        <v>252</v>
      </c>
      <c r="K71" s="227">
        <v>252</v>
      </c>
      <c r="L71" s="227">
        <v>252</v>
      </c>
      <c r="M71" s="228">
        <v>252</v>
      </c>
      <c r="N71" s="223"/>
      <c r="O71" s="152"/>
      <c r="P71" s="152"/>
      <c r="Q71" s="152"/>
      <c r="R71" s="152"/>
      <c r="S71" s="152"/>
      <c r="T71" s="152"/>
    </row>
    <row r="72" spans="1:20">
      <c r="A72" s="106"/>
      <c r="B72" s="230"/>
      <c r="C72" s="231"/>
      <c r="D72" s="152"/>
      <c r="E72" s="152"/>
      <c r="F72" s="152"/>
      <c r="G72" s="152"/>
      <c r="H72" s="152"/>
      <c r="I72" s="152"/>
      <c r="J72" s="152"/>
      <c r="K72" s="152"/>
      <c r="L72" s="152"/>
      <c r="M72" s="152"/>
      <c r="N72" s="152"/>
      <c r="O72" s="152"/>
      <c r="P72" s="152"/>
      <c r="Q72" s="152"/>
      <c r="R72" s="152"/>
      <c r="S72" s="152"/>
      <c r="T72" s="152"/>
    </row>
    <row r="73" spans="1:20">
      <c r="A73" s="106"/>
      <c r="B73" s="232"/>
      <c r="C73" s="233"/>
      <c r="D73" s="234"/>
      <c r="E73" s="234"/>
      <c r="F73" s="234"/>
      <c r="G73" s="234"/>
      <c r="H73" s="234"/>
      <c r="I73" s="234"/>
      <c r="J73" s="234"/>
      <c r="K73" s="234"/>
      <c r="L73" s="234"/>
      <c r="M73" s="234"/>
      <c r="N73" s="152"/>
      <c r="O73" s="234"/>
      <c r="P73" s="234"/>
      <c r="Q73" s="234"/>
      <c r="R73" s="152"/>
      <c r="S73" s="234"/>
      <c r="T73" s="234"/>
    </row>
    <row r="74" spans="1:20" s="105" customFormat="1" ht="15.75" customHeight="1">
      <c r="A74" s="99"/>
      <c r="B74" s="100" t="s">
        <v>263</v>
      </c>
      <c r="C74" s="101"/>
      <c r="D74" s="102"/>
      <c r="E74" s="102"/>
      <c r="F74" s="102"/>
      <c r="G74" s="102"/>
      <c r="H74" s="102"/>
      <c r="I74" s="102"/>
      <c r="J74" s="102"/>
      <c r="K74" s="102"/>
      <c r="L74" s="102"/>
      <c r="M74" s="102"/>
      <c r="N74" s="102"/>
      <c r="O74" s="103"/>
      <c r="P74" s="103"/>
      <c r="Q74" s="103"/>
      <c r="R74" s="104"/>
      <c r="S74" s="102"/>
      <c r="T74" s="102"/>
    </row>
    <row r="75" spans="1:20" ht="13.5" thickBot="1">
      <c r="A75" s="106"/>
      <c r="B75" s="153"/>
      <c r="C75" s="233"/>
      <c r="D75" s="234"/>
      <c r="E75" s="234"/>
      <c r="F75" s="234"/>
      <c r="G75" s="234"/>
      <c r="H75" s="234"/>
      <c r="I75" s="234"/>
      <c r="J75" s="234"/>
      <c r="K75" s="234"/>
      <c r="L75" s="234"/>
      <c r="M75" s="234"/>
      <c r="N75" s="152"/>
      <c r="O75" s="234"/>
      <c r="P75" s="234"/>
      <c r="Q75" s="234"/>
      <c r="R75" s="152"/>
      <c r="S75" s="234"/>
      <c r="T75" s="234"/>
    </row>
    <row r="76" spans="1:20" ht="15.75" customHeight="1">
      <c r="A76" s="106"/>
      <c r="B76" s="1234" t="s">
        <v>263</v>
      </c>
      <c r="C76" s="1236" t="s">
        <v>210</v>
      </c>
      <c r="D76" s="154" t="s">
        <v>211</v>
      </c>
      <c r="E76" s="155"/>
      <c r="F76" s="155"/>
      <c r="G76" s="155"/>
      <c r="H76" s="156"/>
      <c r="I76" s="155" t="s">
        <v>212</v>
      </c>
      <c r="J76" s="157"/>
      <c r="K76" s="157"/>
      <c r="L76" s="157"/>
      <c r="M76" s="156"/>
      <c r="N76" s="152"/>
      <c r="O76" s="235" t="s">
        <v>211</v>
      </c>
      <c r="P76" s="236"/>
      <c r="Q76" s="237"/>
      <c r="R76" s="152"/>
      <c r="S76" s="235" t="s">
        <v>212</v>
      </c>
      <c r="T76" s="237"/>
    </row>
    <row r="77" spans="1:20" ht="25.5">
      <c r="A77" s="106"/>
      <c r="B77" s="1235"/>
      <c r="C77" s="1237"/>
      <c r="D77" s="158" t="s">
        <v>99</v>
      </c>
      <c r="E77" s="159" t="s">
        <v>100</v>
      </c>
      <c r="F77" s="159" t="s">
        <v>101</v>
      </c>
      <c r="G77" s="159" t="s">
        <v>102</v>
      </c>
      <c r="H77" s="160" t="s">
        <v>64</v>
      </c>
      <c r="I77" s="161" t="s">
        <v>213</v>
      </c>
      <c r="J77" s="159" t="s">
        <v>214</v>
      </c>
      <c r="K77" s="159" t="s">
        <v>215</v>
      </c>
      <c r="L77" s="159" t="s">
        <v>216</v>
      </c>
      <c r="M77" s="160" t="s">
        <v>217</v>
      </c>
      <c r="N77" s="152"/>
      <c r="O77" s="238" t="s">
        <v>218</v>
      </c>
      <c r="P77" s="239" t="s">
        <v>219</v>
      </c>
      <c r="Q77" s="240" t="s">
        <v>220</v>
      </c>
      <c r="R77" s="152"/>
      <c r="S77" s="238" t="s">
        <v>219</v>
      </c>
      <c r="T77" s="240" t="s">
        <v>221</v>
      </c>
    </row>
    <row r="78" spans="1:20" ht="15.75" customHeight="1">
      <c r="A78" s="106"/>
      <c r="B78" s="241" t="s">
        <v>264</v>
      </c>
      <c r="C78" s="242"/>
      <c r="D78" s="193"/>
      <c r="E78" s="194"/>
      <c r="F78" s="194"/>
      <c r="G78" s="194"/>
      <c r="H78" s="195"/>
      <c r="I78" s="196"/>
      <c r="J78" s="196"/>
      <c r="K78" s="196"/>
      <c r="L78" s="196"/>
      <c r="M78" s="197"/>
      <c r="N78" s="152"/>
      <c r="O78" s="243"/>
      <c r="P78" s="196"/>
      <c r="Q78" s="197"/>
      <c r="R78" s="152"/>
      <c r="S78" s="243"/>
      <c r="T78" s="197"/>
    </row>
    <row r="79" spans="1:20" ht="15.75" customHeight="1">
      <c r="A79" s="106"/>
      <c r="B79" s="244" t="s">
        <v>265</v>
      </c>
      <c r="C79" s="245"/>
      <c r="D79" s="164"/>
      <c r="E79" s="165"/>
      <c r="F79" s="165"/>
      <c r="G79" s="165"/>
      <c r="H79" s="166"/>
      <c r="I79" s="165"/>
      <c r="J79" s="165"/>
      <c r="K79" s="165"/>
      <c r="L79" s="165"/>
      <c r="M79" s="166"/>
      <c r="N79" s="152"/>
      <c r="O79" s="246"/>
      <c r="P79" s="247"/>
      <c r="Q79" s="248"/>
      <c r="R79" s="152"/>
      <c r="S79" s="164"/>
      <c r="T79" s="166"/>
    </row>
    <row r="80" spans="1:20" ht="15.75" customHeight="1">
      <c r="A80" s="106"/>
      <c r="B80" s="249" t="s">
        <v>266</v>
      </c>
      <c r="C80" s="199" t="s">
        <v>223</v>
      </c>
      <c r="D80" s="171">
        <v>14.1</v>
      </c>
      <c r="E80" s="172">
        <v>12</v>
      </c>
      <c r="F80" s="172">
        <v>13.8</v>
      </c>
      <c r="G80" s="172">
        <v>11.3</v>
      </c>
      <c r="H80" s="173">
        <v>10.9</v>
      </c>
      <c r="I80" s="172">
        <v>10</v>
      </c>
      <c r="J80" s="174">
        <v>9.8000000000000007</v>
      </c>
      <c r="K80" s="174">
        <v>9</v>
      </c>
      <c r="L80" s="174">
        <v>9</v>
      </c>
      <c r="M80" s="173">
        <v>9</v>
      </c>
      <c r="N80" s="152"/>
      <c r="O80" s="129">
        <v>39.9</v>
      </c>
      <c r="P80" s="130">
        <v>22.2</v>
      </c>
      <c r="Q80" s="131">
        <v>62.1</v>
      </c>
      <c r="R80" s="108"/>
      <c r="S80" s="129">
        <v>46.9</v>
      </c>
      <c r="T80" s="132">
        <v>-0.24476650563607089</v>
      </c>
    </row>
    <row r="81" spans="1:20" ht="15.75" customHeight="1">
      <c r="A81" s="106"/>
      <c r="B81" s="249" t="s">
        <v>267</v>
      </c>
      <c r="C81" s="199" t="s">
        <v>223</v>
      </c>
      <c r="D81" s="171">
        <v>0.7</v>
      </c>
      <c r="E81" s="172">
        <v>1</v>
      </c>
      <c r="F81" s="172">
        <v>1.7</v>
      </c>
      <c r="G81" s="172">
        <v>1</v>
      </c>
      <c r="H81" s="173">
        <v>0.9</v>
      </c>
      <c r="I81" s="172">
        <v>1.3</v>
      </c>
      <c r="J81" s="174">
        <v>1.3</v>
      </c>
      <c r="K81" s="174">
        <v>1.1000000000000001</v>
      </c>
      <c r="L81" s="174">
        <v>1.1000000000000001</v>
      </c>
      <c r="M81" s="173">
        <v>1.1000000000000001</v>
      </c>
      <c r="N81" s="152"/>
      <c r="O81" s="129">
        <v>3.4</v>
      </c>
      <c r="P81" s="130">
        <v>1.9</v>
      </c>
      <c r="Q81" s="131">
        <v>5.3</v>
      </c>
      <c r="R81" s="108"/>
      <c r="S81" s="129">
        <v>4.0999999999999996</v>
      </c>
      <c r="T81" s="132">
        <v>-0.22641509433962281</v>
      </c>
    </row>
    <row r="82" spans="1:20" ht="15.75" customHeight="1">
      <c r="A82" s="106"/>
      <c r="B82" s="250" t="s">
        <v>268</v>
      </c>
      <c r="C82" s="199" t="s">
        <v>223</v>
      </c>
      <c r="D82" s="129">
        <v>14.8</v>
      </c>
      <c r="E82" s="251">
        <v>13</v>
      </c>
      <c r="F82" s="251">
        <v>15.5</v>
      </c>
      <c r="G82" s="251">
        <v>12.3</v>
      </c>
      <c r="H82" s="131">
        <v>11.8</v>
      </c>
      <c r="I82" s="251">
        <v>11.3</v>
      </c>
      <c r="J82" s="130">
        <v>11.1</v>
      </c>
      <c r="K82" s="130">
        <v>10.1</v>
      </c>
      <c r="L82" s="130">
        <v>10.1</v>
      </c>
      <c r="M82" s="131">
        <v>10.1</v>
      </c>
      <c r="N82" s="152"/>
      <c r="O82" s="129">
        <v>43.3</v>
      </c>
      <c r="P82" s="130">
        <v>24.1</v>
      </c>
      <c r="Q82" s="131">
        <v>67.400000000000006</v>
      </c>
      <c r="R82" s="108"/>
      <c r="S82" s="129">
        <v>51</v>
      </c>
      <c r="T82" s="132">
        <v>-0.24332344213649842</v>
      </c>
    </row>
    <row r="83" spans="1:20" ht="15.75" customHeight="1">
      <c r="A83" s="106"/>
      <c r="B83" s="244" t="s">
        <v>269</v>
      </c>
      <c r="C83" s="252"/>
      <c r="D83" s="253"/>
      <c r="E83" s="254"/>
      <c r="F83" s="254"/>
      <c r="G83" s="254"/>
      <c r="H83" s="255"/>
      <c r="I83" s="254"/>
      <c r="J83" s="254"/>
      <c r="K83" s="254"/>
      <c r="L83" s="254"/>
      <c r="M83" s="255"/>
      <c r="N83" s="152"/>
      <c r="O83" s="256"/>
      <c r="P83" s="254"/>
      <c r="Q83" s="255"/>
      <c r="R83" s="108"/>
      <c r="S83" s="253"/>
      <c r="T83" s="255"/>
    </row>
    <row r="84" spans="1:20" ht="15.75" customHeight="1">
      <c r="A84" s="106"/>
      <c r="B84" s="249" t="s">
        <v>266</v>
      </c>
      <c r="C84" s="199" t="s">
        <v>223</v>
      </c>
      <c r="D84" s="171">
        <v>2.2000000000000002</v>
      </c>
      <c r="E84" s="172">
        <v>3.2</v>
      </c>
      <c r="F84" s="172">
        <v>2.5</v>
      </c>
      <c r="G84" s="172">
        <v>1.7</v>
      </c>
      <c r="H84" s="173">
        <v>1.9</v>
      </c>
      <c r="I84" s="172">
        <v>1.1000000000000001</v>
      </c>
      <c r="J84" s="174">
        <v>1</v>
      </c>
      <c r="K84" s="174">
        <v>1</v>
      </c>
      <c r="L84" s="174">
        <v>1</v>
      </c>
      <c r="M84" s="173">
        <v>1</v>
      </c>
      <c r="N84" s="152"/>
      <c r="O84" s="129">
        <v>7.9</v>
      </c>
      <c r="P84" s="130">
        <v>3.6</v>
      </c>
      <c r="Q84" s="131">
        <v>11.5</v>
      </c>
      <c r="R84" s="108"/>
      <c r="S84" s="129">
        <v>11.9</v>
      </c>
      <c r="T84" s="132">
        <v>3.4782608695652049E-2</v>
      </c>
    </row>
    <row r="85" spans="1:20" ht="15.75" customHeight="1">
      <c r="A85" s="106"/>
      <c r="B85" s="249" t="s">
        <v>267</v>
      </c>
      <c r="C85" s="199" t="s">
        <v>223</v>
      </c>
      <c r="D85" s="171">
        <v>0</v>
      </c>
      <c r="E85" s="172">
        <v>0</v>
      </c>
      <c r="F85" s="172">
        <v>0.5</v>
      </c>
      <c r="G85" s="172">
        <v>0.6</v>
      </c>
      <c r="H85" s="173">
        <v>0.7</v>
      </c>
      <c r="I85" s="172">
        <v>1.3</v>
      </c>
      <c r="J85" s="174">
        <v>1.3</v>
      </c>
      <c r="K85" s="174">
        <v>1.3</v>
      </c>
      <c r="L85" s="174">
        <v>1.3</v>
      </c>
      <c r="M85" s="173">
        <v>1.3</v>
      </c>
      <c r="N85" s="152"/>
      <c r="O85" s="129">
        <v>0.5</v>
      </c>
      <c r="P85" s="130">
        <v>1.3</v>
      </c>
      <c r="Q85" s="131">
        <v>1.8</v>
      </c>
      <c r="R85" s="108"/>
      <c r="S85" s="129">
        <v>3.2</v>
      </c>
      <c r="T85" s="132">
        <v>0.77777777777777779</v>
      </c>
    </row>
    <row r="86" spans="1:20" ht="15.75" customHeight="1">
      <c r="A86" s="106"/>
      <c r="B86" s="250" t="s">
        <v>270</v>
      </c>
      <c r="C86" s="199" t="s">
        <v>223</v>
      </c>
      <c r="D86" s="129">
        <v>2.2000000000000002</v>
      </c>
      <c r="E86" s="251">
        <v>3.2</v>
      </c>
      <c r="F86" s="251">
        <v>3</v>
      </c>
      <c r="G86" s="251">
        <v>2.2999999999999998</v>
      </c>
      <c r="H86" s="131">
        <v>2.6</v>
      </c>
      <c r="I86" s="251">
        <v>2.4</v>
      </c>
      <c r="J86" s="130">
        <v>2.2999999999999998</v>
      </c>
      <c r="K86" s="130">
        <v>2.2999999999999998</v>
      </c>
      <c r="L86" s="130">
        <v>2.2999999999999998</v>
      </c>
      <c r="M86" s="131">
        <v>2.2999999999999998</v>
      </c>
      <c r="N86" s="152"/>
      <c r="O86" s="129">
        <v>8.4</v>
      </c>
      <c r="P86" s="130">
        <v>4.9000000000000004</v>
      </c>
      <c r="Q86" s="131">
        <v>13.3</v>
      </c>
      <c r="R86" s="108"/>
      <c r="S86" s="129">
        <v>15.1</v>
      </c>
      <c r="T86" s="132">
        <v>0.13533834586466184</v>
      </c>
    </row>
    <row r="87" spans="1:20" ht="15.75" customHeight="1">
      <c r="A87" s="106"/>
      <c r="B87" s="244" t="s">
        <v>271</v>
      </c>
      <c r="C87" s="252"/>
      <c r="D87" s="253"/>
      <c r="E87" s="254"/>
      <c r="F87" s="254"/>
      <c r="G87" s="254"/>
      <c r="H87" s="255"/>
      <c r="I87" s="254"/>
      <c r="J87" s="254"/>
      <c r="K87" s="254"/>
      <c r="L87" s="254"/>
      <c r="M87" s="255"/>
      <c r="N87" s="152"/>
      <c r="O87" s="253"/>
      <c r="P87" s="254"/>
      <c r="Q87" s="255"/>
      <c r="R87" s="108"/>
      <c r="S87" s="253"/>
      <c r="T87" s="255"/>
    </row>
    <row r="88" spans="1:20" ht="15.75" customHeight="1">
      <c r="A88" s="106"/>
      <c r="B88" s="249" t="s">
        <v>266</v>
      </c>
      <c r="C88" s="199" t="s">
        <v>223</v>
      </c>
      <c r="D88" s="171">
        <v>0.6</v>
      </c>
      <c r="E88" s="172">
        <v>1.2</v>
      </c>
      <c r="F88" s="172">
        <v>0.5</v>
      </c>
      <c r="G88" s="172">
        <v>0.4</v>
      </c>
      <c r="H88" s="173">
        <v>0</v>
      </c>
      <c r="I88" s="172">
        <v>0</v>
      </c>
      <c r="J88" s="174">
        <v>0</v>
      </c>
      <c r="K88" s="174">
        <v>0</v>
      </c>
      <c r="L88" s="174">
        <v>0</v>
      </c>
      <c r="M88" s="173">
        <v>0</v>
      </c>
      <c r="N88" s="152"/>
      <c r="O88" s="129">
        <v>2.2999999999999998</v>
      </c>
      <c r="P88" s="130">
        <v>0.4</v>
      </c>
      <c r="Q88" s="131">
        <v>2.7</v>
      </c>
      <c r="R88" s="108"/>
      <c r="S88" s="129">
        <v>0.8</v>
      </c>
      <c r="T88" s="132">
        <v>-0.70370370370370361</v>
      </c>
    </row>
    <row r="89" spans="1:20" ht="15.75" customHeight="1">
      <c r="A89" s="106"/>
      <c r="B89" s="249" t="s">
        <v>267</v>
      </c>
      <c r="C89" s="199" t="s">
        <v>223</v>
      </c>
      <c r="D89" s="171">
        <v>0</v>
      </c>
      <c r="E89" s="172">
        <v>0.7</v>
      </c>
      <c r="F89" s="172">
        <v>1.7</v>
      </c>
      <c r="G89" s="172">
        <v>0.3</v>
      </c>
      <c r="H89" s="173">
        <v>0.2</v>
      </c>
      <c r="I89" s="172">
        <v>0</v>
      </c>
      <c r="J89" s="174">
        <v>0</v>
      </c>
      <c r="K89" s="174">
        <v>0</v>
      </c>
      <c r="L89" s="174">
        <v>0</v>
      </c>
      <c r="M89" s="173">
        <v>0</v>
      </c>
      <c r="N89" s="152"/>
      <c r="O89" s="129">
        <v>2.4</v>
      </c>
      <c r="P89" s="130">
        <v>0.5</v>
      </c>
      <c r="Q89" s="131">
        <v>2.9</v>
      </c>
      <c r="R89" s="108"/>
      <c r="S89" s="129">
        <v>0.6</v>
      </c>
      <c r="T89" s="132">
        <v>-0.79310344827586199</v>
      </c>
    </row>
    <row r="90" spans="1:20" ht="15.75" customHeight="1">
      <c r="A90" s="106"/>
      <c r="B90" s="250" t="s">
        <v>272</v>
      </c>
      <c r="C90" s="199" t="s">
        <v>223</v>
      </c>
      <c r="D90" s="129">
        <v>0.6</v>
      </c>
      <c r="E90" s="251">
        <v>1.9</v>
      </c>
      <c r="F90" s="251">
        <v>2.2000000000000002</v>
      </c>
      <c r="G90" s="251">
        <v>0.7</v>
      </c>
      <c r="H90" s="131">
        <v>0.2</v>
      </c>
      <c r="I90" s="251">
        <v>0</v>
      </c>
      <c r="J90" s="130">
        <v>0.7</v>
      </c>
      <c r="K90" s="130">
        <v>0</v>
      </c>
      <c r="L90" s="130">
        <v>0</v>
      </c>
      <c r="M90" s="131">
        <v>0.7</v>
      </c>
      <c r="N90" s="152"/>
      <c r="O90" s="129">
        <v>4.7</v>
      </c>
      <c r="P90" s="130">
        <v>0.9</v>
      </c>
      <c r="Q90" s="131">
        <v>5.6</v>
      </c>
      <c r="R90" s="108"/>
      <c r="S90" s="129">
        <v>1.4</v>
      </c>
      <c r="T90" s="132">
        <v>-0.75</v>
      </c>
    </row>
    <row r="91" spans="1:20" ht="15.75" customHeight="1">
      <c r="A91" s="106"/>
      <c r="B91" s="244" t="s">
        <v>273</v>
      </c>
      <c r="C91" s="252"/>
      <c r="D91" s="253"/>
      <c r="E91" s="254"/>
      <c r="F91" s="254"/>
      <c r="G91" s="254"/>
      <c r="H91" s="255"/>
      <c r="I91" s="254"/>
      <c r="J91" s="254"/>
      <c r="K91" s="254"/>
      <c r="L91" s="254"/>
      <c r="M91" s="255"/>
      <c r="N91" s="152"/>
      <c r="O91" s="253"/>
      <c r="P91" s="254"/>
      <c r="Q91" s="255"/>
      <c r="R91" s="108"/>
      <c r="S91" s="253"/>
      <c r="T91" s="255"/>
    </row>
    <row r="92" spans="1:20" ht="15.75" customHeight="1">
      <c r="A92" s="106"/>
      <c r="B92" s="249" t="s">
        <v>266</v>
      </c>
      <c r="C92" s="199" t="s">
        <v>223</v>
      </c>
      <c r="D92" s="171">
        <v>0</v>
      </c>
      <c r="E92" s="172">
        <v>0</v>
      </c>
      <c r="F92" s="172">
        <v>0</v>
      </c>
      <c r="G92" s="172">
        <v>0</v>
      </c>
      <c r="H92" s="173">
        <v>0</v>
      </c>
      <c r="I92" s="172">
        <v>0</v>
      </c>
      <c r="J92" s="174">
        <v>0</v>
      </c>
      <c r="K92" s="174">
        <v>0</v>
      </c>
      <c r="L92" s="174">
        <v>0</v>
      </c>
      <c r="M92" s="173">
        <v>0</v>
      </c>
      <c r="N92" s="152"/>
      <c r="O92" s="129">
        <v>0</v>
      </c>
      <c r="P92" s="130">
        <v>0</v>
      </c>
      <c r="Q92" s="131">
        <v>0</v>
      </c>
      <c r="R92" s="108"/>
      <c r="S92" s="129">
        <v>0</v>
      </c>
      <c r="T92" s="132" t="s">
        <v>1024</v>
      </c>
    </row>
    <row r="93" spans="1:20" ht="15.75" customHeight="1">
      <c r="A93" s="106"/>
      <c r="B93" s="249" t="s">
        <v>267</v>
      </c>
      <c r="C93" s="199" t="s">
        <v>223</v>
      </c>
      <c r="D93" s="171">
        <v>0</v>
      </c>
      <c r="E93" s="172">
        <v>0</v>
      </c>
      <c r="F93" s="172">
        <v>0</v>
      </c>
      <c r="G93" s="172">
        <v>0</v>
      </c>
      <c r="H93" s="173">
        <v>0</v>
      </c>
      <c r="I93" s="172">
        <v>0</v>
      </c>
      <c r="J93" s="174">
        <v>0</v>
      </c>
      <c r="K93" s="174">
        <v>0</v>
      </c>
      <c r="L93" s="174">
        <v>0</v>
      </c>
      <c r="M93" s="173">
        <v>0</v>
      </c>
      <c r="N93" s="152"/>
      <c r="O93" s="129">
        <v>0</v>
      </c>
      <c r="P93" s="130">
        <v>0</v>
      </c>
      <c r="Q93" s="131">
        <v>0</v>
      </c>
      <c r="R93" s="108"/>
      <c r="S93" s="129">
        <v>0</v>
      </c>
      <c r="T93" s="132" t="s">
        <v>1024</v>
      </c>
    </row>
    <row r="94" spans="1:20" ht="15.75" customHeight="1">
      <c r="A94" s="106"/>
      <c r="B94" s="250" t="s">
        <v>274</v>
      </c>
      <c r="C94" s="199" t="s">
        <v>223</v>
      </c>
      <c r="D94" s="129">
        <v>0</v>
      </c>
      <c r="E94" s="251">
        <v>0</v>
      </c>
      <c r="F94" s="251">
        <v>0</v>
      </c>
      <c r="G94" s="251">
        <v>0</v>
      </c>
      <c r="H94" s="131">
        <v>0</v>
      </c>
      <c r="I94" s="251">
        <v>0</v>
      </c>
      <c r="J94" s="130">
        <v>0</v>
      </c>
      <c r="K94" s="130">
        <v>0</v>
      </c>
      <c r="L94" s="130">
        <v>0</v>
      </c>
      <c r="M94" s="131">
        <v>0</v>
      </c>
      <c r="N94" s="152"/>
      <c r="O94" s="129">
        <v>0</v>
      </c>
      <c r="P94" s="130">
        <v>0</v>
      </c>
      <c r="Q94" s="131">
        <v>0</v>
      </c>
      <c r="R94" s="108"/>
      <c r="S94" s="129">
        <v>0</v>
      </c>
      <c r="T94" s="132" t="s">
        <v>1024</v>
      </c>
    </row>
    <row r="95" spans="1:20" ht="15.75" customHeight="1">
      <c r="A95" s="106"/>
      <c r="B95" s="180"/>
      <c r="C95" s="199"/>
      <c r="D95" s="253"/>
      <c r="E95" s="254"/>
      <c r="F95" s="254"/>
      <c r="G95" s="254"/>
      <c r="H95" s="255"/>
      <c r="I95" s="254"/>
      <c r="J95" s="254"/>
      <c r="K95" s="254"/>
      <c r="L95" s="254"/>
      <c r="M95" s="255"/>
      <c r="N95" s="152"/>
      <c r="O95" s="253"/>
      <c r="P95" s="254"/>
      <c r="Q95" s="255"/>
      <c r="R95" s="108"/>
      <c r="S95" s="253"/>
      <c r="T95" s="255"/>
    </row>
    <row r="96" spans="1:20" ht="15.75" customHeight="1">
      <c r="A96" s="106"/>
      <c r="B96" s="180" t="s">
        <v>275</v>
      </c>
      <c r="C96" s="199" t="s">
        <v>223</v>
      </c>
      <c r="D96" s="257"/>
      <c r="E96" s="258"/>
      <c r="F96" s="258"/>
      <c r="G96" s="172">
        <v>0</v>
      </c>
      <c r="H96" s="173">
        <v>0</v>
      </c>
      <c r="I96" s="172">
        <v>0</v>
      </c>
      <c r="J96" s="174">
        <v>0</v>
      </c>
      <c r="K96" s="174">
        <v>0</v>
      </c>
      <c r="L96" s="174">
        <v>0</v>
      </c>
      <c r="M96" s="173">
        <v>0</v>
      </c>
      <c r="N96" s="152"/>
      <c r="O96" s="129">
        <v>0</v>
      </c>
      <c r="P96" s="130">
        <v>0</v>
      </c>
      <c r="Q96" s="131">
        <v>0</v>
      </c>
      <c r="R96" s="108"/>
      <c r="S96" s="129">
        <v>0</v>
      </c>
      <c r="T96" s="132" t="s">
        <v>1024</v>
      </c>
    </row>
    <row r="97" spans="1:20" ht="15.75" customHeight="1">
      <c r="A97" s="106"/>
      <c r="B97" s="180" t="s">
        <v>276</v>
      </c>
      <c r="C97" s="199" t="s">
        <v>223</v>
      </c>
      <c r="D97" s="137">
        <v>17.600000000000001</v>
      </c>
      <c r="E97" s="140">
        <v>18.100000000000001</v>
      </c>
      <c r="F97" s="140">
        <v>20.7</v>
      </c>
      <c r="G97" s="140">
        <v>15.3</v>
      </c>
      <c r="H97" s="139">
        <v>14.6</v>
      </c>
      <c r="I97" s="140">
        <v>13.7</v>
      </c>
      <c r="J97" s="138">
        <v>13.4</v>
      </c>
      <c r="K97" s="138">
        <v>12.4</v>
      </c>
      <c r="L97" s="138">
        <v>12.4</v>
      </c>
      <c r="M97" s="139">
        <v>12.4</v>
      </c>
      <c r="N97" s="190"/>
      <c r="O97" s="137">
        <v>56.4</v>
      </c>
      <c r="P97" s="138">
        <v>29.9</v>
      </c>
      <c r="Q97" s="139">
        <v>86.3</v>
      </c>
      <c r="R97" s="259"/>
      <c r="S97" s="137">
        <v>67.5</v>
      </c>
      <c r="T97" s="260">
        <v>-0.2178447276940905</v>
      </c>
    </row>
    <row r="98" spans="1:20" ht="15.75" customHeight="1">
      <c r="A98" s="106"/>
      <c r="B98" s="180"/>
      <c r="C98" s="199"/>
      <c r="D98" s="253"/>
      <c r="E98" s="254"/>
      <c r="F98" s="254"/>
      <c r="G98" s="254"/>
      <c r="H98" s="255"/>
      <c r="I98" s="254"/>
      <c r="J98" s="254"/>
      <c r="K98" s="254"/>
      <c r="L98" s="254"/>
      <c r="M98" s="255"/>
      <c r="N98" s="152"/>
      <c r="O98" s="253"/>
      <c r="P98" s="254"/>
      <c r="Q98" s="255"/>
      <c r="R98" s="108"/>
      <c r="S98" s="253"/>
      <c r="T98" s="255"/>
    </row>
    <row r="99" spans="1:20" ht="15.75" customHeight="1">
      <c r="A99" s="106"/>
      <c r="B99" s="180" t="s">
        <v>277</v>
      </c>
      <c r="C99" s="168" t="s">
        <v>223</v>
      </c>
      <c r="D99" s="257"/>
      <c r="E99" s="258"/>
      <c r="F99" s="258"/>
      <c r="G99" s="172">
        <v>0</v>
      </c>
      <c r="H99" s="173">
        <v>0</v>
      </c>
      <c r="I99" s="172">
        <v>0</v>
      </c>
      <c r="J99" s="174">
        <v>0</v>
      </c>
      <c r="K99" s="174">
        <v>0</v>
      </c>
      <c r="L99" s="174">
        <v>0</v>
      </c>
      <c r="M99" s="173">
        <v>0</v>
      </c>
      <c r="N99" s="152"/>
      <c r="O99" s="129">
        <v>0</v>
      </c>
      <c r="P99" s="130">
        <v>0</v>
      </c>
      <c r="Q99" s="131">
        <v>0</v>
      </c>
      <c r="R99" s="108"/>
      <c r="S99" s="129">
        <v>0</v>
      </c>
      <c r="T99" s="132" t="s">
        <v>1024</v>
      </c>
    </row>
    <row r="100" spans="1:20" ht="15.75" customHeight="1" thickBot="1">
      <c r="A100" s="106"/>
      <c r="B100" s="188" t="s">
        <v>278</v>
      </c>
      <c r="C100" s="225" t="s">
        <v>223</v>
      </c>
      <c r="D100" s="261"/>
      <c r="E100" s="262"/>
      <c r="F100" s="262"/>
      <c r="G100" s="263">
        <v>0</v>
      </c>
      <c r="H100" s="264">
        <v>0</v>
      </c>
      <c r="I100" s="263">
        <v>0</v>
      </c>
      <c r="J100" s="265">
        <v>0</v>
      </c>
      <c r="K100" s="265">
        <v>0</v>
      </c>
      <c r="L100" s="265">
        <v>0</v>
      </c>
      <c r="M100" s="264">
        <v>0</v>
      </c>
      <c r="N100" s="152"/>
      <c r="O100" s="147">
        <v>0</v>
      </c>
      <c r="P100" s="148">
        <v>0</v>
      </c>
      <c r="Q100" s="149">
        <v>0</v>
      </c>
      <c r="R100" s="108"/>
      <c r="S100" s="147">
        <v>0</v>
      </c>
      <c r="T100" s="150" t="s">
        <v>1024</v>
      </c>
    </row>
    <row r="101" spans="1:20">
      <c r="A101" s="106"/>
      <c r="B101" s="106"/>
      <c r="C101" s="106"/>
      <c r="D101" s="151"/>
      <c r="E101" s="151"/>
      <c r="F101" s="151"/>
      <c r="G101" s="151"/>
      <c r="H101" s="151"/>
      <c r="I101" s="151"/>
      <c r="J101" s="151"/>
      <c r="K101" s="151"/>
      <c r="L101" s="151"/>
      <c r="M101" s="151"/>
      <c r="N101" s="151"/>
      <c r="O101" s="151"/>
      <c r="P101" s="151"/>
      <c r="Q101" s="151"/>
      <c r="R101" s="151"/>
      <c r="S101" s="151"/>
      <c r="T101" s="151"/>
    </row>
    <row r="102" spans="1:20">
      <c r="A102" s="106"/>
      <c r="B102" s="106"/>
      <c r="C102" s="107"/>
      <c r="D102" s="102"/>
      <c r="E102" s="102"/>
      <c r="F102" s="102"/>
      <c r="G102" s="102"/>
      <c r="H102" s="102"/>
      <c r="I102" s="102"/>
      <c r="J102" s="102"/>
      <c r="K102" s="102"/>
      <c r="L102" s="102"/>
      <c r="M102" s="102"/>
      <c r="N102" s="152"/>
      <c r="O102" s="102"/>
      <c r="P102" s="102"/>
      <c r="Q102" s="102"/>
      <c r="R102" s="152"/>
      <c r="S102" s="102"/>
      <c r="T102" s="102"/>
    </row>
    <row r="103" spans="1:20" s="105" customFormat="1" ht="15.75" customHeight="1">
      <c r="A103" s="99"/>
      <c r="B103" s="100" t="s">
        <v>279</v>
      </c>
      <c r="C103" s="101"/>
      <c r="D103" s="102"/>
      <c r="E103" s="102"/>
      <c r="F103" s="102"/>
      <c r="G103" s="102"/>
      <c r="H103" s="102"/>
      <c r="I103" s="102"/>
      <c r="J103" s="102"/>
      <c r="K103" s="102"/>
      <c r="L103" s="102"/>
      <c r="M103" s="102"/>
      <c r="N103" s="102"/>
      <c r="O103" s="103"/>
      <c r="P103" s="103"/>
      <c r="Q103" s="103"/>
      <c r="R103" s="104"/>
      <c r="S103" s="102"/>
      <c r="T103" s="102"/>
    </row>
    <row r="104" spans="1:20" ht="13.5" thickBot="1">
      <c r="A104" s="106"/>
      <c r="B104" s="153"/>
      <c r="C104" s="233"/>
      <c r="D104" s="234"/>
      <c r="E104" s="234"/>
      <c r="F104" s="234"/>
      <c r="G104" s="234"/>
      <c r="H104" s="234"/>
      <c r="I104" s="234"/>
      <c r="J104" s="234"/>
      <c r="K104" s="234"/>
      <c r="L104" s="234"/>
      <c r="M104" s="234"/>
      <c r="N104" s="152"/>
      <c r="O104" s="234"/>
      <c r="P104" s="234"/>
      <c r="Q104" s="234"/>
      <c r="R104" s="152"/>
      <c r="S104" s="234"/>
      <c r="T104" s="234"/>
    </row>
    <row r="105" spans="1:20" ht="15.75" customHeight="1">
      <c r="A105" s="106"/>
      <c r="B105" s="1234" t="s">
        <v>279</v>
      </c>
      <c r="C105" s="1236" t="s">
        <v>210</v>
      </c>
      <c r="D105" s="154" t="s">
        <v>211</v>
      </c>
      <c r="E105" s="155"/>
      <c r="F105" s="155"/>
      <c r="G105" s="155"/>
      <c r="H105" s="156"/>
      <c r="I105" s="155" t="s">
        <v>212</v>
      </c>
      <c r="J105" s="157"/>
      <c r="K105" s="157"/>
      <c r="L105" s="157"/>
      <c r="M105" s="156"/>
      <c r="N105" s="152"/>
      <c r="O105" s="235" t="s">
        <v>211</v>
      </c>
      <c r="P105" s="236"/>
      <c r="Q105" s="237"/>
      <c r="R105" s="152"/>
      <c r="S105" s="235" t="s">
        <v>212</v>
      </c>
      <c r="T105" s="237"/>
    </row>
    <row r="106" spans="1:20" ht="25.5">
      <c r="A106" s="106"/>
      <c r="B106" s="1235"/>
      <c r="C106" s="1237"/>
      <c r="D106" s="158" t="s">
        <v>99</v>
      </c>
      <c r="E106" s="159" t="s">
        <v>100</v>
      </c>
      <c r="F106" s="159" t="s">
        <v>101</v>
      </c>
      <c r="G106" s="159" t="s">
        <v>102</v>
      </c>
      <c r="H106" s="160" t="s">
        <v>64</v>
      </c>
      <c r="I106" s="161" t="s">
        <v>213</v>
      </c>
      <c r="J106" s="159" t="s">
        <v>214</v>
      </c>
      <c r="K106" s="159" t="s">
        <v>215</v>
      </c>
      <c r="L106" s="159" t="s">
        <v>216</v>
      </c>
      <c r="M106" s="160" t="s">
        <v>217</v>
      </c>
      <c r="N106" s="152"/>
      <c r="O106" s="238" t="s">
        <v>218</v>
      </c>
      <c r="P106" s="239" t="s">
        <v>219</v>
      </c>
      <c r="Q106" s="240" t="s">
        <v>220</v>
      </c>
      <c r="R106" s="152"/>
      <c r="S106" s="238" t="s">
        <v>219</v>
      </c>
      <c r="T106" s="240" t="s">
        <v>221</v>
      </c>
    </row>
    <row r="107" spans="1:20" ht="15.75" customHeight="1">
      <c r="A107" s="106"/>
      <c r="B107" s="266" t="s">
        <v>280</v>
      </c>
      <c r="C107" s="245"/>
      <c r="D107" s="164"/>
      <c r="E107" s="165"/>
      <c r="F107" s="165"/>
      <c r="G107" s="165"/>
      <c r="H107" s="166"/>
      <c r="I107" s="165"/>
      <c r="J107" s="165"/>
      <c r="K107" s="165"/>
      <c r="L107" s="165"/>
      <c r="M107" s="166"/>
      <c r="N107" s="152"/>
      <c r="O107" s="246"/>
      <c r="P107" s="247"/>
      <c r="Q107" s="248"/>
      <c r="R107" s="152"/>
      <c r="S107" s="164"/>
      <c r="T107" s="166"/>
    </row>
    <row r="108" spans="1:20" ht="15.75" customHeight="1">
      <c r="A108" s="106"/>
      <c r="B108" s="267" t="s">
        <v>266</v>
      </c>
      <c r="C108" s="199" t="s">
        <v>223</v>
      </c>
      <c r="D108" s="171">
        <v>14.1</v>
      </c>
      <c r="E108" s="172">
        <v>12</v>
      </c>
      <c r="F108" s="172">
        <v>13.8</v>
      </c>
      <c r="G108" s="172">
        <v>11.3</v>
      </c>
      <c r="H108" s="173">
        <v>10.9</v>
      </c>
      <c r="I108" s="172">
        <v>10</v>
      </c>
      <c r="J108" s="174">
        <v>9.8000000000000007</v>
      </c>
      <c r="K108" s="174">
        <v>9</v>
      </c>
      <c r="L108" s="174">
        <v>9</v>
      </c>
      <c r="M108" s="173">
        <v>9</v>
      </c>
      <c r="N108" s="152"/>
      <c r="O108" s="129">
        <v>39.9</v>
      </c>
      <c r="P108" s="130">
        <v>22.2</v>
      </c>
      <c r="Q108" s="131">
        <v>62.1</v>
      </c>
      <c r="R108" s="108"/>
      <c r="S108" s="129">
        <v>46.9</v>
      </c>
      <c r="T108" s="132">
        <v>-0.24476650563607089</v>
      </c>
    </row>
    <row r="109" spans="1:20" ht="15.75" customHeight="1">
      <c r="A109" s="106"/>
      <c r="B109" s="267" t="s">
        <v>281</v>
      </c>
      <c r="C109" s="199" t="s">
        <v>223</v>
      </c>
      <c r="D109" s="171">
        <v>0.1</v>
      </c>
      <c r="E109" s="172">
        <v>0.4</v>
      </c>
      <c r="F109" s="172">
        <v>0.9</v>
      </c>
      <c r="G109" s="172">
        <v>0.4</v>
      </c>
      <c r="H109" s="173">
        <v>0.4</v>
      </c>
      <c r="I109" s="172">
        <v>1.3</v>
      </c>
      <c r="J109" s="174">
        <v>1.3</v>
      </c>
      <c r="K109" s="174">
        <v>1.1000000000000001</v>
      </c>
      <c r="L109" s="174">
        <v>1.1000000000000001</v>
      </c>
      <c r="M109" s="173">
        <v>1.1000000000000001</v>
      </c>
      <c r="N109" s="152"/>
      <c r="O109" s="129">
        <v>1.4</v>
      </c>
      <c r="P109" s="130">
        <v>0.8</v>
      </c>
      <c r="Q109" s="131">
        <v>2.2000000000000002</v>
      </c>
      <c r="R109" s="108"/>
      <c r="S109" s="129">
        <v>1.6</v>
      </c>
      <c r="T109" s="132">
        <v>-0.2727272727272726</v>
      </c>
    </row>
    <row r="110" spans="1:20" ht="15.75" customHeight="1">
      <c r="A110" s="106"/>
      <c r="B110" s="268" t="s">
        <v>268</v>
      </c>
      <c r="C110" s="199" t="s">
        <v>223</v>
      </c>
      <c r="D110" s="129">
        <v>14.2</v>
      </c>
      <c r="E110" s="251">
        <v>12.4</v>
      </c>
      <c r="F110" s="251">
        <v>14.7</v>
      </c>
      <c r="G110" s="251">
        <v>11.7</v>
      </c>
      <c r="H110" s="131">
        <v>11.3</v>
      </c>
      <c r="I110" s="251">
        <v>11.3</v>
      </c>
      <c r="J110" s="130">
        <v>11.1</v>
      </c>
      <c r="K110" s="130">
        <v>10.1</v>
      </c>
      <c r="L110" s="130">
        <v>10.1</v>
      </c>
      <c r="M110" s="131">
        <v>10.1</v>
      </c>
      <c r="N110" s="152"/>
      <c r="O110" s="129">
        <v>41.3</v>
      </c>
      <c r="P110" s="130">
        <v>23</v>
      </c>
      <c r="Q110" s="131">
        <v>64.3</v>
      </c>
      <c r="R110" s="108"/>
      <c r="S110" s="129">
        <v>48.5</v>
      </c>
      <c r="T110" s="132">
        <v>-0.24572317262830495</v>
      </c>
    </row>
    <row r="111" spans="1:20" ht="15.75" customHeight="1">
      <c r="A111" s="106"/>
      <c r="B111" s="266" t="s">
        <v>282</v>
      </c>
      <c r="C111" s="252"/>
      <c r="D111" s="253"/>
      <c r="E111" s="254"/>
      <c r="F111" s="254"/>
      <c r="G111" s="254"/>
      <c r="H111" s="255"/>
      <c r="I111" s="254"/>
      <c r="J111" s="254"/>
      <c r="K111" s="254"/>
      <c r="L111" s="254"/>
      <c r="M111" s="255"/>
      <c r="N111" s="152"/>
      <c r="O111" s="256"/>
      <c r="P111" s="254"/>
      <c r="Q111" s="255"/>
      <c r="R111" s="108"/>
      <c r="S111" s="253"/>
      <c r="T111" s="255"/>
    </row>
    <row r="112" spans="1:20" ht="15.75" customHeight="1">
      <c r="A112" s="106"/>
      <c r="B112" s="267" t="s">
        <v>266</v>
      </c>
      <c r="C112" s="199" t="s">
        <v>223</v>
      </c>
      <c r="D112" s="171">
        <v>2.2000000000000002</v>
      </c>
      <c r="E112" s="172">
        <v>3.2</v>
      </c>
      <c r="F112" s="172">
        <v>2.5</v>
      </c>
      <c r="G112" s="172">
        <v>1.7</v>
      </c>
      <c r="H112" s="173">
        <v>1.9</v>
      </c>
      <c r="I112" s="172">
        <v>1.1000000000000001</v>
      </c>
      <c r="J112" s="174">
        <v>1</v>
      </c>
      <c r="K112" s="174">
        <v>1</v>
      </c>
      <c r="L112" s="174">
        <v>1</v>
      </c>
      <c r="M112" s="173">
        <v>1</v>
      </c>
      <c r="N112" s="152"/>
      <c r="O112" s="129">
        <v>7.9</v>
      </c>
      <c r="P112" s="130">
        <v>3.6</v>
      </c>
      <c r="Q112" s="131">
        <v>11.5</v>
      </c>
      <c r="R112" s="108"/>
      <c r="S112" s="129">
        <v>11.9</v>
      </c>
      <c r="T112" s="132">
        <v>3.4782608695652049E-2</v>
      </c>
    </row>
    <row r="113" spans="1:20" ht="15.75" customHeight="1">
      <c r="A113" s="106"/>
      <c r="B113" s="267" t="s">
        <v>281</v>
      </c>
      <c r="C113" s="199" t="s">
        <v>223</v>
      </c>
      <c r="D113" s="171">
        <v>0</v>
      </c>
      <c r="E113" s="172">
        <v>0</v>
      </c>
      <c r="F113" s="172">
        <v>0.2</v>
      </c>
      <c r="G113" s="172">
        <v>0.2</v>
      </c>
      <c r="H113" s="173">
        <v>0.2</v>
      </c>
      <c r="I113" s="172">
        <v>1.3</v>
      </c>
      <c r="J113" s="174">
        <v>1.3</v>
      </c>
      <c r="K113" s="174">
        <v>1.3</v>
      </c>
      <c r="L113" s="174">
        <v>1.3</v>
      </c>
      <c r="M113" s="173">
        <v>1.3</v>
      </c>
      <c r="N113" s="152"/>
      <c r="O113" s="129">
        <v>0.2</v>
      </c>
      <c r="P113" s="130">
        <v>0.4</v>
      </c>
      <c r="Q113" s="131">
        <v>0.6</v>
      </c>
      <c r="R113" s="108"/>
      <c r="S113" s="129">
        <v>1.8</v>
      </c>
      <c r="T113" s="132">
        <v>2</v>
      </c>
    </row>
    <row r="114" spans="1:20" ht="15.75" customHeight="1">
      <c r="A114" s="106"/>
      <c r="B114" s="268" t="s">
        <v>270</v>
      </c>
      <c r="C114" s="199" t="s">
        <v>223</v>
      </c>
      <c r="D114" s="129">
        <v>2.2000000000000002</v>
      </c>
      <c r="E114" s="251">
        <v>3.2</v>
      </c>
      <c r="F114" s="251">
        <v>2.7</v>
      </c>
      <c r="G114" s="251">
        <v>1.9</v>
      </c>
      <c r="H114" s="131">
        <v>2.1</v>
      </c>
      <c r="I114" s="251">
        <v>2.4</v>
      </c>
      <c r="J114" s="130">
        <v>2.2999999999999998</v>
      </c>
      <c r="K114" s="130">
        <v>2.2999999999999998</v>
      </c>
      <c r="L114" s="130">
        <v>2.2999999999999998</v>
      </c>
      <c r="M114" s="131">
        <v>2.2999999999999998</v>
      </c>
      <c r="N114" s="152"/>
      <c r="O114" s="129">
        <v>8.1</v>
      </c>
      <c r="P114" s="130">
        <v>4</v>
      </c>
      <c r="Q114" s="131">
        <v>12.1</v>
      </c>
      <c r="R114" s="108"/>
      <c r="S114" s="129">
        <v>13.7</v>
      </c>
      <c r="T114" s="132">
        <v>0.1322314049586775</v>
      </c>
    </row>
    <row r="115" spans="1:20" ht="15.75" customHeight="1">
      <c r="A115" s="106"/>
      <c r="B115" s="266" t="s">
        <v>283</v>
      </c>
      <c r="C115" s="252"/>
      <c r="D115" s="253"/>
      <c r="E115" s="254"/>
      <c r="F115" s="254"/>
      <c r="G115" s="254"/>
      <c r="H115" s="255"/>
      <c r="I115" s="254"/>
      <c r="J115" s="254"/>
      <c r="K115" s="254"/>
      <c r="L115" s="254"/>
      <c r="M115" s="255"/>
      <c r="N115" s="152"/>
      <c r="O115" s="253"/>
      <c r="P115" s="254"/>
      <c r="Q115" s="255"/>
      <c r="R115" s="108"/>
      <c r="S115" s="253"/>
      <c r="T115" s="255"/>
    </row>
    <row r="116" spans="1:20" ht="15.75" customHeight="1">
      <c r="A116" s="106"/>
      <c r="B116" s="267" t="s">
        <v>266</v>
      </c>
      <c r="C116" s="199" t="s">
        <v>223</v>
      </c>
      <c r="D116" s="171">
        <v>0.6</v>
      </c>
      <c r="E116" s="172">
        <v>1.2</v>
      </c>
      <c r="F116" s="172">
        <v>0.5</v>
      </c>
      <c r="G116" s="172">
        <v>0.4</v>
      </c>
      <c r="H116" s="173">
        <v>0</v>
      </c>
      <c r="I116" s="172">
        <v>0</v>
      </c>
      <c r="J116" s="172">
        <v>0</v>
      </c>
      <c r="K116" s="172">
        <v>0</v>
      </c>
      <c r="L116" s="172">
        <v>0</v>
      </c>
      <c r="M116" s="172">
        <v>0</v>
      </c>
      <c r="N116" s="152"/>
      <c r="O116" s="129">
        <v>2.2999999999999998</v>
      </c>
      <c r="P116" s="130">
        <v>0.4</v>
      </c>
      <c r="Q116" s="131">
        <v>2.7</v>
      </c>
      <c r="R116" s="108"/>
      <c r="S116" s="129">
        <v>0.8</v>
      </c>
      <c r="T116" s="132">
        <v>-0.70370370370370361</v>
      </c>
    </row>
    <row r="117" spans="1:20" ht="15.75" customHeight="1">
      <c r="A117" s="106"/>
      <c r="B117" s="267" t="s">
        <v>281</v>
      </c>
      <c r="C117" s="199" t="s">
        <v>223</v>
      </c>
      <c r="D117" s="171">
        <v>0</v>
      </c>
      <c r="E117" s="172">
        <v>0.3</v>
      </c>
      <c r="F117" s="172">
        <v>1.1000000000000001</v>
      </c>
      <c r="G117" s="172">
        <v>0.15</v>
      </c>
      <c r="H117" s="173">
        <v>0.1</v>
      </c>
      <c r="I117" s="172">
        <v>0</v>
      </c>
      <c r="J117" s="172">
        <v>0</v>
      </c>
      <c r="K117" s="172">
        <v>0</v>
      </c>
      <c r="L117" s="172">
        <v>0</v>
      </c>
      <c r="M117" s="172">
        <v>0</v>
      </c>
      <c r="N117" s="152"/>
      <c r="O117" s="129">
        <v>1.4</v>
      </c>
      <c r="P117" s="130">
        <v>0.25</v>
      </c>
      <c r="Q117" s="131">
        <v>1.65</v>
      </c>
      <c r="R117" s="108"/>
      <c r="S117" s="129">
        <v>0.3</v>
      </c>
      <c r="T117" s="132">
        <v>-0.81818181818181812</v>
      </c>
    </row>
    <row r="118" spans="1:20" ht="15.75" customHeight="1">
      <c r="A118" s="106"/>
      <c r="B118" s="268" t="s">
        <v>272</v>
      </c>
      <c r="C118" s="199" t="s">
        <v>223</v>
      </c>
      <c r="D118" s="129">
        <v>0.6</v>
      </c>
      <c r="E118" s="251">
        <v>1.5</v>
      </c>
      <c r="F118" s="251">
        <v>1.6</v>
      </c>
      <c r="G118" s="251">
        <v>0.55000000000000004</v>
      </c>
      <c r="H118" s="131">
        <v>0.1</v>
      </c>
      <c r="I118" s="251">
        <v>0</v>
      </c>
      <c r="J118" s="130">
        <v>0.55000000000000004</v>
      </c>
      <c r="K118" s="130">
        <v>0</v>
      </c>
      <c r="L118" s="130">
        <v>0</v>
      </c>
      <c r="M118" s="131">
        <v>0.55000000000000004</v>
      </c>
      <c r="N118" s="152"/>
      <c r="O118" s="129">
        <v>3.7</v>
      </c>
      <c r="P118" s="130">
        <v>0.65</v>
      </c>
      <c r="Q118" s="131">
        <v>4.3499999999999996</v>
      </c>
      <c r="R118" s="108"/>
      <c r="S118" s="129">
        <v>1.1000000000000001</v>
      </c>
      <c r="T118" s="132">
        <v>-0.74712643678160917</v>
      </c>
    </row>
    <row r="119" spans="1:20" ht="15.75" customHeight="1">
      <c r="A119" s="106"/>
      <c r="B119" s="266" t="s">
        <v>284</v>
      </c>
      <c r="C119" s="252"/>
      <c r="D119" s="253"/>
      <c r="E119" s="254"/>
      <c r="F119" s="254"/>
      <c r="G119" s="254"/>
      <c r="H119" s="255"/>
      <c r="I119" s="254"/>
      <c r="J119" s="254"/>
      <c r="K119" s="254"/>
      <c r="L119" s="254"/>
      <c r="M119" s="255"/>
      <c r="N119" s="152"/>
      <c r="O119" s="253"/>
      <c r="P119" s="254"/>
      <c r="Q119" s="255"/>
      <c r="R119" s="108"/>
      <c r="S119" s="253"/>
      <c r="T119" s="255"/>
    </row>
    <row r="120" spans="1:20" ht="15.75" customHeight="1">
      <c r="A120" s="106"/>
      <c r="B120" s="267" t="s">
        <v>266</v>
      </c>
      <c r="C120" s="199" t="s">
        <v>223</v>
      </c>
      <c r="D120" s="171">
        <v>0</v>
      </c>
      <c r="E120" s="172">
        <v>0</v>
      </c>
      <c r="F120" s="172">
        <v>0</v>
      </c>
      <c r="G120" s="172">
        <v>0</v>
      </c>
      <c r="H120" s="173">
        <v>0</v>
      </c>
      <c r="I120" s="172">
        <v>0</v>
      </c>
      <c r="J120" s="174">
        <v>0</v>
      </c>
      <c r="K120" s="174">
        <v>0</v>
      </c>
      <c r="L120" s="174">
        <v>0</v>
      </c>
      <c r="M120" s="173">
        <v>0</v>
      </c>
      <c r="N120" s="152"/>
      <c r="O120" s="129">
        <v>0</v>
      </c>
      <c r="P120" s="130">
        <v>0</v>
      </c>
      <c r="Q120" s="131">
        <v>0</v>
      </c>
      <c r="R120" s="108"/>
      <c r="S120" s="129">
        <v>0</v>
      </c>
      <c r="T120" s="132" t="s">
        <v>1024</v>
      </c>
    </row>
    <row r="121" spans="1:20" ht="15.75" customHeight="1">
      <c r="A121" s="106"/>
      <c r="B121" s="267" t="s">
        <v>281</v>
      </c>
      <c r="C121" s="199" t="s">
        <v>223</v>
      </c>
      <c r="D121" s="171">
        <v>0</v>
      </c>
      <c r="E121" s="172">
        <v>0</v>
      </c>
      <c r="F121" s="172">
        <v>0</v>
      </c>
      <c r="G121" s="172">
        <v>0</v>
      </c>
      <c r="H121" s="173">
        <v>0</v>
      </c>
      <c r="I121" s="172">
        <v>0</v>
      </c>
      <c r="J121" s="174">
        <v>0</v>
      </c>
      <c r="K121" s="174">
        <v>0</v>
      </c>
      <c r="L121" s="174">
        <v>0</v>
      </c>
      <c r="M121" s="173">
        <v>0</v>
      </c>
      <c r="N121" s="152"/>
      <c r="O121" s="129">
        <v>0</v>
      </c>
      <c r="P121" s="130">
        <v>0</v>
      </c>
      <c r="Q121" s="131">
        <v>0</v>
      </c>
      <c r="R121" s="108"/>
      <c r="S121" s="129">
        <v>0</v>
      </c>
      <c r="T121" s="132" t="s">
        <v>1024</v>
      </c>
    </row>
    <row r="122" spans="1:20" ht="15.75" customHeight="1">
      <c r="A122" s="106"/>
      <c r="B122" s="268" t="s">
        <v>274</v>
      </c>
      <c r="C122" s="199" t="s">
        <v>223</v>
      </c>
      <c r="D122" s="129">
        <v>0</v>
      </c>
      <c r="E122" s="251">
        <v>0</v>
      </c>
      <c r="F122" s="251">
        <v>0</v>
      </c>
      <c r="G122" s="251">
        <v>0</v>
      </c>
      <c r="H122" s="131">
        <v>0</v>
      </c>
      <c r="I122" s="251">
        <v>0</v>
      </c>
      <c r="J122" s="130">
        <v>0</v>
      </c>
      <c r="K122" s="130">
        <v>0</v>
      </c>
      <c r="L122" s="130">
        <v>0</v>
      </c>
      <c r="M122" s="131">
        <v>0</v>
      </c>
      <c r="N122" s="152"/>
      <c r="O122" s="129">
        <v>0</v>
      </c>
      <c r="P122" s="130">
        <v>0</v>
      </c>
      <c r="Q122" s="131">
        <v>0</v>
      </c>
      <c r="R122" s="108"/>
      <c r="S122" s="129">
        <v>0</v>
      </c>
      <c r="T122" s="132" t="s">
        <v>1024</v>
      </c>
    </row>
    <row r="123" spans="1:20" ht="15.75" customHeight="1">
      <c r="A123" s="106"/>
      <c r="B123" s="250"/>
      <c r="C123" s="199"/>
      <c r="D123" s="253"/>
      <c r="E123" s="254"/>
      <c r="F123" s="254"/>
      <c r="G123" s="254"/>
      <c r="H123" s="255"/>
      <c r="I123" s="254"/>
      <c r="J123" s="254"/>
      <c r="K123" s="254"/>
      <c r="L123" s="254"/>
      <c r="M123" s="255"/>
      <c r="N123" s="152"/>
      <c r="O123" s="253"/>
      <c r="P123" s="254"/>
      <c r="Q123" s="255"/>
      <c r="R123" s="108"/>
      <c r="S123" s="253"/>
      <c r="T123" s="255"/>
    </row>
    <row r="124" spans="1:20" ht="15.75" customHeight="1">
      <c r="A124" s="106"/>
      <c r="B124" s="266" t="s">
        <v>285</v>
      </c>
      <c r="C124" s="168" t="s">
        <v>223</v>
      </c>
      <c r="D124" s="140">
        <v>17</v>
      </c>
      <c r="E124" s="140">
        <v>17.100000000000001</v>
      </c>
      <c r="F124" s="140">
        <v>19</v>
      </c>
      <c r="G124" s="140">
        <v>14.15</v>
      </c>
      <c r="H124" s="139">
        <v>13.5</v>
      </c>
      <c r="I124" s="140">
        <v>13.7</v>
      </c>
      <c r="J124" s="138">
        <v>13.4</v>
      </c>
      <c r="K124" s="138">
        <v>12.4</v>
      </c>
      <c r="L124" s="138">
        <v>12.4</v>
      </c>
      <c r="M124" s="139">
        <v>12.4</v>
      </c>
      <c r="N124" s="190"/>
      <c r="O124" s="137">
        <v>53.1</v>
      </c>
      <c r="P124" s="138">
        <v>27.65</v>
      </c>
      <c r="Q124" s="139">
        <v>80.75</v>
      </c>
      <c r="R124" s="259"/>
      <c r="S124" s="137">
        <v>63.3</v>
      </c>
      <c r="T124" s="260">
        <v>-0.21609907120743044</v>
      </c>
    </row>
    <row r="125" spans="1:20" ht="15.75" customHeight="1">
      <c r="A125" s="106"/>
      <c r="B125" s="266" t="s">
        <v>286</v>
      </c>
      <c r="C125" s="168" t="s">
        <v>223</v>
      </c>
      <c r="D125" s="171">
        <v>-0.7</v>
      </c>
      <c r="E125" s="172">
        <v>3.8</v>
      </c>
      <c r="F125" s="172">
        <v>5.8</v>
      </c>
      <c r="G125" s="172">
        <v>5.4</v>
      </c>
      <c r="H125" s="173">
        <v>5.0999999999999996</v>
      </c>
      <c r="I125" s="172">
        <v>4.8</v>
      </c>
      <c r="J125" s="174">
        <v>5</v>
      </c>
      <c r="K125" s="174">
        <v>4.7</v>
      </c>
      <c r="L125" s="174">
        <v>4.7</v>
      </c>
      <c r="M125" s="173">
        <v>4.9000000000000004</v>
      </c>
      <c r="N125" s="190"/>
      <c r="O125" s="137">
        <v>8.9</v>
      </c>
      <c r="P125" s="138">
        <v>10.5</v>
      </c>
      <c r="Q125" s="139">
        <v>19.399999999999999</v>
      </c>
      <c r="R125" s="259"/>
      <c r="S125" s="137">
        <v>24.1</v>
      </c>
      <c r="T125" s="260">
        <v>0.24226804123711357</v>
      </c>
    </row>
    <row r="126" spans="1:20" ht="15.75" customHeight="1">
      <c r="A126" s="106"/>
      <c r="B126" s="266" t="s">
        <v>287</v>
      </c>
      <c r="C126" s="168" t="s">
        <v>223</v>
      </c>
      <c r="D126" s="137">
        <v>16.3</v>
      </c>
      <c r="E126" s="140">
        <v>20.9</v>
      </c>
      <c r="F126" s="140">
        <v>24.8</v>
      </c>
      <c r="G126" s="140">
        <v>19.55</v>
      </c>
      <c r="H126" s="139">
        <v>18.600000000000001</v>
      </c>
      <c r="I126" s="140">
        <f>+I125+I124</f>
        <v>18.5</v>
      </c>
      <c r="J126" s="140">
        <f>+J125+J124</f>
        <v>18.399999999999999</v>
      </c>
      <c r="K126" s="140">
        <f>+K125+K124</f>
        <v>17.100000000000001</v>
      </c>
      <c r="L126" s="140">
        <f>+L125+L124</f>
        <v>17.100000000000001</v>
      </c>
      <c r="M126" s="140">
        <f>+M125+M124</f>
        <v>17.3</v>
      </c>
      <c r="N126" s="190"/>
      <c r="O126" s="137">
        <v>62</v>
      </c>
      <c r="P126" s="138">
        <v>38.15</v>
      </c>
      <c r="Q126" s="139">
        <v>100.15</v>
      </c>
      <c r="R126" s="259"/>
      <c r="S126" s="137">
        <v>87.4</v>
      </c>
      <c r="T126" s="260">
        <v>-0.12730903644533201</v>
      </c>
    </row>
    <row r="127" spans="1:20" ht="15.75" customHeight="1">
      <c r="A127" s="106"/>
      <c r="B127" s="266"/>
      <c r="C127" s="176"/>
      <c r="D127" s="269"/>
      <c r="E127" s="270"/>
      <c r="F127" s="270"/>
      <c r="G127" s="270"/>
      <c r="H127" s="271"/>
      <c r="I127" s="270"/>
      <c r="J127" s="270"/>
      <c r="K127" s="270"/>
      <c r="L127" s="270"/>
      <c r="M127" s="271"/>
      <c r="N127" s="152"/>
      <c r="O127" s="253"/>
      <c r="P127" s="254"/>
      <c r="Q127" s="255"/>
      <c r="R127" s="108"/>
      <c r="S127" s="253"/>
      <c r="T127" s="255"/>
    </row>
    <row r="128" spans="1:20" ht="15.75" customHeight="1" thickBot="1">
      <c r="A128" s="106"/>
      <c r="B128" s="272" t="s">
        <v>288</v>
      </c>
      <c r="C128" s="189" t="s">
        <v>223</v>
      </c>
      <c r="D128" s="146">
        <v>1.3</v>
      </c>
      <c r="E128" s="146">
        <v>-2.8</v>
      </c>
      <c r="F128" s="146">
        <v>-4.100000000000005</v>
      </c>
      <c r="G128" s="146">
        <v>-4.25</v>
      </c>
      <c r="H128" s="145">
        <v>-4</v>
      </c>
      <c r="I128" s="146">
        <v>-4.0999999999999996</v>
      </c>
      <c r="J128" s="144">
        <v>-4.05</v>
      </c>
      <c r="K128" s="144">
        <v>-3.9</v>
      </c>
      <c r="L128" s="144">
        <v>-3.9</v>
      </c>
      <c r="M128" s="145">
        <v>-3.95</v>
      </c>
      <c r="N128" s="190"/>
      <c r="O128" s="143">
        <v>-5.6000000000000085</v>
      </c>
      <c r="P128" s="144">
        <v>-8.25</v>
      </c>
      <c r="Q128" s="145">
        <v>-13.85</v>
      </c>
      <c r="R128" s="259"/>
      <c r="S128" s="143">
        <v>-19.899999999999999</v>
      </c>
      <c r="T128" s="273">
        <v>0.43682310469313945</v>
      </c>
    </row>
    <row r="129" spans="1:20">
      <c r="A129" s="106"/>
      <c r="B129" s="106"/>
      <c r="C129" s="107"/>
      <c r="D129" s="102"/>
      <c r="E129" s="102"/>
      <c r="F129" s="102"/>
      <c r="G129" s="102"/>
      <c r="H129" s="102"/>
      <c r="I129" s="102"/>
      <c r="J129" s="102"/>
      <c r="K129" s="102"/>
      <c r="L129" s="102"/>
      <c r="M129" s="102"/>
      <c r="N129" s="102"/>
      <c r="O129" s="102"/>
      <c r="P129" s="102"/>
      <c r="Q129" s="102"/>
      <c r="R129" s="102"/>
      <c r="S129" s="102"/>
      <c r="T129" s="102"/>
    </row>
    <row r="130" spans="1:20" ht="13.5" thickBot="1">
      <c r="A130" s="106"/>
      <c r="B130" s="106"/>
      <c r="C130" s="107"/>
      <c r="D130" s="102"/>
      <c r="E130" s="102"/>
      <c r="F130" s="102"/>
      <c r="G130" s="102"/>
      <c r="H130" s="102"/>
      <c r="I130" s="102"/>
      <c r="J130" s="102"/>
      <c r="K130" s="102"/>
      <c r="L130" s="102"/>
      <c r="M130" s="102"/>
      <c r="N130" s="102"/>
      <c r="O130" s="102"/>
      <c r="P130" s="102"/>
      <c r="Q130" s="102"/>
      <c r="R130" s="102"/>
      <c r="S130" s="102"/>
      <c r="T130" s="102"/>
    </row>
    <row r="131" spans="1:20">
      <c r="A131" s="106"/>
      <c r="B131" s="1238"/>
      <c r="C131" s="1236" t="s">
        <v>210</v>
      </c>
      <c r="D131" s="154" t="s">
        <v>211</v>
      </c>
      <c r="E131" s="155"/>
      <c r="F131" s="155"/>
      <c r="G131" s="155"/>
      <c r="H131" s="156"/>
      <c r="I131" s="155" t="s">
        <v>212</v>
      </c>
      <c r="J131" s="157"/>
      <c r="K131" s="157"/>
      <c r="L131" s="157"/>
      <c r="M131" s="156"/>
      <c r="N131" s="152"/>
      <c r="O131" s="235" t="s">
        <v>211</v>
      </c>
      <c r="P131" s="236"/>
      <c r="Q131" s="237"/>
      <c r="R131" s="152"/>
      <c r="S131" s="235" t="s">
        <v>212</v>
      </c>
      <c r="T131" s="237"/>
    </row>
    <row r="132" spans="1:20" ht="25.5">
      <c r="A132" s="106"/>
      <c r="B132" s="1239"/>
      <c r="C132" s="1237"/>
      <c r="D132" s="158" t="s">
        <v>99</v>
      </c>
      <c r="E132" s="159" t="s">
        <v>100</v>
      </c>
      <c r="F132" s="159" t="s">
        <v>101</v>
      </c>
      <c r="G132" s="159" t="s">
        <v>102</v>
      </c>
      <c r="H132" s="160" t="s">
        <v>64</v>
      </c>
      <c r="I132" s="161" t="s">
        <v>213</v>
      </c>
      <c r="J132" s="159" t="s">
        <v>214</v>
      </c>
      <c r="K132" s="159" t="s">
        <v>215</v>
      </c>
      <c r="L132" s="159" t="s">
        <v>216</v>
      </c>
      <c r="M132" s="160" t="s">
        <v>217</v>
      </c>
      <c r="N132" s="152"/>
      <c r="O132" s="238" t="s">
        <v>218</v>
      </c>
      <c r="P132" s="239" t="s">
        <v>219</v>
      </c>
      <c r="Q132" s="240" t="s">
        <v>220</v>
      </c>
      <c r="R132" s="152"/>
      <c r="S132" s="238" t="s">
        <v>219</v>
      </c>
      <c r="T132" s="240" t="s">
        <v>221</v>
      </c>
    </row>
    <row r="133" spans="1:20" s="105" customFormat="1" ht="15.75" customHeight="1">
      <c r="A133" s="99"/>
      <c r="B133" s="274" t="s">
        <v>289</v>
      </c>
      <c r="C133" s="275" t="s">
        <v>223</v>
      </c>
      <c r="D133" s="125">
        <v>0.6</v>
      </c>
      <c r="E133" s="126">
        <v>0.6</v>
      </c>
      <c r="F133" s="126">
        <v>0.8</v>
      </c>
      <c r="G133" s="126">
        <v>0.6</v>
      </c>
      <c r="H133" s="127">
        <v>0.5</v>
      </c>
      <c r="I133" s="126">
        <v>0.5</v>
      </c>
      <c r="J133" s="128">
        <v>0.5</v>
      </c>
      <c r="K133" s="128">
        <v>0.5</v>
      </c>
      <c r="L133" s="128">
        <v>0.5</v>
      </c>
      <c r="M133" s="127">
        <v>0.5</v>
      </c>
      <c r="N133" s="102"/>
      <c r="O133" s="276">
        <v>2</v>
      </c>
      <c r="P133" s="277">
        <v>1.1000000000000001</v>
      </c>
      <c r="Q133" s="278">
        <v>3.1</v>
      </c>
      <c r="R133" s="108"/>
      <c r="S133" s="276">
        <v>2.5</v>
      </c>
      <c r="T133" s="279">
        <v>-0.19354838709677422</v>
      </c>
    </row>
    <row r="134" spans="1:20" s="105" customFormat="1" ht="15.75" customHeight="1">
      <c r="A134" s="99"/>
      <c r="B134" s="274" t="s">
        <v>290</v>
      </c>
      <c r="C134" s="275" t="s">
        <v>223</v>
      </c>
      <c r="D134" s="133">
        <v>0</v>
      </c>
      <c r="E134" s="134">
        <v>0</v>
      </c>
      <c r="F134" s="134">
        <v>0.3</v>
      </c>
      <c r="G134" s="134">
        <v>0.4</v>
      </c>
      <c r="H134" s="135">
        <v>0.5</v>
      </c>
      <c r="I134" s="134">
        <v>0.2</v>
      </c>
      <c r="J134" s="136">
        <v>0.3</v>
      </c>
      <c r="K134" s="136">
        <v>0.3</v>
      </c>
      <c r="L134" s="136">
        <v>0.3</v>
      </c>
      <c r="M134" s="135">
        <v>0.3</v>
      </c>
      <c r="N134" s="102"/>
      <c r="O134" s="129">
        <v>0.3</v>
      </c>
      <c r="P134" s="130">
        <v>0.9</v>
      </c>
      <c r="Q134" s="131">
        <v>1.2</v>
      </c>
      <c r="R134" s="108"/>
      <c r="S134" s="129">
        <v>1.4</v>
      </c>
      <c r="T134" s="132">
        <v>0.16666666666666663</v>
      </c>
    </row>
    <row r="135" spans="1:20" s="105" customFormat="1" ht="15.75" customHeight="1">
      <c r="A135" s="99"/>
      <c r="B135" s="274" t="s">
        <v>291</v>
      </c>
      <c r="C135" s="275" t="s">
        <v>223</v>
      </c>
      <c r="D135" s="133">
        <v>0</v>
      </c>
      <c r="E135" s="134">
        <v>0.4</v>
      </c>
      <c r="F135" s="134">
        <v>0.6</v>
      </c>
      <c r="G135" s="134">
        <v>0.15</v>
      </c>
      <c r="H135" s="135">
        <v>0.1</v>
      </c>
      <c r="I135" s="134">
        <v>0</v>
      </c>
      <c r="J135" s="136">
        <v>0.15</v>
      </c>
      <c r="K135" s="136">
        <v>0</v>
      </c>
      <c r="L135" s="136">
        <v>0</v>
      </c>
      <c r="M135" s="135">
        <v>0.15</v>
      </c>
      <c r="N135" s="102"/>
      <c r="O135" s="129">
        <v>1</v>
      </c>
      <c r="P135" s="130">
        <v>0.25</v>
      </c>
      <c r="Q135" s="131">
        <v>1.25</v>
      </c>
      <c r="R135" s="108"/>
      <c r="S135" s="129">
        <v>0.3</v>
      </c>
      <c r="T135" s="132">
        <v>-0.76</v>
      </c>
    </row>
    <row r="136" spans="1:20" s="105" customFormat="1" ht="15.75" customHeight="1" thickBot="1">
      <c r="A136" s="99"/>
      <c r="B136" s="280" t="s">
        <v>292</v>
      </c>
      <c r="C136" s="281" t="s">
        <v>223</v>
      </c>
      <c r="D136" s="282">
        <v>0</v>
      </c>
      <c r="E136" s="283">
        <v>0</v>
      </c>
      <c r="F136" s="283">
        <v>0</v>
      </c>
      <c r="G136" s="283">
        <v>0</v>
      </c>
      <c r="H136" s="284">
        <v>0</v>
      </c>
      <c r="I136" s="283">
        <v>0</v>
      </c>
      <c r="J136" s="285">
        <v>0</v>
      </c>
      <c r="K136" s="285">
        <v>0</v>
      </c>
      <c r="L136" s="285">
        <v>0</v>
      </c>
      <c r="M136" s="284">
        <v>0</v>
      </c>
      <c r="N136" s="102"/>
      <c r="O136" s="147">
        <v>0</v>
      </c>
      <c r="P136" s="148">
        <v>0</v>
      </c>
      <c r="Q136" s="149">
        <v>0</v>
      </c>
      <c r="R136" s="108"/>
      <c r="S136" s="147">
        <v>0</v>
      </c>
      <c r="T136" s="150" t="s">
        <v>1024</v>
      </c>
    </row>
    <row r="137" spans="1:20">
      <c r="A137" s="286"/>
      <c r="B137" s="287"/>
      <c r="C137" s="288"/>
      <c r="D137" s="183"/>
      <c r="E137" s="183"/>
      <c r="F137" s="183"/>
      <c r="G137" s="183"/>
      <c r="H137" s="183"/>
      <c r="I137" s="183"/>
      <c r="J137" s="183"/>
      <c r="K137" s="183"/>
      <c r="L137" s="183"/>
      <c r="M137" s="183"/>
      <c r="N137" s="183"/>
      <c r="O137" s="101"/>
      <c r="P137" s="101"/>
      <c r="Q137" s="101"/>
      <c r="R137" s="101"/>
      <c r="S137" s="101"/>
      <c r="T137" s="101"/>
    </row>
    <row r="138" spans="1:20">
      <c r="A138" s="106"/>
      <c r="B138" s="106"/>
      <c r="C138" s="107"/>
      <c r="D138" s="101"/>
      <c r="E138" s="101"/>
      <c r="F138" s="101"/>
      <c r="G138" s="101"/>
      <c r="H138" s="101"/>
      <c r="I138" s="101"/>
      <c r="J138" s="101"/>
      <c r="K138" s="101"/>
      <c r="L138" s="101"/>
      <c r="M138" s="101"/>
      <c r="N138" s="101"/>
      <c r="O138" s="101"/>
      <c r="P138" s="101"/>
      <c r="Q138" s="101"/>
      <c r="R138" s="101"/>
      <c r="S138" s="101"/>
      <c r="T138" s="101"/>
    </row>
    <row r="139" spans="1:20">
      <c r="A139" s="106"/>
      <c r="B139" s="106"/>
      <c r="C139" s="107"/>
      <c r="D139" s="101"/>
      <c r="E139" s="101"/>
      <c r="F139" s="101"/>
      <c r="G139" s="101"/>
      <c r="H139" s="101"/>
      <c r="I139" s="101"/>
      <c r="J139" s="101"/>
      <c r="K139" s="101"/>
      <c r="L139" s="101"/>
      <c r="M139" s="101"/>
      <c r="N139" s="101"/>
      <c r="O139" s="101"/>
      <c r="P139" s="101"/>
      <c r="Q139" s="101"/>
      <c r="R139" s="101"/>
      <c r="S139" s="101"/>
      <c r="T139" s="101"/>
    </row>
    <row r="140" spans="1:20">
      <c r="A140" s="106"/>
      <c r="B140" s="106"/>
      <c r="C140" s="107"/>
      <c r="D140" s="101"/>
      <c r="E140" s="101"/>
      <c r="F140" s="101"/>
      <c r="G140" s="101"/>
      <c r="H140" s="101"/>
      <c r="I140" s="101"/>
      <c r="J140" s="101"/>
      <c r="K140" s="101"/>
      <c r="L140" s="101"/>
      <c r="M140" s="101"/>
      <c r="N140" s="101"/>
      <c r="O140" s="101"/>
      <c r="P140" s="101"/>
      <c r="Q140" s="101"/>
      <c r="R140" s="101"/>
      <c r="S140" s="101"/>
      <c r="T140" s="101"/>
    </row>
    <row r="141" spans="1:20">
      <c r="A141" s="106"/>
      <c r="B141" s="106"/>
      <c r="C141" s="107"/>
      <c r="D141" s="101"/>
      <c r="E141" s="101"/>
      <c r="F141" s="101"/>
      <c r="G141" s="101"/>
      <c r="H141" s="101"/>
      <c r="I141" s="101"/>
      <c r="J141" s="101"/>
      <c r="K141" s="101"/>
      <c r="L141" s="101"/>
      <c r="M141" s="101"/>
      <c r="N141" s="101"/>
      <c r="O141" s="101"/>
      <c r="P141" s="101"/>
      <c r="Q141" s="101"/>
      <c r="R141" s="101"/>
      <c r="S141" s="101"/>
      <c r="T141" s="101"/>
    </row>
    <row r="142" spans="1:20">
      <c r="A142" s="106"/>
      <c r="B142" s="106"/>
      <c r="C142" s="107"/>
      <c r="D142" s="101"/>
      <c r="E142" s="101"/>
      <c r="F142" s="101"/>
      <c r="G142" s="101"/>
      <c r="H142" s="101"/>
      <c r="I142" s="101"/>
      <c r="J142" s="101"/>
      <c r="K142" s="101"/>
      <c r="L142" s="101"/>
      <c r="M142" s="101"/>
      <c r="N142" s="101"/>
      <c r="O142" s="101"/>
      <c r="P142" s="101"/>
      <c r="Q142" s="101"/>
      <c r="R142" s="101"/>
      <c r="S142" s="101"/>
      <c r="T142" s="101"/>
    </row>
    <row r="143" spans="1:20">
      <c r="A143" s="106"/>
      <c r="B143" s="106"/>
      <c r="C143" s="107"/>
      <c r="D143" s="101"/>
      <c r="E143" s="101"/>
      <c r="F143" s="101"/>
      <c r="G143" s="101"/>
      <c r="H143" s="101"/>
      <c r="I143" s="101"/>
      <c r="J143" s="101"/>
      <c r="K143" s="101"/>
      <c r="L143" s="101"/>
      <c r="M143" s="101"/>
      <c r="N143" s="101"/>
      <c r="O143" s="101"/>
      <c r="P143" s="101"/>
      <c r="Q143" s="101"/>
      <c r="R143" s="101"/>
      <c r="S143" s="101"/>
      <c r="T143" s="101"/>
    </row>
    <row r="144" spans="1:20">
      <c r="A144" s="106"/>
      <c r="B144" s="106"/>
      <c r="C144" s="107"/>
      <c r="D144" s="101"/>
      <c r="E144" s="101"/>
      <c r="F144" s="101"/>
      <c r="G144" s="101"/>
      <c r="H144" s="101"/>
      <c r="I144" s="101"/>
      <c r="J144" s="101"/>
      <c r="K144" s="101"/>
      <c r="L144" s="101"/>
      <c r="M144" s="101"/>
      <c r="N144" s="101"/>
      <c r="O144" s="101"/>
      <c r="P144" s="101"/>
      <c r="Q144" s="101"/>
      <c r="R144" s="101"/>
      <c r="S144" s="101"/>
      <c r="T144" s="101"/>
    </row>
  </sheetData>
  <mergeCells count="12">
    <mergeCell ref="B76:B77"/>
    <mergeCell ref="C76:C77"/>
    <mergeCell ref="B105:B106"/>
    <mergeCell ref="C105:C106"/>
    <mergeCell ref="B131:B132"/>
    <mergeCell ref="C131:C132"/>
    <mergeCell ref="B8:B9"/>
    <mergeCell ref="C8:C9"/>
    <mergeCell ref="B18:B19"/>
    <mergeCell ref="C18:C19"/>
    <mergeCell ref="B51:B52"/>
    <mergeCell ref="C51:C5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T266"/>
  <sheetViews>
    <sheetView zoomScaleSheetLayoutView="85" workbookViewId="0"/>
  </sheetViews>
  <sheetFormatPr defaultColWidth="10.28515625" defaultRowHeight="15"/>
  <cols>
    <col min="1" max="1" width="3.7109375" style="2" customWidth="1"/>
    <col min="2" max="2" width="105.28515625" style="2" customWidth="1"/>
    <col min="3" max="3" width="7.42578125" style="2" customWidth="1"/>
    <col min="4" max="8" width="10" style="2" customWidth="1"/>
    <col min="9" max="13" width="10.28515625" style="2" customWidth="1"/>
    <col min="14" max="14" width="3.140625" style="2" customWidth="1"/>
    <col min="15" max="17" width="10.28515625" style="2" customWidth="1"/>
    <col min="18" max="18" width="3.140625" style="2" customWidth="1"/>
    <col min="19" max="19" width="10.28515625" style="2" customWidth="1"/>
    <col min="20" max="20" width="13" style="2" customWidth="1"/>
    <col min="21" max="16384" width="10.28515625" style="2"/>
  </cols>
  <sheetData>
    <row r="1" spans="1:20">
      <c r="A1" s="2" t="s">
        <v>94</v>
      </c>
    </row>
    <row r="3" spans="1:20">
      <c r="A3" s="2" t="s">
        <v>293</v>
      </c>
    </row>
    <row r="6" spans="1:20">
      <c r="B6" s="2" t="s">
        <v>294</v>
      </c>
    </row>
    <row r="8" spans="1:20">
      <c r="C8" s="2" t="s">
        <v>210</v>
      </c>
      <c r="D8" s="2" t="s">
        <v>211</v>
      </c>
      <c r="I8" s="2" t="s">
        <v>212</v>
      </c>
      <c r="O8" s="2" t="s">
        <v>211</v>
      </c>
      <c r="S8" s="2" t="s">
        <v>212</v>
      </c>
    </row>
    <row r="9" spans="1:20">
      <c r="D9" s="2" t="s">
        <v>99</v>
      </c>
      <c r="E9" s="2" t="s">
        <v>100</v>
      </c>
      <c r="F9" s="2" t="s">
        <v>101</v>
      </c>
      <c r="G9" s="2" t="s">
        <v>102</v>
      </c>
      <c r="H9" s="2" t="s">
        <v>64</v>
      </c>
      <c r="I9" s="2" t="s">
        <v>213</v>
      </c>
      <c r="J9" s="2" t="s">
        <v>214</v>
      </c>
      <c r="K9" s="2" t="s">
        <v>215</v>
      </c>
      <c r="L9" s="2" t="s">
        <v>216</v>
      </c>
      <c r="M9" s="2" t="s">
        <v>217</v>
      </c>
      <c r="O9" s="2" t="s">
        <v>218</v>
      </c>
      <c r="P9" s="2" t="s">
        <v>219</v>
      </c>
      <c r="Q9" s="2" t="s">
        <v>220</v>
      </c>
      <c r="S9" s="2" t="s">
        <v>219</v>
      </c>
      <c r="T9" s="2" t="s">
        <v>221</v>
      </c>
    </row>
    <row r="10" spans="1:20">
      <c r="B10" s="2" t="s">
        <v>295</v>
      </c>
      <c r="C10" s="2" t="s">
        <v>223</v>
      </c>
      <c r="D10" s="2">
        <f t="shared" ref="D10:M10" si="0">SUM(D178,D217,D240)</f>
        <v>0</v>
      </c>
      <c r="E10" s="2">
        <f t="shared" si="0"/>
        <v>0</v>
      </c>
      <c r="F10" s="2">
        <f t="shared" si="0"/>
        <v>0</v>
      </c>
      <c r="G10" s="2">
        <f t="shared" si="0"/>
        <v>0</v>
      </c>
      <c r="H10" s="2">
        <f t="shared" si="0"/>
        <v>0</v>
      </c>
      <c r="I10" s="2">
        <f t="shared" si="0"/>
        <v>0</v>
      </c>
      <c r="J10" s="2">
        <f t="shared" si="0"/>
        <v>0</v>
      </c>
      <c r="K10" s="2">
        <f t="shared" si="0"/>
        <v>0</v>
      </c>
      <c r="L10" s="2">
        <f t="shared" si="0"/>
        <v>0</v>
      </c>
      <c r="M10" s="2">
        <f t="shared" si="0"/>
        <v>0</v>
      </c>
      <c r="O10" s="2">
        <f t="shared" ref="O10:O15" si="1">SUM(D10:G10)</f>
        <v>0</v>
      </c>
      <c r="P10" s="2">
        <f t="shared" ref="P10:P15" si="2">SUM(H10)</f>
        <v>0</v>
      </c>
      <c r="Q10" s="2">
        <f t="shared" ref="Q10:Q15" si="3">SUM(D10:H10)</f>
        <v>0</v>
      </c>
      <c r="S10" s="2">
        <f t="shared" ref="S10:S15" si="4">SUM(I10:M10)</f>
        <v>0</v>
      </c>
      <c r="T10" s="2" t="str">
        <f t="shared" ref="T10:T15" si="5">IF(Q10&lt;&gt;0,(S10-Q10)/Q10,"0")</f>
        <v>0</v>
      </c>
    </row>
    <row r="11" spans="1:20">
      <c r="B11" s="2" t="s">
        <v>296</v>
      </c>
      <c r="C11" s="2" t="s">
        <v>223</v>
      </c>
      <c r="D11" s="2">
        <f t="shared" ref="D11:M11" si="6">D240</f>
        <v>0</v>
      </c>
      <c r="E11" s="2">
        <f t="shared" si="6"/>
        <v>0</v>
      </c>
      <c r="F11" s="2">
        <f t="shared" si="6"/>
        <v>0</v>
      </c>
      <c r="G11" s="2">
        <f t="shared" si="6"/>
        <v>0</v>
      </c>
      <c r="H11" s="2">
        <f t="shared" si="6"/>
        <v>0</v>
      </c>
      <c r="I11" s="2">
        <f t="shared" si="6"/>
        <v>0</v>
      </c>
      <c r="J11" s="2">
        <f t="shared" si="6"/>
        <v>0</v>
      </c>
      <c r="K11" s="2">
        <f t="shared" si="6"/>
        <v>0</v>
      </c>
      <c r="L11" s="2">
        <f t="shared" si="6"/>
        <v>0</v>
      </c>
      <c r="M11" s="2">
        <f t="shared" si="6"/>
        <v>0</v>
      </c>
      <c r="O11" s="2">
        <f t="shared" si="1"/>
        <v>0</v>
      </c>
      <c r="P11" s="2">
        <f t="shared" si="2"/>
        <v>0</v>
      </c>
      <c r="Q11" s="2">
        <f t="shared" si="3"/>
        <v>0</v>
      </c>
      <c r="S11" s="2">
        <f t="shared" si="4"/>
        <v>0</v>
      </c>
      <c r="T11" s="2" t="str">
        <f t="shared" si="5"/>
        <v>0</v>
      </c>
    </row>
    <row r="12" spans="1:20">
      <c r="B12" s="2" t="s">
        <v>297</v>
      </c>
      <c r="C12" s="2" t="s">
        <v>223</v>
      </c>
      <c r="D12" s="2">
        <f t="shared" ref="D12:M12" si="7">D263</f>
        <v>0</v>
      </c>
      <c r="E12" s="2">
        <f t="shared" si="7"/>
        <v>0</v>
      </c>
      <c r="F12" s="2">
        <f t="shared" si="7"/>
        <v>0</v>
      </c>
      <c r="G12" s="2">
        <f t="shared" si="7"/>
        <v>0</v>
      </c>
      <c r="H12" s="2">
        <f t="shared" si="7"/>
        <v>0</v>
      </c>
      <c r="I12" s="2">
        <f t="shared" si="7"/>
        <v>0</v>
      </c>
      <c r="J12" s="2">
        <f t="shared" si="7"/>
        <v>0</v>
      </c>
      <c r="K12" s="2">
        <f t="shared" si="7"/>
        <v>0</v>
      </c>
      <c r="L12" s="2">
        <f t="shared" si="7"/>
        <v>0</v>
      </c>
      <c r="M12" s="2">
        <f t="shared" si="7"/>
        <v>0</v>
      </c>
      <c r="O12" s="2">
        <f t="shared" si="1"/>
        <v>0</v>
      </c>
      <c r="P12" s="2">
        <f t="shared" si="2"/>
        <v>0</v>
      </c>
      <c r="Q12" s="2">
        <f t="shared" si="3"/>
        <v>0</v>
      </c>
      <c r="S12" s="2">
        <f t="shared" si="4"/>
        <v>0</v>
      </c>
      <c r="T12" s="2" t="str">
        <f t="shared" si="5"/>
        <v>0</v>
      </c>
    </row>
    <row r="13" spans="1:20">
      <c r="B13" s="2" t="s">
        <v>298</v>
      </c>
      <c r="C13" s="2" t="s">
        <v>223</v>
      </c>
      <c r="D13" s="2">
        <f t="shared" ref="D13:M13" si="8">D11-D12</f>
        <v>0</v>
      </c>
      <c r="E13" s="2">
        <f t="shared" si="8"/>
        <v>0</v>
      </c>
      <c r="F13" s="2">
        <f t="shared" si="8"/>
        <v>0</v>
      </c>
      <c r="G13" s="2">
        <f t="shared" si="8"/>
        <v>0</v>
      </c>
      <c r="H13" s="2">
        <f t="shared" si="8"/>
        <v>0</v>
      </c>
      <c r="I13" s="2">
        <f t="shared" si="8"/>
        <v>0</v>
      </c>
      <c r="J13" s="2">
        <f t="shared" si="8"/>
        <v>0</v>
      </c>
      <c r="K13" s="2">
        <f t="shared" si="8"/>
        <v>0</v>
      </c>
      <c r="L13" s="2">
        <f t="shared" si="8"/>
        <v>0</v>
      </c>
      <c r="M13" s="2">
        <f t="shared" si="8"/>
        <v>0</v>
      </c>
      <c r="O13" s="2">
        <f t="shared" si="1"/>
        <v>0</v>
      </c>
      <c r="P13" s="2">
        <f t="shared" si="2"/>
        <v>0</v>
      </c>
      <c r="Q13" s="2">
        <f t="shared" si="3"/>
        <v>0</v>
      </c>
      <c r="S13" s="2">
        <f t="shared" si="4"/>
        <v>0</v>
      </c>
      <c r="T13" s="2" t="str">
        <f t="shared" si="5"/>
        <v>0</v>
      </c>
    </row>
    <row r="14" spans="1:20">
      <c r="B14" s="2" t="s">
        <v>299</v>
      </c>
      <c r="C14" s="2" t="s">
        <v>223</v>
      </c>
      <c r="O14" s="2">
        <f t="shared" si="1"/>
        <v>0</v>
      </c>
      <c r="P14" s="2">
        <f t="shared" si="2"/>
        <v>0</v>
      </c>
      <c r="Q14" s="2">
        <f t="shared" si="3"/>
        <v>0</v>
      </c>
      <c r="S14" s="2">
        <f t="shared" si="4"/>
        <v>0</v>
      </c>
      <c r="T14" s="2" t="str">
        <f t="shared" si="5"/>
        <v>0</v>
      </c>
    </row>
    <row r="15" spans="1:20">
      <c r="B15" s="2" t="s">
        <v>300</v>
      </c>
      <c r="C15" s="2" t="s">
        <v>223</v>
      </c>
      <c r="D15" s="2">
        <f t="shared" ref="D15:M15" si="9">D13+D14</f>
        <v>0</v>
      </c>
      <c r="E15" s="2">
        <f t="shared" si="9"/>
        <v>0</v>
      </c>
      <c r="F15" s="2">
        <f t="shared" si="9"/>
        <v>0</v>
      </c>
      <c r="G15" s="2">
        <f t="shared" si="9"/>
        <v>0</v>
      </c>
      <c r="H15" s="2">
        <f t="shared" si="9"/>
        <v>0</v>
      </c>
      <c r="I15" s="2">
        <f t="shared" si="9"/>
        <v>0</v>
      </c>
      <c r="J15" s="2">
        <f t="shared" si="9"/>
        <v>0</v>
      </c>
      <c r="K15" s="2">
        <f t="shared" si="9"/>
        <v>0</v>
      </c>
      <c r="L15" s="2">
        <f t="shared" si="9"/>
        <v>0</v>
      </c>
      <c r="M15" s="2">
        <f t="shared" si="9"/>
        <v>0</v>
      </c>
      <c r="O15" s="2">
        <f t="shared" si="1"/>
        <v>0</v>
      </c>
      <c r="P15" s="2">
        <f t="shared" si="2"/>
        <v>0</v>
      </c>
      <c r="Q15" s="2">
        <f t="shared" si="3"/>
        <v>0</v>
      </c>
      <c r="S15" s="2">
        <f t="shared" si="4"/>
        <v>0</v>
      </c>
      <c r="T15" s="2" t="str">
        <f t="shared" si="5"/>
        <v>0</v>
      </c>
    </row>
    <row r="16" spans="1:20">
      <c r="B16" s="2" t="s">
        <v>301</v>
      </c>
      <c r="D16" s="2" t="str">
        <f t="shared" ref="D16:M16" si="10">IF(D13-SUM(D31,D35,D39,D43)=0,"OK","ERROR")</f>
        <v>OK</v>
      </c>
      <c r="E16" s="2" t="str">
        <f t="shared" si="10"/>
        <v>OK</v>
      </c>
      <c r="F16" s="2" t="str">
        <f t="shared" si="10"/>
        <v>OK</v>
      </c>
      <c r="G16" s="2" t="str">
        <f t="shared" si="10"/>
        <v>OK</v>
      </c>
      <c r="H16" s="2" t="str">
        <f t="shared" si="10"/>
        <v>OK</v>
      </c>
      <c r="I16" s="2" t="str">
        <f t="shared" si="10"/>
        <v>OK</v>
      </c>
      <c r="J16" s="2" t="str">
        <f t="shared" si="10"/>
        <v>OK</v>
      </c>
      <c r="K16" s="2" t="str">
        <f t="shared" si="10"/>
        <v>OK</v>
      </c>
      <c r="L16" s="2" t="str">
        <f t="shared" si="10"/>
        <v>OK</v>
      </c>
      <c r="M16" s="2" t="str">
        <f t="shared" si="10"/>
        <v>OK</v>
      </c>
    </row>
    <row r="18" spans="2:20">
      <c r="C18" s="2" t="s">
        <v>210</v>
      </c>
      <c r="D18" s="2" t="s">
        <v>211</v>
      </c>
      <c r="I18" s="2" t="s">
        <v>212</v>
      </c>
      <c r="O18" s="2" t="s">
        <v>211</v>
      </c>
      <c r="S18" s="2" t="s">
        <v>212</v>
      </c>
    </row>
    <row r="19" spans="2:20">
      <c r="D19" s="2" t="s">
        <v>99</v>
      </c>
      <c r="E19" s="2" t="s">
        <v>100</v>
      </c>
      <c r="F19" s="2" t="s">
        <v>101</v>
      </c>
      <c r="G19" s="2" t="s">
        <v>102</v>
      </c>
      <c r="H19" s="2" t="s">
        <v>64</v>
      </c>
      <c r="I19" s="2" t="s">
        <v>213</v>
      </c>
      <c r="J19" s="2" t="s">
        <v>214</v>
      </c>
      <c r="K19" s="2" t="s">
        <v>215</v>
      </c>
      <c r="L19" s="2" t="s">
        <v>216</v>
      </c>
      <c r="M19" s="2" t="s">
        <v>217</v>
      </c>
      <c r="O19" s="2" t="s">
        <v>218</v>
      </c>
      <c r="P19" s="2" t="s">
        <v>219</v>
      </c>
      <c r="Q19" s="2" t="s">
        <v>220</v>
      </c>
      <c r="S19" s="2" t="s">
        <v>219</v>
      </c>
      <c r="T19" s="2" t="s">
        <v>221</v>
      </c>
    </row>
    <row r="20" spans="2:20">
      <c r="B20" s="2" t="s">
        <v>302</v>
      </c>
      <c r="C20" s="2" t="s">
        <v>223</v>
      </c>
      <c r="O20" s="2">
        <f>SUM(D20:G20)</f>
        <v>0</v>
      </c>
      <c r="P20" s="2">
        <f>SUM(H20)</f>
        <v>0</v>
      </c>
      <c r="Q20" s="2">
        <f>SUM(D20:H20)</f>
        <v>0</v>
      </c>
      <c r="S20" s="2">
        <f>SUM(I20:M20)</f>
        <v>0</v>
      </c>
      <c r="T20" s="2" t="str">
        <f>IF(Q20&lt;&gt;0,(S20-Q20)/Q20,"0")</f>
        <v>0</v>
      </c>
    </row>
    <row r="21" spans="2:20">
      <c r="B21" s="2" t="s">
        <v>303</v>
      </c>
      <c r="C21" s="2" t="s">
        <v>223</v>
      </c>
      <c r="O21" s="2">
        <f>SUM(D21:G21)</f>
        <v>0</v>
      </c>
      <c r="P21" s="2">
        <f>SUM(H21)</f>
        <v>0</v>
      </c>
      <c r="Q21" s="2">
        <f>SUM(D21:H21)</f>
        <v>0</v>
      </c>
      <c r="S21" s="2">
        <f>SUM(I21:M21)</f>
        <v>0</v>
      </c>
      <c r="T21" s="2" t="str">
        <f>IF(Q21&lt;&gt;0,(S21-Q21)/Q21,"0")</f>
        <v>0</v>
      </c>
    </row>
    <row r="22" spans="2:20">
      <c r="B22" s="2" t="s">
        <v>220</v>
      </c>
      <c r="C22" s="2" t="s">
        <v>223</v>
      </c>
      <c r="D22" s="2">
        <f t="shared" ref="D22:M22" si="11">D20+D21</f>
        <v>0</v>
      </c>
      <c r="E22" s="2">
        <f t="shared" si="11"/>
        <v>0</v>
      </c>
      <c r="F22" s="2">
        <f t="shared" si="11"/>
        <v>0</v>
      </c>
      <c r="G22" s="2">
        <f t="shared" si="11"/>
        <v>0</v>
      </c>
      <c r="H22" s="2">
        <f t="shared" si="11"/>
        <v>0</v>
      </c>
      <c r="I22" s="2">
        <f t="shared" si="11"/>
        <v>0</v>
      </c>
      <c r="J22" s="2">
        <f t="shared" si="11"/>
        <v>0</v>
      </c>
      <c r="K22" s="2">
        <f t="shared" si="11"/>
        <v>0</v>
      </c>
      <c r="L22" s="2">
        <f t="shared" si="11"/>
        <v>0</v>
      </c>
      <c r="M22" s="2">
        <f t="shared" si="11"/>
        <v>0</v>
      </c>
      <c r="O22" s="2">
        <f>SUM(D22:G22)</f>
        <v>0</v>
      </c>
      <c r="P22" s="2">
        <f>SUM(H22)</f>
        <v>0</v>
      </c>
      <c r="Q22" s="2">
        <f>SUM(D22:H22)</f>
        <v>0</v>
      </c>
      <c r="S22" s="2">
        <f>SUM(I22:M22)</f>
        <v>0</v>
      </c>
      <c r="T22" s="2" t="str">
        <f>IF(Q22&lt;&gt;0,(S22-Q22)/Q22,"0")</f>
        <v>0</v>
      </c>
    </row>
    <row r="24" spans="2:20">
      <c r="B24" s="2" t="s">
        <v>304</v>
      </c>
    </row>
    <row r="26" spans="2:20">
      <c r="B26" s="2" t="s">
        <v>305</v>
      </c>
      <c r="C26" s="2" t="s">
        <v>210</v>
      </c>
      <c r="D26" s="2" t="s">
        <v>211</v>
      </c>
      <c r="I26" s="2" t="s">
        <v>212</v>
      </c>
      <c r="O26" s="2" t="s">
        <v>211</v>
      </c>
      <c r="S26" s="2" t="s">
        <v>212</v>
      </c>
    </row>
    <row r="27" spans="2:20">
      <c r="D27" s="2" t="s">
        <v>99</v>
      </c>
      <c r="E27" s="2" t="s">
        <v>100</v>
      </c>
      <c r="F27" s="2" t="s">
        <v>101</v>
      </c>
      <c r="G27" s="2" t="s">
        <v>102</v>
      </c>
      <c r="H27" s="2" t="s">
        <v>64</v>
      </c>
      <c r="I27" s="2" t="s">
        <v>213</v>
      </c>
      <c r="J27" s="2" t="s">
        <v>214</v>
      </c>
      <c r="K27" s="2" t="s">
        <v>215</v>
      </c>
      <c r="L27" s="2" t="s">
        <v>216</v>
      </c>
      <c r="M27" s="2" t="s">
        <v>217</v>
      </c>
      <c r="O27" s="2" t="s">
        <v>218</v>
      </c>
      <c r="P27" s="2" t="s">
        <v>219</v>
      </c>
      <c r="Q27" s="2" t="s">
        <v>220</v>
      </c>
      <c r="S27" s="2" t="s">
        <v>219</v>
      </c>
      <c r="T27" s="2" t="s">
        <v>221</v>
      </c>
    </row>
    <row r="28" spans="2:20">
      <c r="B28" s="2" t="s">
        <v>280</v>
      </c>
    </row>
    <row r="29" spans="2:20">
      <c r="B29" s="2" t="s">
        <v>306</v>
      </c>
      <c r="C29" s="2" t="s">
        <v>223</v>
      </c>
      <c r="I29" s="2">
        <f t="shared" ref="I29:M30" si="12">I225-I248</f>
        <v>0</v>
      </c>
      <c r="J29" s="2">
        <f t="shared" si="12"/>
        <v>0</v>
      </c>
      <c r="K29" s="2">
        <f t="shared" si="12"/>
        <v>0</v>
      </c>
      <c r="L29" s="2">
        <f t="shared" si="12"/>
        <v>0</v>
      </c>
      <c r="M29" s="2">
        <f t="shared" si="12"/>
        <v>0</v>
      </c>
    </row>
    <row r="30" spans="2:20">
      <c r="B30" s="2" t="s">
        <v>307</v>
      </c>
      <c r="C30" s="2" t="s">
        <v>223</v>
      </c>
      <c r="I30" s="2">
        <f t="shared" si="12"/>
        <v>0</v>
      </c>
      <c r="J30" s="2">
        <f t="shared" si="12"/>
        <v>0</v>
      </c>
      <c r="K30" s="2">
        <f t="shared" si="12"/>
        <v>0</v>
      </c>
      <c r="L30" s="2">
        <f t="shared" si="12"/>
        <v>0</v>
      </c>
      <c r="M30" s="2">
        <f t="shared" si="12"/>
        <v>0</v>
      </c>
    </row>
    <row r="31" spans="2:20">
      <c r="B31" s="2" t="s">
        <v>268</v>
      </c>
      <c r="C31" s="2" t="s">
        <v>223</v>
      </c>
      <c r="D31" s="2">
        <f>D227-D250</f>
        <v>0</v>
      </c>
      <c r="E31" s="2">
        <f>E227-E250</f>
        <v>0</v>
      </c>
      <c r="F31" s="2">
        <f>F227-F250</f>
        <v>0</v>
      </c>
      <c r="G31" s="2">
        <f>G227-G250</f>
        <v>0</v>
      </c>
      <c r="H31" s="2">
        <f>H227-H250</f>
        <v>0</v>
      </c>
      <c r="I31" s="2">
        <f>SUM(I29:I30)</f>
        <v>0</v>
      </c>
      <c r="J31" s="2">
        <f>SUM(J29:J30)</f>
        <v>0</v>
      </c>
      <c r="K31" s="2">
        <f>SUM(K29:K30)</f>
        <v>0</v>
      </c>
      <c r="L31" s="2">
        <f>SUM(L29:L30)</f>
        <v>0</v>
      </c>
      <c r="M31" s="2">
        <f>SUM(M29:M30)</f>
        <v>0</v>
      </c>
      <c r="O31" s="2">
        <f>SUM(D31:G31)</f>
        <v>0</v>
      </c>
      <c r="P31" s="2">
        <f>SUM(H31)</f>
        <v>0</v>
      </c>
      <c r="Q31" s="2">
        <f>SUM(D31:H31)</f>
        <v>0</v>
      </c>
      <c r="S31" s="2">
        <f>SUM(I31:M31)</f>
        <v>0</v>
      </c>
      <c r="T31" s="2" t="str">
        <f>IF(Q31&lt;&gt;0,(S31-Q31)/Q31,"0")</f>
        <v>0</v>
      </c>
    </row>
    <row r="32" spans="2:20">
      <c r="B32" s="2" t="s">
        <v>282</v>
      </c>
    </row>
    <row r="33" spans="2:20">
      <c r="B33" s="2" t="s">
        <v>308</v>
      </c>
      <c r="C33" s="2" t="s">
        <v>223</v>
      </c>
      <c r="I33" s="2">
        <f t="shared" ref="I33:M34" si="13">I229-I252</f>
        <v>0</v>
      </c>
      <c r="J33" s="2">
        <f t="shared" si="13"/>
        <v>0</v>
      </c>
      <c r="K33" s="2">
        <f t="shared" si="13"/>
        <v>0</v>
      </c>
      <c r="L33" s="2">
        <f t="shared" si="13"/>
        <v>0</v>
      </c>
      <c r="M33" s="2">
        <f t="shared" si="13"/>
        <v>0</v>
      </c>
    </row>
    <row r="34" spans="2:20">
      <c r="B34" s="2" t="s">
        <v>309</v>
      </c>
      <c r="C34" s="2" t="s">
        <v>223</v>
      </c>
      <c r="I34" s="2">
        <f t="shared" si="13"/>
        <v>0</v>
      </c>
      <c r="J34" s="2">
        <f t="shared" si="13"/>
        <v>0</v>
      </c>
      <c r="K34" s="2">
        <f t="shared" si="13"/>
        <v>0</v>
      </c>
      <c r="L34" s="2">
        <f t="shared" si="13"/>
        <v>0</v>
      </c>
      <c r="M34" s="2">
        <f t="shared" si="13"/>
        <v>0</v>
      </c>
    </row>
    <row r="35" spans="2:20">
      <c r="B35" s="2" t="s">
        <v>270</v>
      </c>
      <c r="C35" s="2" t="s">
        <v>223</v>
      </c>
      <c r="D35" s="2">
        <f>D231-D254</f>
        <v>0</v>
      </c>
      <c r="E35" s="2">
        <f>E231-E254</f>
        <v>0</v>
      </c>
      <c r="F35" s="2">
        <f>F231-F254</f>
        <v>0</v>
      </c>
      <c r="G35" s="2">
        <f>G231-G254</f>
        <v>0</v>
      </c>
      <c r="H35" s="2">
        <f>H231-H254</f>
        <v>0</v>
      </c>
      <c r="I35" s="2">
        <f>SUM(I33:I34)</f>
        <v>0</v>
      </c>
      <c r="J35" s="2">
        <f>SUM(J33:J34)</f>
        <v>0</v>
      </c>
      <c r="K35" s="2">
        <f>SUM(K33:K34)</f>
        <v>0</v>
      </c>
      <c r="L35" s="2">
        <f>SUM(L33:L34)</f>
        <v>0</v>
      </c>
      <c r="M35" s="2">
        <f>SUM(M33:M34)</f>
        <v>0</v>
      </c>
      <c r="O35" s="2">
        <f>SUM(D35:G35)</f>
        <v>0</v>
      </c>
      <c r="P35" s="2">
        <f>SUM(H35)</f>
        <v>0</v>
      </c>
      <c r="Q35" s="2">
        <f>SUM(D35:H35)</f>
        <v>0</v>
      </c>
      <c r="S35" s="2">
        <f>SUM(I35:M35)</f>
        <v>0</v>
      </c>
      <c r="T35" s="2" t="str">
        <f>IF(Q35&lt;&gt;0,(S35-Q35)/Q35,"0")</f>
        <v>0</v>
      </c>
    </row>
    <row r="36" spans="2:20">
      <c r="B36" s="2" t="s">
        <v>283</v>
      </c>
    </row>
    <row r="37" spans="2:20">
      <c r="B37" s="2" t="s">
        <v>310</v>
      </c>
      <c r="C37" s="2" t="s">
        <v>223</v>
      </c>
      <c r="I37" s="2">
        <f t="shared" ref="I37:M38" si="14">I233-I256</f>
        <v>0</v>
      </c>
      <c r="J37" s="2">
        <f t="shared" si="14"/>
        <v>0</v>
      </c>
      <c r="K37" s="2">
        <f t="shared" si="14"/>
        <v>0</v>
      </c>
      <c r="L37" s="2">
        <f t="shared" si="14"/>
        <v>0</v>
      </c>
      <c r="M37" s="2">
        <f t="shared" si="14"/>
        <v>0</v>
      </c>
    </row>
    <row r="38" spans="2:20">
      <c r="B38" s="2" t="s">
        <v>311</v>
      </c>
      <c r="C38" s="2" t="s">
        <v>223</v>
      </c>
      <c r="I38" s="2">
        <f t="shared" si="14"/>
        <v>0</v>
      </c>
      <c r="J38" s="2">
        <f t="shared" si="14"/>
        <v>0</v>
      </c>
      <c r="K38" s="2">
        <f t="shared" si="14"/>
        <v>0</v>
      </c>
      <c r="L38" s="2">
        <f t="shared" si="14"/>
        <v>0</v>
      </c>
      <c r="M38" s="2">
        <f t="shared" si="14"/>
        <v>0</v>
      </c>
    </row>
    <row r="39" spans="2:20">
      <c r="B39" s="2" t="s">
        <v>272</v>
      </c>
      <c r="C39" s="2" t="s">
        <v>223</v>
      </c>
      <c r="D39" s="2">
        <f>D235-D258</f>
        <v>0</v>
      </c>
      <c r="E39" s="2">
        <f>E235-E258</f>
        <v>0</v>
      </c>
      <c r="F39" s="2">
        <f>F235-F258</f>
        <v>0</v>
      </c>
      <c r="G39" s="2">
        <f>G235-G258</f>
        <v>0</v>
      </c>
      <c r="H39" s="2">
        <f>H235-H258</f>
        <v>0</v>
      </c>
      <c r="I39" s="2">
        <f>SUM(I37:I38)</f>
        <v>0</v>
      </c>
      <c r="J39" s="2">
        <f>SUM(J37:J38)</f>
        <v>0</v>
      </c>
      <c r="K39" s="2">
        <f>SUM(K37:K38)</f>
        <v>0</v>
      </c>
      <c r="L39" s="2">
        <f>SUM(L37:L38)</f>
        <v>0</v>
      </c>
      <c r="M39" s="2">
        <f>SUM(M37:M38)</f>
        <v>0</v>
      </c>
      <c r="O39" s="2">
        <f>SUM(D39:G39)</f>
        <v>0</v>
      </c>
      <c r="P39" s="2">
        <f>SUM(H39)</f>
        <v>0</v>
      </c>
      <c r="Q39" s="2">
        <f>SUM(D39:H39)</f>
        <v>0</v>
      </c>
      <c r="S39" s="2">
        <f>SUM(I39:M39)</f>
        <v>0</v>
      </c>
      <c r="T39" s="2" t="str">
        <f>IF(Q39&lt;&gt;0,(S39-Q39)/Q39,"0")</f>
        <v>0</v>
      </c>
    </row>
    <row r="40" spans="2:20">
      <c r="B40" s="2" t="s">
        <v>284</v>
      </c>
    </row>
    <row r="41" spans="2:20">
      <c r="B41" s="2" t="s">
        <v>312</v>
      </c>
      <c r="C41" s="2" t="s">
        <v>223</v>
      </c>
      <c r="I41" s="2">
        <f t="shared" ref="I41:M42" si="15">I237-I260</f>
        <v>0</v>
      </c>
      <c r="J41" s="2">
        <f t="shared" si="15"/>
        <v>0</v>
      </c>
      <c r="K41" s="2">
        <f t="shared" si="15"/>
        <v>0</v>
      </c>
      <c r="L41" s="2">
        <f t="shared" si="15"/>
        <v>0</v>
      </c>
      <c r="M41" s="2">
        <f t="shared" si="15"/>
        <v>0</v>
      </c>
    </row>
    <row r="42" spans="2:20">
      <c r="B42" s="2" t="s">
        <v>313</v>
      </c>
      <c r="C42" s="2" t="s">
        <v>223</v>
      </c>
      <c r="I42" s="2">
        <f t="shared" si="15"/>
        <v>0</v>
      </c>
      <c r="J42" s="2">
        <f t="shared" si="15"/>
        <v>0</v>
      </c>
      <c r="K42" s="2">
        <f t="shared" si="15"/>
        <v>0</v>
      </c>
      <c r="L42" s="2">
        <f t="shared" si="15"/>
        <v>0</v>
      </c>
      <c r="M42" s="2">
        <f t="shared" si="15"/>
        <v>0</v>
      </c>
    </row>
    <row r="43" spans="2:20">
      <c r="B43" s="2" t="s">
        <v>274</v>
      </c>
      <c r="C43" s="2" t="s">
        <v>223</v>
      </c>
      <c r="D43" s="2">
        <f>D239-D262</f>
        <v>0</v>
      </c>
      <c r="E43" s="2">
        <f>E239-E262</f>
        <v>0</v>
      </c>
      <c r="F43" s="2">
        <f>F239-F262</f>
        <v>0</v>
      </c>
      <c r="G43" s="2">
        <f>G239-G262</f>
        <v>0</v>
      </c>
      <c r="H43" s="2">
        <f>H239-H262</f>
        <v>0</v>
      </c>
      <c r="I43" s="2">
        <f>SUM(I41:I42)</f>
        <v>0</v>
      </c>
      <c r="J43" s="2">
        <f>SUM(J41:J42)</f>
        <v>0</v>
      </c>
      <c r="K43" s="2">
        <f>SUM(K41:K42)</f>
        <v>0</v>
      </c>
      <c r="L43" s="2">
        <f>SUM(L41:L42)</f>
        <v>0</v>
      </c>
      <c r="M43" s="2">
        <f>SUM(M41:M42)</f>
        <v>0</v>
      </c>
      <c r="O43" s="2">
        <f>SUM(D43:G43)</f>
        <v>0</v>
      </c>
      <c r="P43" s="2">
        <f>SUM(H43)</f>
        <v>0</v>
      </c>
      <c r="Q43" s="2">
        <f>SUM(D43:H43)</f>
        <v>0</v>
      </c>
      <c r="S43" s="2">
        <f>SUM(I43:M43)</f>
        <v>0</v>
      </c>
      <c r="T43" s="2" t="str">
        <f>IF(Q43&lt;&gt;0,(S43-Q43)/Q43,"0")</f>
        <v>0</v>
      </c>
    </row>
    <row r="46" spans="2:20">
      <c r="B46" s="2" t="s">
        <v>314</v>
      </c>
    </row>
    <row r="48" spans="2:20">
      <c r="C48" s="2" t="s">
        <v>210</v>
      </c>
      <c r="D48" s="2" t="s">
        <v>211</v>
      </c>
      <c r="I48" s="2" t="s">
        <v>212</v>
      </c>
    </row>
    <row r="49" spans="2:13">
      <c r="D49" s="2" t="s">
        <v>99</v>
      </c>
      <c r="E49" s="2" t="s">
        <v>100</v>
      </c>
      <c r="F49" s="2" t="s">
        <v>101</v>
      </c>
      <c r="G49" s="2" t="s">
        <v>102</v>
      </c>
      <c r="H49" s="2" t="s">
        <v>64</v>
      </c>
      <c r="I49" s="2" t="s">
        <v>213</v>
      </c>
      <c r="J49" s="2" t="s">
        <v>214</v>
      </c>
      <c r="K49" s="2" t="s">
        <v>215</v>
      </c>
      <c r="L49" s="2" t="s">
        <v>216</v>
      </c>
      <c r="M49" s="2" t="s">
        <v>217</v>
      </c>
    </row>
    <row r="50" spans="2:13">
      <c r="B50" s="2" t="s">
        <v>315</v>
      </c>
    </row>
    <row r="51" spans="2:13">
      <c r="B51" s="2" t="s">
        <v>316</v>
      </c>
    </row>
    <row r="52" spans="2:13">
      <c r="B52" s="2" t="s">
        <v>254</v>
      </c>
      <c r="C52" s="2" t="s">
        <v>255</v>
      </c>
      <c r="D52" s="2">
        <f t="shared" ref="D52:M56" si="16">D83+D114</f>
        <v>0</v>
      </c>
      <c r="E52" s="2">
        <f t="shared" si="16"/>
        <v>0</v>
      </c>
      <c r="F52" s="2">
        <f t="shared" si="16"/>
        <v>0</v>
      </c>
      <c r="G52" s="2">
        <f t="shared" si="16"/>
        <v>0</v>
      </c>
      <c r="H52" s="2">
        <f t="shared" si="16"/>
        <v>0</v>
      </c>
      <c r="I52" s="2">
        <f t="shared" si="16"/>
        <v>0</v>
      </c>
      <c r="J52" s="2">
        <f t="shared" si="16"/>
        <v>0</v>
      </c>
      <c r="K52" s="2">
        <f t="shared" si="16"/>
        <v>0</v>
      </c>
      <c r="L52" s="2">
        <f t="shared" si="16"/>
        <v>0</v>
      </c>
      <c r="M52" s="2">
        <f t="shared" si="16"/>
        <v>0</v>
      </c>
    </row>
    <row r="53" spans="2:13">
      <c r="B53" s="2" t="s">
        <v>317</v>
      </c>
      <c r="D53" s="2">
        <f t="shared" si="16"/>
        <v>0</v>
      </c>
      <c r="E53" s="2">
        <f t="shared" si="16"/>
        <v>0</v>
      </c>
      <c r="F53" s="2">
        <f t="shared" si="16"/>
        <v>0</v>
      </c>
      <c r="G53" s="2">
        <f t="shared" si="16"/>
        <v>0</v>
      </c>
      <c r="H53" s="2">
        <f t="shared" si="16"/>
        <v>0</v>
      </c>
      <c r="I53" s="2">
        <f t="shared" si="16"/>
        <v>0</v>
      </c>
      <c r="J53" s="2">
        <f t="shared" si="16"/>
        <v>0</v>
      </c>
      <c r="K53" s="2">
        <f t="shared" si="16"/>
        <v>0</v>
      </c>
      <c r="L53" s="2">
        <f t="shared" si="16"/>
        <v>0</v>
      </c>
      <c r="M53" s="2">
        <f t="shared" si="16"/>
        <v>0</v>
      </c>
    </row>
    <row r="54" spans="2:13">
      <c r="B54" s="2" t="s">
        <v>318</v>
      </c>
      <c r="I54" s="2">
        <f t="shared" si="16"/>
        <v>0</v>
      </c>
      <c r="J54" s="2">
        <f t="shared" si="16"/>
        <v>0</v>
      </c>
      <c r="K54" s="2">
        <f t="shared" si="16"/>
        <v>0</v>
      </c>
      <c r="L54" s="2">
        <f t="shared" si="16"/>
        <v>0</v>
      </c>
      <c r="M54" s="2">
        <f t="shared" si="16"/>
        <v>0</v>
      </c>
    </row>
    <row r="55" spans="2:13">
      <c r="B55" s="2" t="s">
        <v>319</v>
      </c>
      <c r="C55" s="2" t="s">
        <v>255</v>
      </c>
      <c r="I55" s="2">
        <f t="shared" si="16"/>
        <v>0</v>
      </c>
      <c r="J55" s="2">
        <f t="shared" si="16"/>
        <v>0</v>
      </c>
      <c r="K55" s="2">
        <f t="shared" si="16"/>
        <v>0</v>
      </c>
      <c r="L55" s="2">
        <f t="shared" si="16"/>
        <v>0</v>
      </c>
      <c r="M55" s="2">
        <f t="shared" si="16"/>
        <v>0</v>
      </c>
    </row>
    <row r="56" spans="2:13">
      <c r="B56" s="2" t="s">
        <v>320</v>
      </c>
      <c r="D56" s="2">
        <f>D87+D118</f>
        <v>0</v>
      </c>
      <c r="E56" s="2">
        <f>E87+E118</f>
        <v>0</v>
      </c>
      <c r="F56" s="2">
        <f>F87+F118</f>
        <v>0</v>
      </c>
      <c r="G56" s="2">
        <f>G87+G118</f>
        <v>0</v>
      </c>
      <c r="H56" s="2">
        <f>H87+H118</f>
        <v>0</v>
      </c>
      <c r="I56" s="2">
        <f t="shared" si="16"/>
        <v>0</v>
      </c>
      <c r="J56" s="2">
        <f t="shared" si="16"/>
        <v>0</v>
      </c>
      <c r="K56" s="2">
        <f t="shared" si="16"/>
        <v>0</v>
      </c>
      <c r="L56" s="2">
        <f t="shared" si="16"/>
        <v>0</v>
      </c>
      <c r="M56" s="2">
        <f t="shared" si="16"/>
        <v>0</v>
      </c>
    </row>
    <row r="57" spans="2:13">
      <c r="B57" s="2" t="s">
        <v>321</v>
      </c>
    </row>
    <row r="58" spans="2:13">
      <c r="B58" s="2" t="s">
        <v>254</v>
      </c>
      <c r="C58" s="2" t="s">
        <v>255</v>
      </c>
      <c r="D58" s="2">
        <f t="shared" ref="D58:M62" si="17">D89+D120</f>
        <v>0</v>
      </c>
      <c r="E58" s="2">
        <f t="shared" si="17"/>
        <v>0</v>
      </c>
      <c r="F58" s="2">
        <f t="shared" si="17"/>
        <v>0</v>
      </c>
      <c r="G58" s="2">
        <f t="shared" si="17"/>
        <v>0</v>
      </c>
      <c r="H58" s="2">
        <f t="shared" si="17"/>
        <v>0</v>
      </c>
      <c r="I58" s="2">
        <f t="shared" si="17"/>
        <v>0</v>
      </c>
      <c r="J58" s="2">
        <f t="shared" si="17"/>
        <v>0</v>
      </c>
      <c r="K58" s="2">
        <f t="shared" si="17"/>
        <v>0</v>
      </c>
      <c r="L58" s="2">
        <f t="shared" si="17"/>
        <v>0</v>
      </c>
      <c r="M58" s="2">
        <f t="shared" si="17"/>
        <v>0</v>
      </c>
    </row>
    <row r="59" spans="2:13">
      <c r="B59" s="2" t="s">
        <v>317</v>
      </c>
      <c r="D59" s="2">
        <f t="shared" si="17"/>
        <v>0</v>
      </c>
      <c r="E59" s="2">
        <f t="shared" si="17"/>
        <v>0</v>
      </c>
      <c r="F59" s="2">
        <f t="shared" si="17"/>
        <v>0</v>
      </c>
      <c r="G59" s="2">
        <f t="shared" si="17"/>
        <v>0</v>
      </c>
      <c r="H59" s="2">
        <f t="shared" si="17"/>
        <v>0</v>
      </c>
      <c r="I59" s="2">
        <f t="shared" si="17"/>
        <v>0</v>
      </c>
      <c r="J59" s="2">
        <f t="shared" si="17"/>
        <v>0</v>
      </c>
      <c r="K59" s="2">
        <f t="shared" si="17"/>
        <v>0</v>
      </c>
      <c r="L59" s="2">
        <f t="shared" si="17"/>
        <v>0</v>
      </c>
      <c r="M59" s="2">
        <f t="shared" si="17"/>
        <v>0</v>
      </c>
    </row>
    <row r="60" spans="2:13">
      <c r="B60" s="2" t="s">
        <v>308</v>
      </c>
      <c r="I60" s="2">
        <f t="shared" si="17"/>
        <v>0</v>
      </c>
      <c r="J60" s="2">
        <f t="shared" si="17"/>
        <v>0</v>
      </c>
      <c r="K60" s="2">
        <f t="shared" si="17"/>
        <v>0</v>
      </c>
      <c r="L60" s="2">
        <f t="shared" si="17"/>
        <v>0</v>
      </c>
      <c r="M60" s="2">
        <f t="shared" si="17"/>
        <v>0</v>
      </c>
    </row>
    <row r="61" spans="2:13">
      <c r="B61" s="2" t="s">
        <v>309</v>
      </c>
      <c r="C61" s="2" t="s">
        <v>255</v>
      </c>
      <c r="I61" s="2">
        <f t="shared" si="17"/>
        <v>0</v>
      </c>
      <c r="J61" s="2">
        <f t="shared" si="17"/>
        <v>0</v>
      </c>
      <c r="K61" s="2">
        <f t="shared" si="17"/>
        <v>0</v>
      </c>
      <c r="L61" s="2">
        <f t="shared" si="17"/>
        <v>0</v>
      </c>
      <c r="M61" s="2">
        <f t="shared" si="17"/>
        <v>0</v>
      </c>
    </row>
    <row r="62" spans="2:13">
      <c r="B62" s="2" t="s">
        <v>322</v>
      </c>
      <c r="D62" s="2">
        <f>D93+D124</f>
        <v>0</v>
      </c>
      <c r="E62" s="2">
        <f>E93+E124</f>
        <v>0</v>
      </c>
      <c r="F62" s="2">
        <f>F93+F124</f>
        <v>0</v>
      </c>
      <c r="G62" s="2">
        <f>G93+G124</f>
        <v>0</v>
      </c>
      <c r="H62" s="2">
        <f>H93+H124</f>
        <v>0</v>
      </c>
      <c r="I62" s="2">
        <f t="shared" si="17"/>
        <v>0</v>
      </c>
      <c r="J62" s="2">
        <f t="shared" si="17"/>
        <v>0</v>
      </c>
      <c r="K62" s="2">
        <f t="shared" si="17"/>
        <v>0</v>
      </c>
      <c r="L62" s="2">
        <f t="shared" si="17"/>
        <v>0</v>
      </c>
      <c r="M62" s="2">
        <f t="shared" si="17"/>
        <v>0</v>
      </c>
    </row>
    <row r="63" spans="2:13">
      <c r="B63" s="2" t="s">
        <v>323</v>
      </c>
    </row>
    <row r="64" spans="2:13">
      <c r="B64" s="2" t="s">
        <v>254</v>
      </c>
      <c r="C64" s="2" t="s">
        <v>255</v>
      </c>
      <c r="D64" s="2">
        <f t="shared" ref="D64:M68" si="18">D95+D126</f>
        <v>0</v>
      </c>
      <c r="E64" s="2">
        <f t="shared" si="18"/>
        <v>0</v>
      </c>
      <c r="F64" s="2">
        <f t="shared" si="18"/>
        <v>0</v>
      </c>
      <c r="G64" s="2">
        <f t="shared" si="18"/>
        <v>0</v>
      </c>
      <c r="H64" s="2">
        <f t="shared" si="18"/>
        <v>0</v>
      </c>
      <c r="I64" s="2">
        <f t="shared" si="18"/>
        <v>0</v>
      </c>
      <c r="J64" s="2">
        <f t="shared" si="18"/>
        <v>0</v>
      </c>
      <c r="K64" s="2">
        <f t="shared" si="18"/>
        <v>0</v>
      </c>
      <c r="L64" s="2">
        <f t="shared" si="18"/>
        <v>0</v>
      </c>
      <c r="M64" s="2">
        <f t="shared" si="18"/>
        <v>0</v>
      </c>
    </row>
    <row r="65" spans="2:13">
      <c r="B65" s="2" t="s">
        <v>317</v>
      </c>
      <c r="D65" s="2">
        <f t="shared" si="18"/>
        <v>0</v>
      </c>
      <c r="E65" s="2">
        <f t="shared" si="18"/>
        <v>0</v>
      </c>
      <c r="F65" s="2">
        <f t="shared" si="18"/>
        <v>0</v>
      </c>
      <c r="G65" s="2">
        <f t="shared" si="18"/>
        <v>0</v>
      </c>
      <c r="H65" s="2">
        <f t="shared" si="18"/>
        <v>0</v>
      </c>
      <c r="I65" s="2">
        <f t="shared" si="18"/>
        <v>0</v>
      </c>
      <c r="J65" s="2">
        <f t="shared" si="18"/>
        <v>0</v>
      </c>
      <c r="K65" s="2">
        <f t="shared" si="18"/>
        <v>0</v>
      </c>
      <c r="L65" s="2">
        <f t="shared" si="18"/>
        <v>0</v>
      </c>
      <c r="M65" s="2">
        <f t="shared" si="18"/>
        <v>0</v>
      </c>
    </row>
    <row r="66" spans="2:13">
      <c r="B66" s="2" t="s">
        <v>310</v>
      </c>
      <c r="I66" s="2">
        <f t="shared" si="18"/>
        <v>0</v>
      </c>
      <c r="J66" s="2">
        <f t="shared" si="18"/>
        <v>0</v>
      </c>
      <c r="K66" s="2">
        <f t="shared" si="18"/>
        <v>0</v>
      </c>
      <c r="L66" s="2">
        <f t="shared" si="18"/>
        <v>0</v>
      </c>
      <c r="M66" s="2">
        <f t="shared" si="18"/>
        <v>0</v>
      </c>
    </row>
    <row r="67" spans="2:13">
      <c r="B67" s="2" t="s">
        <v>311</v>
      </c>
      <c r="C67" s="2" t="s">
        <v>255</v>
      </c>
      <c r="I67" s="2">
        <f t="shared" si="18"/>
        <v>0</v>
      </c>
      <c r="J67" s="2">
        <f t="shared" si="18"/>
        <v>0</v>
      </c>
      <c r="K67" s="2">
        <f t="shared" si="18"/>
        <v>0</v>
      </c>
      <c r="L67" s="2">
        <f t="shared" si="18"/>
        <v>0</v>
      </c>
      <c r="M67" s="2">
        <f t="shared" si="18"/>
        <v>0</v>
      </c>
    </row>
    <row r="68" spans="2:13">
      <c r="B68" s="2" t="s">
        <v>324</v>
      </c>
      <c r="D68" s="2">
        <f>D99+D130</f>
        <v>0</v>
      </c>
      <c r="E68" s="2">
        <f>E99+E130</f>
        <v>0</v>
      </c>
      <c r="F68" s="2">
        <f>F99+F130</f>
        <v>0</v>
      </c>
      <c r="G68" s="2">
        <f>G99+G130</f>
        <v>0</v>
      </c>
      <c r="H68" s="2">
        <f>H99+H130</f>
        <v>0</v>
      </c>
      <c r="I68" s="2">
        <f t="shared" si="18"/>
        <v>0</v>
      </c>
      <c r="J68" s="2">
        <f t="shared" si="18"/>
        <v>0</v>
      </c>
      <c r="K68" s="2">
        <f t="shared" si="18"/>
        <v>0</v>
      </c>
      <c r="L68" s="2">
        <f t="shared" si="18"/>
        <v>0</v>
      </c>
      <c r="M68" s="2">
        <f t="shared" si="18"/>
        <v>0</v>
      </c>
    </row>
    <row r="69" spans="2:13">
      <c r="B69" s="2" t="s">
        <v>325</v>
      </c>
    </row>
    <row r="70" spans="2:13">
      <c r="B70" s="2" t="s">
        <v>254</v>
      </c>
      <c r="C70" s="2" t="s">
        <v>255</v>
      </c>
      <c r="D70" s="2">
        <f t="shared" ref="D70:M74" si="19">D101+D132</f>
        <v>0</v>
      </c>
      <c r="E70" s="2">
        <f t="shared" si="19"/>
        <v>0</v>
      </c>
      <c r="F70" s="2">
        <f t="shared" si="19"/>
        <v>0</v>
      </c>
      <c r="G70" s="2">
        <f t="shared" si="19"/>
        <v>0</v>
      </c>
      <c r="H70" s="2">
        <f t="shared" si="19"/>
        <v>0</v>
      </c>
      <c r="I70" s="2">
        <f t="shared" si="19"/>
        <v>0</v>
      </c>
      <c r="J70" s="2">
        <f t="shared" si="19"/>
        <v>0</v>
      </c>
      <c r="K70" s="2">
        <f t="shared" si="19"/>
        <v>0</v>
      </c>
      <c r="L70" s="2">
        <f t="shared" si="19"/>
        <v>0</v>
      </c>
      <c r="M70" s="2">
        <f t="shared" si="19"/>
        <v>0</v>
      </c>
    </row>
    <row r="71" spans="2:13">
      <c r="B71" s="2" t="s">
        <v>317</v>
      </c>
      <c r="D71" s="2">
        <f t="shared" si="19"/>
        <v>0</v>
      </c>
      <c r="E71" s="2">
        <f t="shared" si="19"/>
        <v>0</v>
      </c>
      <c r="F71" s="2">
        <f t="shared" si="19"/>
        <v>0</v>
      </c>
      <c r="G71" s="2">
        <f t="shared" si="19"/>
        <v>0</v>
      </c>
      <c r="H71" s="2">
        <f t="shared" si="19"/>
        <v>0</v>
      </c>
      <c r="I71" s="2">
        <f t="shared" si="19"/>
        <v>0</v>
      </c>
      <c r="J71" s="2">
        <f t="shared" si="19"/>
        <v>0</v>
      </c>
      <c r="K71" s="2">
        <f t="shared" si="19"/>
        <v>0</v>
      </c>
      <c r="L71" s="2">
        <f t="shared" si="19"/>
        <v>0</v>
      </c>
      <c r="M71" s="2">
        <f t="shared" si="19"/>
        <v>0</v>
      </c>
    </row>
    <row r="72" spans="2:13">
      <c r="B72" s="2" t="s">
        <v>312</v>
      </c>
      <c r="I72" s="2">
        <f t="shared" si="19"/>
        <v>0</v>
      </c>
      <c r="J72" s="2">
        <f t="shared" si="19"/>
        <v>0</v>
      </c>
      <c r="K72" s="2">
        <f t="shared" si="19"/>
        <v>0</v>
      </c>
      <c r="L72" s="2">
        <f t="shared" si="19"/>
        <v>0</v>
      </c>
      <c r="M72" s="2">
        <f t="shared" si="19"/>
        <v>0</v>
      </c>
    </row>
    <row r="73" spans="2:13">
      <c r="B73" s="2" t="s">
        <v>313</v>
      </c>
      <c r="C73" s="2" t="s">
        <v>255</v>
      </c>
      <c r="I73" s="2">
        <f t="shared" si="19"/>
        <v>0</v>
      </c>
      <c r="J73" s="2">
        <f t="shared" si="19"/>
        <v>0</v>
      </c>
      <c r="K73" s="2">
        <f t="shared" si="19"/>
        <v>0</v>
      </c>
      <c r="L73" s="2">
        <f t="shared" si="19"/>
        <v>0</v>
      </c>
      <c r="M73" s="2">
        <f t="shared" si="19"/>
        <v>0</v>
      </c>
    </row>
    <row r="74" spans="2:13">
      <c r="B74" s="2" t="s">
        <v>326</v>
      </c>
      <c r="D74" s="2">
        <f>D105+D136</f>
        <v>0</v>
      </c>
      <c r="E74" s="2">
        <f>E105+E136</f>
        <v>0</v>
      </c>
      <c r="F74" s="2">
        <f>F105+F136</f>
        <v>0</v>
      </c>
      <c r="G74" s="2">
        <f>G105+G136</f>
        <v>0</v>
      </c>
      <c r="H74" s="2">
        <f>H105+H136</f>
        <v>0</v>
      </c>
      <c r="I74" s="2">
        <f t="shared" si="19"/>
        <v>0</v>
      </c>
      <c r="J74" s="2">
        <f t="shared" si="19"/>
        <v>0</v>
      </c>
      <c r="K74" s="2">
        <f t="shared" si="19"/>
        <v>0</v>
      </c>
      <c r="L74" s="2">
        <f t="shared" si="19"/>
        <v>0</v>
      </c>
      <c r="M74" s="2">
        <f t="shared" si="19"/>
        <v>0</v>
      </c>
    </row>
    <row r="75" spans="2:13">
      <c r="B75" s="2" t="s">
        <v>261</v>
      </c>
      <c r="C75" s="2" t="s">
        <v>255</v>
      </c>
      <c r="D75" s="2">
        <f t="shared" ref="D75:M75" si="20">SUM(D52:D55,D58:D61,D64:D67,D70:D73)</f>
        <v>0</v>
      </c>
      <c r="E75" s="2">
        <f t="shared" si="20"/>
        <v>0</v>
      </c>
      <c r="F75" s="2">
        <f t="shared" si="20"/>
        <v>0</v>
      </c>
      <c r="G75" s="2">
        <f t="shared" si="20"/>
        <v>0</v>
      </c>
      <c r="H75" s="2">
        <f t="shared" si="20"/>
        <v>0</v>
      </c>
      <c r="I75" s="2">
        <f t="shared" si="20"/>
        <v>0</v>
      </c>
      <c r="J75" s="2">
        <f t="shared" si="20"/>
        <v>0</v>
      </c>
      <c r="K75" s="2">
        <f t="shared" si="20"/>
        <v>0</v>
      </c>
      <c r="L75" s="2">
        <f t="shared" si="20"/>
        <v>0</v>
      </c>
      <c r="M75" s="2">
        <f t="shared" si="20"/>
        <v>0</v>
      </c>
    </row>
    <row r="77" spans="2:13">
      <c r="B77" s="2" t="s">
        <v>327</v>
      </c>
    </row>
    <row r="79" spans="2:13">
      <c r="C79" s="2" t="s">
        <v>210</v>
      </c>
      <c r="D79" s="2" t="s">
        <v>211</v>
      </c>
      <c r="I79" s="2" t="s">
        <v>212</v>
      </c>
    </row>
    <row r="80" spans="2:13">
      <c r="D80" s="2" t="s">
        <v>99</v>
      </c>
      <c r="E80" s="2" t="s">
        <v>100</v>
      </c>
      <c r="F80" s="2" t="s">
        <v>101</v>
      </c>
      <c r="G80" s="2" t="s">
        <v>102</v>
      </c>
      <c r="H80" s="2" t="s">
        <v>64</v>
      </c>
      <c r="I80" s="2" t="s">
        <v>213</v>
      </c>
      <c r="J80" s="2" t="s">
        <v>214</v>
      </c>
      <c r="K80" s="2" t="s">
        <v>215</v>
      </c>
      <c r="L80" s="2" t="s">
        <v>216</v>
      </c>
      <c r="M80" s="2" t="s">
        <v>217</v>
      </c>
    </row>
    <row r="81" spans="2:13">
      <c r="B81" s="2" t="s">
        <v>315</v>
      </c>
    </row>
    <row r="82" spans="2:13">
      <c r="B82" s="2" t="s">
        <v>316</v>
      </c>
    </row>
    <row r="83" spans="2:13">
      <c r="B83" s="2" t="s">
        <v>254</v>
      </c>
      <c r="C83" s="2" t="s">
        <v>255</v>
      </c>
    </row>
    <row r="84" spans="2:13">
      <c r="B84" s="2" t="s">
        <v>317</v>
      </c>
    </row>
    <row r="85" spans="2:13">
      <c r="B85" s="2" t="s">
        <v>318</v>
      </c>
    </row>
    <row r="86" spans="2:13">
      <c r="B86" s="2" t="s">
        <v>319</v>
      </c>
      <c r="C86" s="2" t="s">
        <v>255</v>
      </c>
    </row>
    <row r="87" spans="2:13">
      <c r="B87" s="2" t="s">
        <v>320</v>
      </c>
      <c r="I87" s="2">
        <f>SUM(I85:I86)</f>
        <v>0</v>
      </c>
      <c r="J87" s="2">
        <f>SUM(J85:J86)</f>
        <v>0</v>
      </c>
      <c r="K87" s="2">
        <f>SUM(K85:K86)</f>
        <v>0</v>
      </c>
      <c r="L87" s="2">
        <f>SUM(L85:L86)</f>
        <v>0</v>
      </c>
      <c r="M87" s="2">
        <f>SUM(M85:M86)</f>
        <v>0</v>
      </c>
    </row>
    <row r="88" spans="2:13">
      <c r="B88" s="2" t="s">
        <v>328</v>
      </c>
    </row>
    <row r="89" spans="2:13">
      <c r="B89" s="2" t="s">
        <v>254</v>
      </c>
      <c r="C89" s="2" t="s">
        <v>255</v>
      </c>
    </row>
    <row r="90" spans="2:13">
      <c r="B90" s="2" t="s">
        <v>317</v>
      </c>
    </row>
    <row r="91" spans="2:13">
      <c r="B91" s="2" t="s">
        <v>308</v>
      </c>
    </row>
    <row r="92" spans="2:13">
      <c r="B92" s="2" t="s">
        <v>309</v>
      </c>
      <c r="C92" s="2" t="s">
        <v>255</v>
      </c>
    </row>
    <row r="93" spans="2:13">
      <c r="B93" s="2" t="s">
        <v>322</v>
      </c>
      <c r="I93" s="2">
        <f>SUM(I91:I92)</f>
        <v>0</v>
      </c>
      <c r="J93" s="2">
        <f>SUM(J91:J92)</f>
        <v>0</v>
      </c>
      <c r="K93" s="2">
        <f>SUM(K91:K92)</f>
        <v>0</v>
      </c>
      <c r="L93" s="2">
        <f>SUM(L91:L92)</f>
        <v>0</v>
      </c>
      <c r="M93" s="2">
        <f>SUM(M91:M92)</f>
        <v>0</v>
      </c>
    </row>
    <row r="94" spans="2:13">
      <c r="B94" s="2" t="s">
        <v>329</v>
      </c>
    </row>
    <row r="95" spans="2:13">
      <c r="B95" s="2" t="s">
        <v>254</v>
      </c>
      <c r="C95" s="2" t="s">
        <v>255</v>
      </c>
    </row>
    <row r="96" spans="2:13">
      <c r="B96" s="2" t="s">
        <v>317</v>
      </c>
    </row>
    <row r="97" spans="2:13">
      <c r="B97" s="2" t="s">
        <v>310</v>
      </c>
    </row>
    <row r="98" spans="2:13">
      <c r="B98" s="2" t="s">
        <v>311</v>
      </c>
      <c r="C98" s="2" t="s">
        <v>255</v>
      </c>
    </row>
    <row r="99" spans="2:13">
      <c r="B99" s="2" t="s">
        <v>324</v>
      </c>
      <c r="I99" s="2">
        <f>SUM(I97:I98)</f>
        <v>0</v>
      </c>
      <c r="J99" s="2">
        <f>SUM(J97:J98)</f>
        <v>0</v>
      </c>
      <c r="K99" s="2">
        <f>SUM(K97:K98)</f>
        <v>0</v>
      </c>
      <c r="L99" s="2">
        <f>SUM(L97:L98)</f>
        <v>0</v>
      </c>
      <c r="M99" s="2">
        <f>SUM(M97:M98)</f>
        <v>0</v>
      </c>
    </row>
    <row r="100" spans="2:13">
      <c r="B100" s="2" t="s">
        <v>330</v>
      </c>
    </row>
    <row r="101" spans="2:13">
      <c r="B101" s="2" t="s">
        <v>254</v>
      </c>
      <c r="C101" s="2" t="s">
        <v>255</v>
      </c>
    </row>
    <row r="102" spans="2:13">
      <c r="B102" s="2" t="s">
        <v>317</v>
      </c>
    </row>
    <row r="103" spans="2:13">
      <c r="B103" s="2" t="s">
        <v>312</v>
      </c>
    </row>
    <row r="104" spans="2:13">
      <c r="B104" s="2" t="s">
        <v>313</v>
      </c>
      <c r="C104" s="2" t="s">
        <v>255</v>
      </c>
    </row>
    <row r="105" spans="2:13">
      <c r="B105" s="2" t="s">
        <v>326</v>
      </c>
      <c r="I105" s="2">
        <f>SUM(I103:I104)</f>
        <v>0</v>
      </c>
      <c r="J105" s="2">
        <f>SUM(J103:J104)</f>
        <v>0</v>
      </c>
      <c r="K105" s="2">
        <f>SUM(K103:K104)</f>
        <v>0</v>
      </c>
      <c r="L105" s="2">
        <f>SUM(L103:L104)</f>
        <v>0</v>
      </c>
      <c r="M105" s="2">
        <f>SUM(M103:M104)</f>
        <v>0</v>
      </c>
    </row>
    <row r="106" spans="2:13">
      <c r="B106" s="2" t="s">
        <v>261</v>
      </c>
      <c r="C106" s="2" t="s">
        <v>255</v>
      </c>
      <c r="D106" s="2">
        <f t="shared" ref="D106:M106" si="21">SUM(D83:D84,D87,D89:D90,D93,D95:D96,D99,D101:D102,D105)</f>
        <v>0</v>
      </c>
      <c r="E106" s="2">
        <f t="shared" si="21"/>
        <v>0</v>
      </c>
      <c r="F106" s="2">
        <f t="shared" si="21"/>
        <v>0</v>
      </c>
      <c r="G106" s="2">
        <f t="shared" si="21"/>
        <v>0</v>
      </c>
      <c r="H106" s="2">
        <f t="shared" si="21"/>
        <v>0</v>
      </c>
      <c r="I106" s="2">
        <f t="shared" si="21"/>
        <v>0</v>
      </c>
      <c r="J106" s="2">
        <f t="shared" si="21"/>
        <v>0</v>
      </c>
      <c r="K106" s="2">
        <f t="shared" si="21"/>
        <v>0</v>
      </c>
      <c r="L106" s="2">
        <f t="shared" si="21"/>
        <v>0</v>
      </c>
      <c r="M106" s="2">
        <f t="shared" si="21"/>
        <v>0</v>
      </c>
    </row>
    <row r="108" spans="2:13">
      <c r="B108" s="2" t="s">
        <v>331</v>
      </c>
    </row>
    <row r="110" spans="2:13">
      <c r="C110" s="2" t="s">
        <v>210</v>
      </c>
      <c r="D110" s="2" t="s">
        <v>211</v>
      </c>
      <c r="I110" s="2" t="s">
        <v>212</v>
      </c>
    </row>
    <row r="111" spans="2:13">
      <c r="D111" s="2" t="s">
        <v>99</v>
      </c>
      <c r="E111" s="2" t="s">
        <v>100</v>
      </c>
      <c r="F111" s="2" t="s">
        <v>101</v>
      </c>
      <c r="G111" s="2" t="s">
        <v>102</v>
      </c>
      <c r="H111" s="2" t="s">
        <v>64</v>
      </c>
      <c r="I111" s="2" t="s">
        <v>213</v>
      </c>
      <c r="J111" s="2" t="s">
        <v>214</v>
      </c>
      <c r="K111" s="2" t="s">
        <v>215</v>
      </c>
      <c r="L111" s="2" t="s">
        <v>216</v>
      </c>
      <c r="M111" s="2" t="s">
        <v>217</v>
      </c>
    </row>
    <row r="112" spans="2:13">
      <c r="B112" s="2" t="s">
        <v>315</v>
      </c>
    </row>
    <row r="113" spans="2:13">
      <c r="B113" s="2" t="s">
        <v>316</v>
      </c>
    </row>
    <row r="114" spans="2:13">
      <c r="B114" s="2" t="s">
        <v>254</v>
      </c>
      <c r="C114" s="2" t="s">
        <v>255</v>
      </c>
    </row>
    <row r="115" spans="2:13">
      <c r="B115" s="2" t="s">
        <v>317</v>
      </c>
    </row>
    <row r="116" spans="2:13">
      <c r="B116" s="2" t="s">
        <v>318</v>
      </c>
    </row>
    <row r="117" spans="2:13">
      <c r="B117" s="2" t="s">
        <v>319</v>
      </c>
      <c r="C117" s="2" t="s">
        <v>255</v>
      </c>
    </row>
    <row r="118" spans="2:13">
      <c r="B118" s="2" t="s">
        <v>320</v>
      </c>
      <c r="I118" s="2">
        <f>SUM(I116:I117)</f>
        <v>0</v>
      </c>
      <c r="J118" s="2">
        <f>SUM(J116:J117)</f>
        <v>0</v>
      </c>
      <c r="K118" s="2">
        <f>SUM(K116:K117)</f>
        <v>0</v>
      </c>
      <c r="L118" s="2">
        <f>SUM(L116:L117)</f>
        <v>0</v>
      </c>
      <c r="M118" s="2">
        <f>SUM(M116:M117)</f>
        <v>0</v>
      </c>
    </row>
    <row r="119" spans="2:13">
      <c r="B119" s="2" t="s">
        <v>328</v>
      </c>
    </row>
    <row r="120" spans="2:13">
      <c r="B120" s="2" t="s">
        <v>254</v>
      </c>
      <c r="C120" s="2" t="s">
        <v>255</v>
      </c>
    </row>
    <row r="121" spans="2:13">
      <c r="B121" s="2" t="s">
        <v>317</v>
      </c>
    </row>
    <row r="122" spans="2:13">
      <c r="B122" s="2" t="s">
        <v>308</v>
      </c>
    </row>
    <row r="123" spans="2:13">
      <c r="B123" s="2" t="s">
        <v>309</v>
      </c>
      <c r="C123" s="2" t="s">
        <v>255</v>
      </c>
    </row>
    <row r="124" spans="2:13">
      <c r="B124" s="2" t="s">
        <v>322</v>
      </c>
      <c r="I124" s="2">
        <f>SUM(I122:I123)</f>
        <v>0</v>
      </c>
      <c r="J124" s="2">
        <f>SUM(J122:J123)</f>
        <v>0</v>
      </c>
      <c r="K124" s="2">
        <f>SUM(K122:K123)</f>
        <v>0</v>
      </c>
      <c r="L124" s="2">
        <f>SUM(L122:L123)</f>
        <v>0</v>
      </c>
      <c r="M124" s="2">
        <f>SUM(M122:M123)</f>
        <v>0</v>
      </c>
    </row>
    <row r="125" spans="2:13">
      <c r="B125" s="2" t="s">
        <v>329</v>
      </c>
    </row>
    <row r="126" spans="2:13">
      <c r="B126" s="2" t="s">
        <v>254</v>
      </c>
      <c r="C126" s="2" t="s">
        <v>255</v>
      </c>
    </row>
    <row r="127" spans="2:13">
      <c r="B127" s="2" t="s">
        <v>317</v>
      </c>
    </row>
    <row r="128" spans="2:13">
      <c r="B128" s="2" t="s">
        <v>310</v>
      </c>
    </row>
    <row r="129" spans="2:20">
      <c r="B129" s="2" t="s">
        <v>311</v>
      </c>
      <c r="C129" s="2" t="s">
        <v>255</v>
      </c>
    </row>
    <row r="130" spans="2:20">
      <c r="B130" s="2" t="s">
        <v>324</v>
      </c>
      <c r="I130" s="2">
        <f>SUM(I128:I129)</f>
        <v>0</v>
      </c>
      <c r="J130" s="2">
        <f>SUM(J128:J129)</f>
        <v>0</v>
      </c>
      <c r="K130" s="2">
        <f>SUM(K128:K129)</f>
        <v>0</v>
      </c>
      <c r="L130" s="2">
        <f>SUM(L128:L129)</f>
        <v>0</v>
      </c>
      <c r="M130" s="2">
        <f>SUM(M128:M129)</f>
        <v>0</v>
      </c>
    </row>
    <row r="131" spans="2:20">
      <c r="B131" s="2" t="s">
        <v>330</v>
      </c>
    </row>
    <row r="132" spans="2:20">
      <c r="B132" s="2" t="s">
        <v>254</v>
      </c>
      <c r="C132" s="2" t="s">
        <v>255</v>
      </c>
    </row>
    <row r="133" spans="2:20">
      <c r="B133" s="2" t="s">
        <v>317</v>
      </c>
    </row>
    <row r="134" spans="2:20">
      <c r="B134" s="2" t="s">
        <v>312</v>
      </c>
    </row>
    <row r="135" spans="2:20">
      <c r="B135" s="2" t="s">
        <v>313</v>
      </c>
      <c r="C135" s="2" t="s">
        <v>255</v>
      </c>
    </row>
    <row r="136" spans="2:20">
      <c r="B136" s="2" t="s">
        <v>326</v>
      </c>
      <c r="I136" s="2">
        <f>SUM(I134:I135)</f>
        <v>0</v>
      </c>
      <c r="J136" s="2">
        <f>SUM(J134:J135)</f>
        <v>0</v>
      </c>
      <c r="K136" s="2">
        <f>SUM(K134:K135)</f>
        <v>0</v>
      </c>
      <c r="L136" s="2">
        <f>SUM(L134:L135)</f>
        <v>0</v>
      </c>
      <c r="M136" s="2">
        <f>SUM(M134:M135)</f>
        <v>0</v>
      </c>
    </row>
    <row r="137" spans="2:20">
      <c r="B137" s="2" t="s">
        <v>261</v>
      </c>
      <c r="C137" s="2" t="s">
        <v>255</v>
      </c>
      <c r="D137" s="2">
        <f t="shared" ref="D137:M137" si="22">SUM(D114:D115,D118,D120:D121,D124,D126:D127,D130,D132:D133,D136)</f>
        <v>0</v>
      </c>
      <c r="E137" s="2">
        <f t="shared" si="22"/>
        <v>0</v>
      </c>
      <c r="F137" s="2">
        <f t="shared" si="22"/>
        <v>0</v>
      </c>
      <c r="G137" s="2">
        <f t="shared" si="22"/>
        <v>0</v>
      </c>
      <c r="H137" s="2">
        <f t="shared" si="22"/>
        <v>0</v>
      </c>
      <c r="I137" s="2">
        <f t="shared" si="22"/>
        <v>0</v>
      </c>
      <c r="J137" s="2">
        <f t="shared" si="22"/>
        <v>0</v>
      </c>
      <c r="K137" s="2">
        <f t="shared" si="22"/>
        <v>0</v>
      </c>
      <c r="L137" s="2">
        <f t="shared" si="22"/>
        <v>0</v>
      </c>
      <c r="M137" s="2">
        <f t="shared" si="22"/>
        <v>0</v>
      </c>
    </row>
    <row r="141" spans="2:20">
      <c r="B141" s="2" t="s">
        <v>332</v>
      </c>
    </row>
    <row r="143" spans="2:20">
      <c r="B143" s="2" t="s">
        <v>263</v>
      </c>
      <c r="C143" s="2" t="s">
        <v>210</v>
      </c>
      <c r="D143" s="2" t="s">
        <v>211</v>
      </c>
      <c r="I143" s="2" t="s">
        <v>212</v>
      </c>
      <c r="O143" s="2" t="s">
        <v>211</v>
      </c>
      <c r="S143" s="2" t="s">
        <v>212</v>
      </c>
    </row>
    <row r="144" spans="2:20">
      <c r="D144" s="2" t="s">
        <v>99</v>
      </c>
      <c r="E144" s="2" t="s">
        <v>100</v>
      </c>
      <c r="F144" s="2" t="s">
        <v>101</v>
      </c>
      <c r="G144" s="2" t="s">
        <v>102</v>
      </c>
      <c r="H144" s="2" t="s">
        <v>64</v>
      </c>
      <c r="I144" s="2" t="s">
        <v>213</v>
      </c>
      <c r="J144" s="2" t="s">
        <v>214</v>
      </c>
      <c r="K144" s="2" t="s">
        <v>215</v>
      </c>
      <c r="L144" s="2" t="s">
        <v>216</v>
      </c>
      <c r="M144" s="2" t="s">
        <v>217</v>
      </c>
      <c r="O144" s="2" t="s">
        <v>218</v>
      </c>
      <c r="P144" s="2" t="s">
        <v>219</v>
      </c>
      <c r="Q144" s="2" t="s">
        <v>220</v>
      </c>
      <c r="S144" s="2" t="s">
        <v>219</v>
      </c>
      <c r="T144" s="2" t="s">
        <v>221</v>
      </c>
    </row>
    <row r="145" spans="2:20">
      <c r="B145" s="2" t="s">
        <v>264</v>
      </c>
    </row>
    <row r="146" spans="2:20">
      <c r="B146" s="2" t="s">
        <v>265</v>
      </c>
    </row>
    <row r="147" spans="2:20">
      <c r="B147" s="2" t="s">
        <v>306</v>
      </c>
      <c r="C147" s="2" t="s">
        <v>223</v>
      </c>
    </row>
    <row r="148" spans="2:20">
      <c r="B148" s="2" t="s">
        <v>333</v>
      </c>
      <c r="C148" s="2" t="s">
        <v>334</v>
      </c>
    </row>
    <row r="149" spans="2:20">
      <c r="B149" s="2" t="s">
        <v>335</v>
      </c>
      <c r="C149" s="2" t="s">
        <v>334</v>
      </c>
      <c r="I149" s="2">
        <f>1-I148</f>
        <v>1</v>
      </c>
      <c r="J149" s="2">
        <f>1-J148</f>
        <v>1</v>
      </c>
      <c r="K149" s="2">
        <f>1-K148</f>
        <v>1</v>
      </c>
      <c r="L149" s="2">
        <f>1-L148</f>
        <v>1</v>
      </c>
      <c r="M149" s="2">
        <f>1-M148</f>
        <v>1</v>
      </c>
    </row>
    <row r="150" spans="2:20">
      <c r="B150" s="2" t="s">
        <v>307</v>
      </c>
      <c r="C150" s="2" t="s">
        <v>223</v>
      </c>
    </row>
    <row r="151" spans="2:20">
      <c r="B151" s="2" t="s">
        <v>336</v>
      </c>
      <c r="C151" s="2" t="s">
        <v>334</v>
      </c>
    </row>
    <row r="152" spans="2:20">
      <c r="B152" s="2" t="s">
        <v>337</v>
      </c>
      <c r="C152" s="2" t="s">
        <v>334</v>
      </c>
      <c r="I152" s="2">
        <f>1-I151</f>
        <v>1</v>
      </c>
      <c r="J152" s="2">
        <f>1-J151</f>
        <v>1</v>
      </c>
      <c r="K152" s="2">
        <f>1-K151</f>
        <v>1</v>
      </c>
      <c r="L152" s="2">
        <f>1-L151</f>
        <v>1</v>
      </c>
      <c r="M152" s="2">
        <f>1-M151</f>
        <v>1</v>
      </c>
    </row>
    <row r="153" spans="2:20">
      <c r="B153" s="2" t="s">
        <v>268</v>
      </c>
      <c r="C153" s="2" t="s">
        <v>223</v>
      </c>
      <c r="I153" s="2">
        <f>SUM(I147,I150)</f>
        <v>0</v>
      </c>
      <c r="J153" s="2">
        <f>SUM(J147,J150)</f>
        <v>0</v>
      </c>
      <c r="K153" s="2">
        <f>SUM(K147,K150)</f>
        <v>0</v>
      </c>
      <c r="L153" s="2">
        <f>SUM(L147,L150)</f>
        <v>0</v>
      </c>
      <c r="M153" s="2">
        <f>SUM(M147,M150)</f>
        <v>0</v>
      </c>
      <c r="O153" s="2">
        <f>SUM(D153:G153)</f>
        <v>0</v>
      </c>
      <c r="P153" s="2">
        <f>SUM(H153)</f>
        <v>0</v>
      </c>
      <c r="Q153" s="2">
        <f>SUM(D153:H153)</f>
        <v>0</v>
      </c>
      <c r="S153" s="2">
        <f>SUM(I153:M153)</f>
        <v>0</v>
      </c>
      <c r="T153" s="2" t="str">
        <f>IF(Q153&lt;&gt;0,(S153-Q153)/Q153,"0")</f>
        <v>0</v>
      </c>
    </row>
    <row r="154" spans="2:20">
      <c r="B154" s="2" t="s">
        <v>338</v>
      </c>
    </row>
    <row r="155" spans="2:20">
      <c r="B155" s="2" t="s">
        <v>308</v>
      </c>
      <c r="C155" s="2" t="s">
        <v>223</v>
      </c>
    </row>
    <row r="156" spans="2:20">
      <c r="B156" s="2" t="s">
        <v>339</v>
      </c>
      <c r="C156" s="2" t="s">
        <v>334</v>
      </c>
    </row>
    <row r="157" spans="2:20">
      <c r="B157" s="2" t="s">
        <v>340</v>
      </c>
      <c r="C157" s="2" t="s">
        <v>334</v>
      </c>
      <c r="I157" s="2">
        <f>1-I156</f>
        <v>1</v>
      </c>
      <c r="J157" s="2">
        <f>1-J156</f>
        <v>1</v>
      </c>
      <c r="K157" s="2">
        <f>1-K156</f>
        <v>1</v>
      </c>
      <c r="L157" s="2">
        <f>1-L156</f>
        <v>1</v>
      </c>
      <c r="M157" s="2">
        <f>1-M156</f>
        <v>1</v>
      </c>
    </row>
    <row r="158" spans="2:20">
      <c r="B158" s="2" t="s">
        <v>309</v>
      </c>
      <c r="C158" s="2" t="s">
        <v>223</v>
      </c>
    </row>
    <row r="159" spans="2:20">
      <c r="B159" s="2" t="s">
        <v>341</v>
      </c>
      <c r="C159" s="2" t="s">
        <v>334</v>
      </c>
    </row>
    <row r="160" spans="2:20">
      <c r="B160" s="2" t="s">
        <v>342</v>
      </c>
      <c r="C160" s="2" t="s">
        <v>334</v>
      </c>
      <c r="I160" s="2">
        <f>1-I159</f>
        <v>1</v>
      </c>
      <c r="J160" s="2">
        <f>1-J159</f>
        <v>1</v>
      </c>
      <c r="K160" s="2">
        <f>1-K159</f>
        <v>1</v>
      </c>
      <c r="L160" s="2">
        <f>1-L159</f>
        <v>1</v>
      </c>
      <c r="M160" s="2">
        <f>1-M159</f>
        <v>1</v>
      </c>
    </row>
    <row r="161" spans="2:20">
      <c r="B161" s="2" t="s">
        <v>270</v>
      </c>
      <c r="C161" s="2" t="s">
        <v>223</v>
      </c>
      <c r="I161" s="2">
        <f>SUM(I155,I158)</f>
        <v>0</v>
      </c>
      <c r="J161" s="2">
        <f>SUM(J155,J158)</f>
        <v>0</v>
      </c>
      <c r="K161" s="2">
        <f>SUM(K155,K158)</f>
        <v>0</v>
      </c>
      <c r="L161" s="2">
        <f>SUM(L155,L158)</f>
        <v>0</v>
      </c>
      <c r="M161" s="2">
        <f>SUM(M155,M158)</f>
        <v>0</v>
      </c>
      <c r="O161" s="2">
        <f>SUM(D161:G161)</f>
        <v>0</v>
      </c>
      <c r="P161" s="2">
        <f>SUM(H161)</f>
        <v>0</v>
      </c>
      <c r="Q161" s="2">
        <f>SUM(D161:H161)</f>
        <v>0</v>
      </c>
      <c r="S161" s="2">
        <f>SUM(I161:M161)</f>
        <v>0</v>
      </c>
      <c r="T161" s="2" t="str">
        <f>IF(Q161&lt;&gt;0,(S161-Q161)/Q161,"0")</f>
        <v>0</v>
      </c>
    </row>
    <row r="162" spans="2:20">
      <c r="B162" s="2" t="s">
        <v>343</v>
      </c>
    </row>
    <row r="163" spans="2:20">
      <c r="B163" s="2" t="s">
        <v>310</v>
      </c>
      <c r="C163" s="2" t="s">
        <v>223</v>
      </c>
    </row>
    <row r="164" spans="2:20">
      <c r="B164" s="2" t="s">
        <v>344</v>
      </c>
      <c r="C164" s="2" t="s">
        <v>334</v>
      </c>
    </row>
    <row r="165" spans="2:20">
      <c r="B165" s="2" t="s">
        <v>345</v>
      </c>
      <c r="C165" s="2" t="s">
        <v>334</v>
      </c>
      <c r="I165" s="2">
        <f>1-I164</f>
        <v>1</v>
      </c>
      <c r="J165" s="2">
        <f>1-J164</f>
        <v>1</v>
      </c>
      <c r="K165" s="2">
        <f>1-K164</f>
        <v>1</v>
      </c>
      <c r="L165" s="2">
        <f>1-L164</f>
        <v>1</v>
      </c>
      <c r="M165" s="2">
        <f>1-M164</f>
        <v>1</v>
      </c>
    </row>
    <row r="166" spans="2:20">
      <c r="B166" s="2" t="s">
        <v>311</v>
      </c>
      <c r="C166" s="2" t="s">
        <v>223</v>
      </c>
    </row>
    <row r="167" spans="2:20">
      <c r="B167" s="2" t="s">
        <v>346</v>
      </c>
      <c r="C167" s="2" t="s">
        <v>334</v>
      </c>
    </row>
    <row r="168" spans="2:20">
      <c r="B168" s="2" t="s">
        <v>347</v>
      </c>
      <c r="C168" s="2" t="s">
        <v>334</v>
      </c>
      <c r="I168" s="2">
        <f>1-I167</f>
        <v>1</v>
      </c>
      <c r="J168" s="2">
        <f>1-J167</f>
        <v>1</v>
      </c>
      <c r="K168" s="2">
        <f>1-K167</f>
        <v>1</v>
      </c>
      <c r="L168" s="2">
        <f>1-L167</f>
        <v>1</v>
      </c>
      <c r="M168" s="2">
        <f>1-M167</f>
        <v>1</v>
      </c>
    </row>
    <row r="169" spans="2:20">
      <c r="B169" s="2" t="s">
        <v>272</v>
      </c>
      <c r="C169" s="2" t="s">
        <v>223</v>
      </c>
      <c r="I169" s="2">
        <f>SUM(I163,I166)</f>
        <v>0</v>
      </c>
      <c r="J169" s="2">
        <f>SUM(J163,J166)</f>
        <v>0</v>
      </c>
      <c r="K169" s="2">
        <f>SUM(K163,K166)</f>
        <v>0</v>
      </c>
      <c r="L169" s="2">
        <f>SUM(L163,L166)</f>
        <v>0</v>
      </c>
      <c r="M169" s="2">
        <f>SUM(M163,M166)</f>
        <v>0</v>
      </c>
      <c r="O169" s="2">
        <f>SUM(D169:G169)</f>
        <v>0</v>
      </c>
      <c r="P169" s="2">
        <f>SUM(H169)</f>
        <v>0</v>
      </c>
      <c r="Q169" s="2">
        <f>SUM(D169:H169)</f>
        <v>0</v>
      </c>
      <c r="S169" s="2">
        <f>SUM(I169:M169)</f>
        <v>0</v>
      </c>
      <c r="T169" s="2" t="str">
        <f>IF(Q169&lt;&gt;0,(S169-Q169)/Q169,"0")</f>
        <v>0</v>
      </c>
    </row>
    <row r="170" spans="2:20">
      <c r="B170" s="2" t="s">
        <v>348</v>
      </c>
    </row>
    <row r="171" spans="2:20">
      <c r="B171" s="2" t="s">
        <v>312</v>
      </c>
      <c r="C171" s="2" t="s">
        <v>223</v>
      </c>
    </row>
    <row r="172" spans="2:20">
      <c r="B172" s="2" t="s">
        <v>349</v>
      </c>
      <c r="C172" s="2" t="s">
        <v>334</v>
      </c>
    </row>
    <row r="173" spans="2:20">
      <c r="B173" s="2" t="s">
        <v>350</v>
      </c>
      <c r="C173" s="2" t="s">
        <v>334</v>
      </c>
      <c r="I173" s="2">
        <f>1-I172</f>
        <v>1</v>
      </c>
      <c r="J173" s="2">
        <f>1-J172</f>
        <v>1</v>
      </c>
      <c r="K173" s="2">
        <f>1-K172</f>
        <v>1</v>
      </c>
      <c r="L173" s="2">
        <f>1-L172</f>
        <v>1</v>
      </c>
      <c r="M173" s="2">
        <f>1-M172</f>
        <v>1</v>
      </c>
    </row>
    <row r="174" spans="2:20">
      <c r="B174" s="2" t="s">
        <v>313</v>
      </c>
      <c r="C174" s="2" t="s">
        <v>223</v>
      </c>
    </row>
    <row r="175" spans="2:20">
      <c r="B175" s="2" t="s">
        <v>351</v>
      </c>
      <c r="C175" s="2" t="s">
        <v>334</v>
      </c>
    </row>
    <row r="176" spans="2:20">
      <c r="B176" s="2" t="s">
        <v>352</v>
      </c>
      <c r="C176" s="2" t="s">
        <v>334</v>
      </c>
      <c r="I176" s="2">
        <f>1-I175</f>
        <v>1</v>
      </c>
      <c r="J176" s="2">
        <f>1-J175</f>
        <v>1</v>
      </c>
      <c r="K176" s="2">
        <f>1-K175</f>
        <v>1</v>
      </c>
      <c r="L176" s="2">
        <f>1-L175</f>
        <v>1</v>
      </c>
      <c r="M176" s="2">
        <f>1-M175</f>
        <v>1</v>
      </c>
    </row>
    <row r="177" spans="2:20">
      <c r="B177" s="2" t="s">
        <v>274</v>
      </c>
      <c r="C177" s="2" t="s">
        <v>223</v>
      </c>
      <c r="I177" s="2">
        <f>SUM(I171,I174)</f>
        <v>0</v>
      </c>
      <c r="J177" s="2">
        <f>SUM(J171,J174)</f>
        <v>0</v>
      </c>
      <c r="K177" s="2">
        <f>SUM(K171,K174)</f>
        <v>0</v>
      </c>
      <c r="L177" s="2">
        <f>SUM(L171,L174)</f>
        <v>0</v>
      </c>
      <c r="M177" s="2">
        <f>SUM(M171,M174)</f>
        <v>0</v>
      </c>
      <c r="O177" s="2">
        <f>SUM(D177:G177)</f>
        <v>0</v>
      </c>
      <c r="P177" s="2">
        <f>SUM(H177)</f>
        <v>0</v>
      </c>
      <c r="Q177" s="2">
        <f>SUM(D177:H177)</f>
        <v>0</v>
      </c>
      <c r="S177" s="2">
        <f>SUM(I177:M177)</f>
        <v>0</v>
      </c>
      <c r="T177" s="2" t="str">
        <f>IF(Q177&lt;&gt;0,(S177-Q177)/Q177,"0")</f>
        <v>0</v>
      </c>
    </row>
    <row r="178" spans="2:20">
      <c r="B178" s="2" t="s">
        <v>353</v>
      </c>
      <c r="D178" s="2">
        <f t="shared" ref="D178:M178" si="23">SUM(D153,D161,D169,D177)</f>
        <v>0</v>
      </c>
      <c r="E178" s="2">
        <f t="shared" si="23"/>
        <v>0</v>
      </c>
      <c r="F178" s="2">
        <f t="shared" si="23"/>
        <v>0</v>
      </c>
      <c r="G178" s="2">
        <f t="shared" si="23"/>
        <v>0</v>
      </c>
      <c r="H178" s="2">
        <f t="shared" si="23"/>
        <v>0</v>
      </c>
      <c r="I178" s="2">
        <f t="shared" si="23"/>
        <v>0</v>
      </c>
      <c r="J178" s="2">
        <f t="shared" si="23"/>
        <v>0</v>
      </c>
      <c r="K178" s="2">
        <f t="shared" si="23"/>
        <v>0</v>
      </c>
      <c r="L178" s="2">
        <f t="shared" si="23"/>
        <v>0</v>
      </c>
      <c r="M178" s="2">
        <f t="shared" si="23"/>
        <v>0</v>
      </c>
      <c r="O178" s="2">
        <f>SUM(O153,O161,O169,O177)</f>
        <v>0</v>
      </c>
      <c r="P178" s="2">
        <f>SUM(P153,P161,P169,P177)</f>
        <v>0</v>
      </c>
      <c r="Q178" s="2">
        <f>SUM(Q153,Q161,Q169,Q177)</f>
        <v>0</v>
      </c>
      <c r="S178" s="2">
        <f>SUM(S153,S161,S169,S177)</f>
        <v>0</v>
      </c>
      <c r="T178" s="2" t="str">
        <f>IF(Q178&lt;&gt;0,(S178-Q178)/Q178,"0")</f>
        <v>0</v>
      </c>
    </row>
    <row r="180" spans="2:20">
      <c r="B180" s="2" t="s">
        <v>354</v>
      </c>
    </row>
    <row r="182" spans="2:20">
      <c r="B182" s="2" t="s">
        <v>263</v>
      </c>
      <c r="C182" s="2" t="s">
        <v>210</v>
      </c>
      <c r="D182" s="2" t="s">
        <v>211</v>
      </c>
      <c r="I182" s="2" t="s">
        <v>212</v>
      </c>
      <c r="O182" s="2" t="s">
        <v>211</v>
      </c>
      <c r="S182" s="2" t="s">
        <v>212</v>
      </c>
    </row>
    <row r="183" spans="2:20">
      <c r="D183" s="2" t="s">
        <v>99</v>
      </c>
      <c r="E183" s="2" t="s">
        <v>100</v>
      </c>
      <c r="F183" s="2" t="s">
        <v>101</v>
      </c>
      <c r="G183" s="2" t="s">
        <v>102</v>
      </c>
      <c r="H183" s="2" t="s">
        <v>64</v>
      </c>
      <c r="I183" s="2" t="s">
        <v>213</v>
      </c>
      <c r="J183" s="2" t="s">
        <v>214</v>
      </c>
      <c r="K183" s="2" t="s">
        <v>215</v>
      </c>
      <c r="L183" s="2" t="s">
        <v>216</v>
      </c>
      <c r="M183" s="2" t="s">
        <v>217</v>
      </c>
      <c r="O183" s="2" t="s">
        <v>218</v>
      </c>
      <c r="P183" s="2" t="s">
        <v>219</v>
      </c>
      <c r="Q183" s="2" t="s">
        <v>220</v>
      </c>
      <c r="S183" s="2" t="s">
        <v>219</v>
      </c>
      <c r="T183" s="2" t="s">
        <v>221</v>
      </c>
    </row>
    <row r="184" spans="2:20">
      <c r="B184" s="2" t="s">
        <v>264</v>
      </c>
    </row>
    <row r="185" spans="2:20">
      <c r="B185" s="2" t="s">
        <v>265</v>
      </c>
    </row>
    <row r="186" spans="2:20">
      <c r="B186" s="2" t="s">
        <v>306</v>
      </c>
      <c r="C186" s="2" t="s">
        <v>223</v>
      </c>
    </row>
    <row r="187" spans="2:20">
      <c r="B187" s="2" t="s">
        <v>333</v>
      </c>
      <c r="C187" s="2" t="s">
        <v>334</v>
      </c>
    </row>
    <row r="188" spans="2:20">
      <c r="B188" s="2" t="s">
        <v>335</v>
      </c>
      <c r="C188" s="2" t="s">
        <v>334</v>
      </c>
      <c r="I188" s="2">
        <f>1-I187</f>
        <v>1</v>
      </c>
      <c r="J188" s="2">
        <f>1-J187</f>
        <v>1</v>
      </c>
      <c r="K188" s="2">
        <f>1-K187</f>
        <v>1</v>
      </c>
      <c r="L188" s="2">
        <f>1-L187</f>
        <v>1</v>
      </c>
      <c r="M188" s="2">
        <f>1-M187</f>
        <v>1</v>
      </c>
    </row>
    <row r="189" spans="2:20">
      <c r="B189" s="2" t="s">
        <v>307</v>
      </c>
      <c r="C189" s="2" t="s">
        <v>223</v>
      </c>
    </row>
    <row r="190" spans="2:20">
      <c r="B190" s="2" t="s">
        <v>336</v>
      </c>
      <c r="C190" s="2" t="s">
        <v>334</v>
      </c>
    </row>
    <row r="191" spans="2:20">
      <c r="B191" s="2" t="s">
        <v>337</v>
      </c>
      <c r="C191" s="2" t="s">
        <v>334</v>
      </c>
      <c r="I191" s="2">
        <f>1-I190</f>
        <v>1</v>
      </c>
      <c r="J191" s="2">
        <f>1-J190</f>
        <v>1</v>
      </c>
      <c r="K191" s="2">
        <f>1-K190</f>
        <v>1</v>
      </c>
      <c r="L191" s="2">
        <f>1-L190</f>
        <v>1</v>
      </c>
      <c r="M191" s="2">
        <f>1-M190</f>
        <v>1</v>
      </c>
    </row>
    <row r="192" spans="2:20">
      <c r="B192" s="2" t="s">
        <v>268</v>
      </c>
      <c r="C192" s="2" t="s">
        <v>223</v>
      </c>
      <c r="I192" s="2">
        <f>SUM(I186,I189)</f>
        <v>0</v>
      </c>
      <c r="J192" s="2">
        <f>SUM(J186,J189)</f>
        <v>0</v>
      </c>
      <c r="K192" s="2">
        <f>SUM(K186,K189)</f>
        <v>0</v>
      </c>
      <c r="L192" s="2">
        <f>SUM(L186,L189)</f>
        <v>0</v>
      </c>
      <c r="M192" s="2">
        <f>SUM(M186,M189)</f>
        <v>0</v>
      </c>
      <c r="O192" s="2">
        <f>SUM(D192:G192)</f>
        <v>0</v>
      </c>
      <c r="P192" s="2">
        <f>SUM(H192)</f>
        <v>0</v>
      </c>
      <c r="Q192" s="2">
        <f>SUM(D192:H192)</f>
        <v>0</v>
      </c>
      <c r="S192" s="2">
        <f>SUM(I192:M192)</f>
        <v>0</v>
      </c>
      <c r="T192" s="2" t="str">
        <f>IF(Q192&lt;&gt;0,(S192-Q192)/Q192,"0")</f>
        <v>0</v>
      </c>
    </row>
    <row r="193" spans="2:20">
      <c r="B193" s="2" t="s">
        <v>338</v>
      </c>
    </row>
    <row r="194" spans="2:20">
      <c r="B194" s="2" t="s">
        <v>308</v>
      </c>
      <c r="C194" s="2" t="s">
        <v>223</v>
      </c>
    </row>
    <row r="195" spans="2:20">
      <c r="B195" s="2" t="s">
        <v>339</v>
      </c>
      <c r="C195" s="2" t="s">
        <v>334</v>
      </c>
    </row>
    <row r="196" spans="2:20">
      <c r="B196" s="2" t="s">
        <v>340</v>
      </c>
      <c r="C196" s="2" t="s">
        <v>334</v>
      </c>
      <c r="I196" s="2">
        <f>1-I195</f>
        <v>1</v>
      </c>
      <c r="J196" s="2">
        <f>1-J195</f>
        <v>1</v>
      </c>
      <c r="K196" s="2">
        <f>1-K195</f>
        <v>1</v>
      </c>
      <c r="L196" s="2">
        <f>1-L195</f>
        <v>1</v>
      </c>
      <c r="M196" s="2">
        <f>1-M195</f>
        <v>1</v>
      </c>
    </row>
    <row r="197" spans="2:20">
      <c r="B197" s="2" t="s">
        <v>309</v>
      </c>
      <c r="C197" s="2" t="s">
        <v>223</v>
      </c>
    </row>
    <row r="198" spans="2:20">
      <c r="B198" s="2" t="s">
        <v>341</v>
      </c>
      <c r="C198" s="2" t="s">
        <v>334</v>
      </c>
    </row>
    <row r="199" spans="2:20">
      <c r="B199" s="2" t="s">
        <v>342</v>
      </c>
      <c r="C199" s="2" t="s">
        <v>334</v>
      </c>
      <c r="I199" s="2">
        <f>1-I198</f>
        <v>1</v>
      </c>
      <c r="J199" s="2">
        <f>1-J198</f>
        <v>1</v>
      </c>
      <c r="K199" s="2">
        <f>1-K198</f>
        <v>1</v>
      </c>
      <c r="L199" s="2">
        <f>1-L198</f>
        <v>1</v>
      </c>
      <c r="M199" s="2">
        <f>1-M198</f>
        <v>1</v>
      </c>
    </row>
    <row r="200" spans="2:20">
      <c r="B200" s="2" t="s">
        <v>270</v>
      </c>
      <c r="C200" s="2" t="s">
        <v>223</v>
      </c>
      <c r="I200" s="2">
        <f>SUM(I194,I197)</f>
        <v>0</v>
      </c>
      <c r="J200" s="2">
        <f>SUM(J194,J197)</f>
        <v>0</v>
      </c>
      <c r="K200" s="2">
        <f>SUM(K194,K197)</f>
        <v>0</v>
      </c>
      <c r="L200" s="2">
        <f>SUM(L194,L197)</f>
        <v>0</v>
      </c>
      <c r="M200" s="2">
        <f>SUM(M194,M197)</f>
        <v>0</v>
      </c>
      <c r="O200" s="2">
        <f>SUM(D200:G200)</f>
        <v>0</v>
      </c>
      <c r="P200" s="2">
        <f>SUM(H200)</f>
        <v>0</v>
      </c>
      <c r="Q200" s="2">
        <f>SUM(D200:H200)</f>
        <v>0</v>
      </c>
      <c r="S200" s="2">
        <f>SUM(I200:M200)</f>
        <v>0</v>
      </c>
      <c r="T200" s="2" t="str">
        <f>IF(Q200&lt;&gt;0,(S200-Q200)/Q200,"0")</f>
        <v>0</v>
      </c>
    </row>
    <row r="201" spans="2:20">
      <c r="B201" s="2" t="s">
        <v>343</v>
      </c>
    </row>
    <row r="202" spans="2:20">
      <c r="B202" s="2" t="s">
        <v>310</v>
      </c>
      <c r="C202" s="2" t="s">
        <v>223</v>
      </c>
    </row>
    <row r="203" spans="2:20">
      <c r="B203" s="2" t="s">
        <v>344</v>
      </c>
      <c r="C203" s="2" t="s">
        <v>334</v>
      </c>
    </row>
    <row r="204" spans="2:20">
      <c r="B204" s="2" t="s">
        <v>345</v>
      </c>
      <c r="C204" s="2" t="s">
        <v>334</v>
      </c>
      <c r="I204" s="2">
        <f>1-I203</f>
        <v>1</v>
      </c>
      <c r="J204" s="2">
        <f>1-J203</f>
        <v>1</v>
      </c>
      <c r="K204" s="2">
        <f>1-K203</f>
        <v>1</v>
      </c>
      <c r="L204" s="2">
        <f>1-L203</f>
        <v>1</v>
      </c>
      <c r="M204" s="2">
        <f>1-M203</f>
        <v>1</v>
      </c>
    </row>
    <row r="205" spans="2:20">
      <c r="B205" s="2" t="s">
        <v>311</v>
      </c>
      <c r="C205" s="2" t="s">
        <v>223</v>
      </c>
    </row>
    <row r="206" spans="2:20">
      <c r="B206" s="2" t="s">
        <v>346</v>
      </c>
      <c r="C206" s="2" t="s">
        <v>334</v>
      </c>
    </row>
    <row r="207" spans="2:20">
      <c r="B207" s="2" t="s">
        <v>347</v>
      </c>
      <c r="C207" s="2" t="s">
        <v>334</v>
      </c>
      <c r="I207" s="2">
        <f>1-I206</f>
        <v>1</v>
      </c>
      <c r="J207" s="2">
        <f>1-J206</f>
        <v>1</v>
      </c>
      <c r="K207" s="2">
        <f>1-K206</f>
        <v>1</v>
      </c>
      <c r="L207" s="2">
        <f>1-L206</f>
        <v>1</v>
      </c>
      <c r="M207" s="2">
        <f>1-M206</f>
        <v>1</v>
      </c>
    </row>
    <row r="208" spans="2:20">
      <c r="B208" s="2" t="s">
        <v>272</v>
      </c>
      <c r="C208" s="2" t="s">
        <v>223</v>
      </c>
      <c r="I208" s="2">
        <f>SUM(I202,I205)</f>
        <v>0</v>
      </c>
      <c r="J208" s="2">
        <f>SUM(J202,J205)</f>
        <v>0</v>
      </c>
      <c r="K208" s="2">
        <f>SUM(K202,K205)</f>
        <v>0</v>
      </c>
      <c r="L208" s="2">
        <f>SUM(L202,L205)</f>
        <v>0</v>
      </c>
      <c r="M208" s="2">
        <f>SUM(M202,M205)</f>
        <v>0</v>
      </c>
      <c r="O208" s="2">
        <f>SUM(D208:G208)</f>
        <v>0</v>
      </c>
      <c r="P208" s="2">
        <f>SUM(H208)</f>
        <v>0</v>
      </c>
      <c r="Q208" s="2">
        <f>SUM(D208:H208)</f>
        <v>0</v>
      </c>
      <c r="S208" s="2">
        <f>SUM(I208:M208)</f>
        <v>0</v>
      </c>
      <c r="T208" s="2" t="str">
        <f>IF(Q208&lt;&gt;0,(S208-Q208)/Q208,"0")</f>
        <v>0</v>
      </c>
    </row>
    <row r="209" spans="2:20">
      <c r="B209" s="2" t="s">
        <v>348</v>
      </c>
    </row>
    <row r="210" spans="2:20">
      <c r="B210" s="2" t="s">
        <v>312</v>
      </c>
      <c r="C210" s="2" t="s">
        <v>223</v>
      </c>
    </row>
    <row r="211" spans="2:20">
      <c r="B211" s="2" t="s">
        <v>349</v>
      </c>
      <c r="C211" s="2" t="s">
        <v>334</v>
      </c>
    </row>
    <row r="212" spans="2:20">
      <c r="B212" s="2" t="s">
        <v>350</v>
      </c>
      <c r="C212" s="2" t="s">
        <v>334</v>
      </c>
      <c r="I212" s="2">
        <f>1-I211</f>
        <v>1</v>
      </c>
      <c r="J212" s="2">
        <f>1-J211</f>
        <v>1</v>
      </c>
      <c r="K212" s="2">
        <f>1-K211</f>
        <v>1</v>
      </c>
      <c r="L212" s="2">
        <f>1-L211</f>
        <v>1</v>
      </c>
      <c r="M212" s="2">
        <f>1-M211</f>
        <v>1</v>
      </c>
    </row>
    <row r="213" spans="2:20">
      <c r="B213" s="2" t="s">
        <v>313</v>
      </c>
      <c r="C213" s="2" t="s">
        <v>223</v>
      </c>
    </row>
    <row r="214" spans="2:20">
      <c r="B214" s="2" t="s">
        <v>351</v>
      </c>
      <c r="C214" s="2" t="s">
        <v>334</v>
      </c>
    </row>
    <row r="215" spans="2:20">
      <c r="B215" s="2" t="s">
        <v>352</v>
      </c>
      <c r="C215" s="2" t="s">
        <v>334</v>
      </c>
      <c r="I215" s="2">
        <f>1-I214</f>
        <v>1</v>
      </c>
      <c r="J215" s="2">
        <f>1-J214</f>
        <v>1</v>
      </c>
      <c r="K215" s="2">
        <f>1-K214</f>
        <v>1</v>
      </c>
      <c r="L215" s="2">
        <f>1-L214</f>
        <v>1</v>
      </c>
      <c r="M215" s="2">
        <f>1-M214</f>
        <v>1</v>
      </c>
    </row>
    <row r="216" spans="2:20">
      <c r="B216" s="2" t="s">
        <v>274</v>
      </c>
      <c r="C216" s="2" t="s">
        <v>223</v>
      </c>
      <c r="I216" s="2">
        <f>SUM(I210,I213)</f>
        <v>0</v>
      </c>
      <c r="J216" s="2">
        <f>SUM(J210,J213)</f>
        <v>0</v>
      </c>
      <c r="K216" s="2">
        <f>SUM(K210,K213)</f>
        <v>0</v>
      </c>
      <c r="L216" s="2">
        <f>SUM(L210,L213)</f>
        <v>0</v>
      </c>
      <c r="M216" s="2">
        <f>SUM(M210,M213)</f>
        <v>0</v>
      </c>
      <c r="O216" s="2">
        <f>SUM(D216:G216)</f>
        <v>0</v>
      </c>
      <c r="P216" s="2">
        <f>SUM(H216)</f>
        <v>0</v>
      </c>
      <c r="Q216" s="2">
        <f>SUM(D216:H216)</f>
        <v>0</v>
      </c>
      <c r="S216" s="2">
        <f>SUM(I216:M216)</f>
        <v>0</v>
      </c>
      <c r="T216" s="2" t="str">
        <f>IF(Q216&lt;&gt;0,(S216-Q216)/Q216,"0")</f>
        <v>0</v>
      </c>
    </row>
    <row r="217" spans="2:20">
      <c r="B217" s="2" t="s">
        <v>355</v>
      </c>
      <c r="D217" s="2">
        <f t="shared" ref="D217:M217" si="24">SUM(D192,D200,D208,D216)</f>
        <v>0</v>
      </c>
      <c r="E217" s="2">
        <f t="shared" si="24"/>
        <v>0</v>
      </c>
      <c r="F217" s="2">
        <f t="shared" si="24"/>
        <v>0</v>
      </c>
      <c r="G217" s="2">
        <f t="shared" si="24"/>
        <v>0</v>
      </c>
      <c r="H217" s="2">
        <f t="shared" si="24"/>
        <v>0</v>
      </c>
      <c r="I217" s="2">
        <f t="shared" si="24"/>
        <v>0</v>
      </c>
      <c r="J217" s="2">
        <f t="shared" si="24"/>
        <v>0</v>
      </c>
      <c r="K217" s="2">
        <f t="shared" si="24"/>
        <v>0</v>
      </c>
      <c r="L217" s="2">
        <f t="shared" si="24"/>
        <v>0</v>
      </c>
      <c r="M217" s="2">
        <f t="shared" si="24"/>
        <v>0</v>
      </c>
      <c r="O217" s="2">
        <f>SUM(O192,O200,O208,O216)</f>
        <v>0</v>
      </c>
      <c r="P217" s="2">
        <f>SUM(P192,P200,P208,P216)</f>
        <v>0</v>
      </c>
      <c r="Q217" s="2">
        <f>SUM(Q192,Q200,Q208,Q216)</f>
        <v>0</v>
      </c>
      <c r="S217" s="2">
        <f>SUM(S192,S200,S208,S216)</f>
        <v>0</v>
      </c>
      <c r="T217" s="2" t="str">
        <f>IF(Q217&lt;&gt;0,(S217-Q217)/Q217,"0")</f>
        <v>0</v>
      </c>
    </row>
    <row r="219" spans="2:20">
      <c r="B219" s="2" t="s">
        <v>356</v>
      </c>
    </row>
    <row r="221" spans="2:20">
      <c r="B221" s="2" t="s">
        <v>263</v>
      </c>
      <c r="C221" s="2" t="s">
        <v>210</v>
      </c>
      <c r="D221" s="2" t="s">
        <v>211</v>
      </c>
      <c r="I221" s="2" t="s">
        <v>212</v>
      </c>
      <c r="O221" s="2" t="s">
        <v>211</v>
      </c>
      <c r="S221" s="2" t="s">
        <v>212</v>
      </c>
    </row>
    <row r="222" spans="2:20">
      <c r="D222" s="2" t="s">
        <v>99</v>
      </c>
      <c r="E222" s="2" t="s">
        <v>100</v>
      </c>
      <c r="F222" s="2" t="s">
        <v>101</v>
      </c>
      <c r="G222" s="2" t="s">
        <v>102</v>
      </c>
      <c r="H222" s="2" t="s">
        <v>64</v>
      </c>
      <c r="I222" s="2" t="s">
        <v>213</v>
      </c>
      <c r="J222" s="2" t="s">
        <v>214</v>
      </c>
      <c r="K222" s="2" t="s">
        <v>215</v>
      </c>
      <c r="L222" s="2" t="s">
        <v>216</v>
      </c>
      <c r="M222" s="2" t="s">
        <v>217</v>
      </c>
      <c r="O222" s="2" t="s">
        <v>218</v>
      </c>
      <c r="P222" s="2" t="s">
        <v>219</v>
      </c>
      <c r="Q222" s="2" t="s">
        <v>220</v>
      </c>
      <c r="S222" s="2" t="s">
        <v>219</v>
      </c>
      <c r="T222" s="2" t="s">
        <v>221</v>
      </c>
    </row>
    <row r="223" spans="2:20">
      <c r="B223" s="2" t="s">
        <v>264</v>
      </c>
    </row>
    <row r="224" spans="2:20">
      <c r="B224" s="2" t="s">
        <v>265</v>
      </c>
    </row>
    <row r="225" spans="2:20">
      <c r="B225" s="2" t="s">
        <v>306</v>
      </c>
      <c r="C225" s="2" t="s">
        <v>223</v>
      </c>
    </row>
    <row r="226" spans="2:20">
      <c r="B226" s="2" t="s">
        <v>307</v>
      </c>
      <c r="C226" s="2" t="s">
        <v>223</v>
      </c>
    </row>
    <row r="227" spans="2:20">
      <c r="B227" s="2" t="s">
        <v>268</v>
      </c>
      <c r="C227" s="2" t="s">
        <v>223</v>
      </c>
      <c r="I227" s="2">
        <f>SUM(I225,I226)</f>
        <v>0</v>
      </c>
      <c r="J227" s="2">
        <f>SUM(J225,J226)</f>
        <v>0</v>
      </c>
      <c r="K227" s="2">
        <f>SUM(K225,K226)</f>
        <v>0</v>
      </c>
      <c r="L227" s="2">
        <f>SUM(L225,L226)</f>
        <v>0</v>
      </c>
      <c r="M227" s="2">
        <f>SUM(M225,M226)</f>
        <v>0</v>
      </c>
      <c r="O227" s="2">
        <f>SUM(D227:G227)</f>
        <v>0</v>
      </c>
      <c r="P227" s="2">
        <f>SUM(H227)</f>
        <v>0</v>
      </c>
      <c r="Q227" s="2">
        <f>SUM(D227:H227)</f>
        <v>0</v>
      </c>
      <c r="S227" s="2">
        <f>SUM(I227:M227)</f>
        <v>0</v>
      </c>
      <c r="T227" s="2" t="str">
        <f>IF(Q227&lt;&gt;0,(S227-Q227)/Q227,"0")</f>
        <v>0</v>
      </c>
    </row>
    <row r="228" spans="2:20">
      <c r="B228" s="2" t="s">
        <v>338</v>
      </c>
    </row>
    <row r="229" spans="2:20">
      <c r="B229" s="2" t="s">
        <v>308</v>
      </c>
      <c r="C229" s="2" t="s">
        <v>223</v>
      </c>
    </row>
    <row r="230" spans="2:20">
      <c r="B230" s="2" t="s">
        <v>309</v>
      </c>
      <c r="C230" s="2" t="s">
        <v>223</v>
      </c>
    </row>
    <row r="231" spans="2:20">
      <c r="B231" s="2" t="s">
        <v>270</v>
      </c>
      <c r="C231" s="2" t="s">
        <v>223</v>
      </c>
      <c r="I231" s="2">
        <f>SUM(I229,I230)</f>
        <v>0</v>
      </c>
      <c r="J231" s="2">
        <f>SUM(J229,J230)</f>
        <v>0</v>
      </c>
      <c r="K231" s="2">
        <f>SUM(K229,K230)</f>
        <v>0</v>
      </c>
      <c r="L231" s="2">
        <f>SUM(L229,L230)</f>
        <v>0</v>
      </c>
      <c r="M231" s="2">
        <f>SUM(M229,M230)</f>
        <v>0</v>
      </c>
      <c r="O231" s="2">
        <f>SUM(D231:G231)</f>
        <v>0</v>
      </c>
      <c r="P231" s="2">
        <f>SUM(H231)</f>
        <v>0</v>
      </c>
      <c r="Q231" s="2">
        <f>SUM(D231:H231)</f>
        <v>0</v>
      </c>
      <c r="S231" s="2">
        <f>SUM(I231:M231)</f>
        <v>0</v>
      </c>
      <c r="T231" s="2" t="str">
        <f>IF(Q231&lt;&gt;0,(S231-Q231)/Q231,"0")</f>
        <v>0</v>
      </c>
    </row>
    <row r="232" spans="2:20">
      <c r="B232" s="2" t="s">
        <v>343</v>
      </c>
    </row>
    <row r="233" spans="2:20">
      <c r="B233" s="2" t="s">
        <v>310</v>
      </c>
      <c r="C233" s="2" t="s">
        <v>223</v>
      </c>
    </row>
    <row r="234" spans="2:20">
      <c r="B234" s="2" t="s">
        <v>311</v>
      </c>
      <c r="C234" s="2" t="s">
        <v>223</v>
      </c>
    </row>
    <row r="235" spans="2:20">
      <c r="B235" s="2" t="s">
        <v>272</v>
      </c>
      <c r="C235" s="2" t="s">
        <v>223</v>
      </c>
      <c r="I235" s="2">
        <f>SUM(I233,I234)</f>
        <v>0</v>
      </c>
      <c r="J235" s="2">
        <f>SUM(J233,J234)</f>
        <v>0</v>
      </c>
      <c r="K235" s="2">
        <f>SUM(K233,K234)</f>
        <v>0</v>
      </c>
      <c r="L235" s="2">
        <f>SUM(L233,L234)</f>
        <v>0</v>
      </c>
      <c r="M235" s="2">
        <f>SUM(M233,M234)</f>
        <v>0</v>
      </c>
      <c r="O235" s="2">
        <f>SUM(D235:G235)</f>
        <v>0</v>
      </c>
      <c r="P235" s="2">
        <f>SUM(H235)</f>
        <v>0</v>
      </c>
      <c r="Q235" s="2">
        <f>SUM(D235:H235)</f>
        <v>0</v>
      </c>
      <c r="S235" s="2">
        <f>SUM(I235:M235)</f>
        <v>0</v>
      </c>
      <c r="T235" s="2" t="str">
        <f>IF(Q235&lt;&gt;0,(S235-Q235)/Q235,"0")</f>
        <v>0</v>
      </c>
    </row>
    <row r="236" spans="2:20">
      <c r="B236" s="2" t="s">
        <v>348</v>
      </c>
    </row>
    <row r="237" spans="2:20">
      <c r="B237" s="2" t="s">
        <v>312</v>
      </c>
      <c r="C237" s="2" t="s">
        <v>223</v>
      </c>
    </row>
    <row r="238" spans="2:20">
      <c r="B238" s="2" t="s">
        <v>313</v>
      </c>
      <c r="C238" s="2" t="s">
        <v>223</v>
      </c>
    </row>
    <row r="239" spans="2:20">
      <c r="B239" s="2" t="s">
        <v>274</v>
      </c>
      <c r="C239" s="2" t="s">
        <v>223</v>
      </c>
      <c r="I239" s="2">
        <f>SUM(I237,I238)</f>
        <v>0</v>
      </c>
      <c r="J239" s="2">
        <f>SUM(J237,J238)</f>
        <v>0</v>
      </c>
      <c r="K239" s="2">
        <f>SUM(K237,K238)</f>
        <v>0</v>
      </c>
      <c r="L239" s="2">
        <f>SUM(L237,L238)</f>
        <v>0</v>
      </c>
      <c r="M239" s="2">
        <f>SUM(M237,M238)</f>
        <v>0</v>
      </c>
      <c r="O239" s="2">
        <f>SUM(D239:G239)</f>
        <v>0</v>
      </c>
      <c r="P239" s="2">
        <f>SUM(H239)</f>
        <v>0</v>
      </c>
      <c r="Q239" s="2">
        <f>SUM(D239:H239)</f>
        <v>0</v>
      </c>
      <c r="S239" s="2">
        <f>SUM(I239:M239)</f>
        <v>0</v>
      </c>
      <c r="T239" s="2" t="str">
        <f>IF(Q239&lt;&gt;0,(S239-Q239)/Q239,"0")</f>
        <v>0</v>
      </c>
    </row>
    <row r="240" spans="2:20">
      <c r="B240" s="2" t="s">
        <v>357</v>
      </c>
      <c r="D240" s="2">
        <f t="shared" ref="D240:M240" si="25">SUM(D227,D231,D235,D239)</f>
        <v>0</v>
      </c>
      <c r="E240" s="2">
        <f t="shared" si="25"/>
        <v>0</v>
      </c>
      <c r="F240" s="2">
        <f t="shared" si="25"/>
        <v>0</v>
      </c>
      <c r="G240" s="2">
        <f t="shared" si="25"/>
        <v>0</v>
      </c>
      <c r="H240" s="2">
        <f t="shared" si="25"/>
        <v>0</v>
      </c>
      <c r="I240" s="2">
        <f t="shared" si="25"/>
        <v>0</v>
      </c>
      <c r="J240" s="2">
        <f t="shared" si="25"/>
        <v>0</v>
      </c>
      <c r="K240" s="2">
        <f t="shared" si="25"/>
        <v>0</v>
      </c>
      <c r="L240" s="2">
        <f t="shared" si="25"/>
        <v>0</v>
      </c>
      <c r="M240" s="2">
        <f t="shared" si="25"/>
        <v>0</v>
      </c>
      <c r="O240" s="2">
        <f>SUM(O227,O231,O235,O239)</f>
        <v>0</v>
      </c>
      <c r="P240" s="2">
        <f>SUM(P227,P231,P235,P239)</f>
        <v>0</v>
      </c>
      <c r="Q240" s="2">
        <f>SUM(Q227,Q231,Q235,Q239)</f>
        <v>0</v>
      </c>
      <c r="S240" s="2">
        <f>SUM(S227,S231,S235,S239)</f>
        <v>0</v>
      </c>
      <c r="T240" s="2" t="str">
        <f>IF(Q240&lt;&gt;0,(S240-Q240)/Q240,"0")</f>
        <v>0</v>
      </c>
    </row>
    <row r="243" spans="2:20">
      <c r="B243" s="2" t="s">
        <v>358</v>
      </c>
    </row>
    <row r="245" spans="2:20">
      <c r="B245" s="2" t="s">
        <v>279</v>
      </c>
      <c r="C245" s="2" t="s">
        <v>210</v>
      </c>
      <c r="D245" s="2" t="s">
        <v>211</v>
      </c>
      <c r="I245" s="2" t="s">
        <v>212</v>
      </c>
      <c r="O245" s="2" t="s">
        <v>211</v>
      </c>
      <c r="S245" s="2" t="s">
        <v>212</v>
      </c>
    </row>
    <row r="246" spans="2:20">
      <c r="D246" s="2" t="s">
        <v>99</v>
      </c>
      <c r="E246" s="2" t="s">
        <v>100</v>
      </c>
      <c r="F246" s="2" t="s">
        <v>101</v>
      </c>
      <c r="G246" s="2" t="s">
        <v>102</v>
      </c>
      <c r="H246" s="2" t="s">
        <v>64</v>
      </c>
      <c r="I246" s="2" t="s">
        <v>213</v>
      </c>
      <c r="J246" s="2" t="s">
        <v>214</v>
      </c>
      <c r="K246" s="2" t="s">
        <v>215</v>
      </c>
      <c r="L246" s="2" t="s">
        <v>216</v>
      </c>
      <c r="M246" s="2" t="s">
        <v>217</v>
      </c>
      <c r="O246" s="2" t="s">
        <v>218</v>
      </c>
      <c r="P246" s="2" t="s">
        <v>219</v>
      </c>
      <c r="Q246" s="2" t="s">
        <v>220</v>
      </c>
      <c r="S246" s="2" t="s">
        <v>219</v>
      </c>
      <c r="T246" s="2" t="s">
        <v>221</v>
      </c>
    </row>
    <row r="247" spans="2:20">
      <c r="B247" s="2" t="s">
        <v>280</v>
      </c>
    </row>
    <row r="248" spans="2:20">
      <c r="B248" s="2" t="s">
        <v>306</v>
      </c>
      <c r="C248" s="2" t="s">
        <v>223</v>
      </c>
    </row>
    <row r="249" spans="2:20">
      <c r="B249" s="2" t="s">
        <v>307</v>
      </c>
    </row>
    <row r="250" spans="2:20">
      <c r="B250" s="2" t="s">
        <v>268</v>
      </c>
      <c r="C250" s="2" t="s">
        <v>223</v>
      </c>
      <c r="I250" s="2">
        <f>SUM(I248:I249)</f>
        <v>0</v>
      </c>
      <c r="J250" s="2">
        <f>SUM(J248:J249)</f>
        <v>0</v>
      </c>
      <c r="K250" s="2">
        <f>SUM(K248:K249)</f>
        <v>0</v>
      </c>
      <c r="L250" s="2">
        <f>SUM(L248:L249)</f>
        <v>0</v>
      </c>
      <c r="M250" s="2">
        <f>SUM(M248:M249)</f>
        <v>0</v>
      </c>
      <c r="O250" s="2">
        <f>SUM(D250:G250)</f>
        <v>0</v>
      </c>
      <c r="P250" s="2">
        <f>SUM(H250)</f>
        <v>0</v>
      </c>
      <c r="Q250" s="2">
        <f>SUM(D250:H250)</f>
        <v>0</v>
      </c>
      <c r="S250" s="2">
        <f>SUM(I250:M250)</f>
        <v>0</v>
      </c>
      <c r="T250" s="2" t="str">
        <f>IF(Q250&lt;&gt;0,(S250-Q250)/Q250,"0")</f>
        <v>0</v>
      </c>
    </row>
    <row r="251" spans="2:20">
      <c r="B251" s="2" t="s">
        <v>359</v>
      </c>
    </row>
    <row r="252" spans="2:20">
      <c r="B252" s="2" t="s">
        <v>308</v>
      </c>
      <c r="C252" s="2" t="s">
        <v>223</v>
      </c>
    </row>
    <row r="253" spans="2:20">
      <c r="B253" s="2" t="s">
        <v>309</v>
      </c>
      <c r="C253" s="2" t="s">
        <v>223</v>
      </c>
    </row>
    <row r="254" spans="2:20">
      <c r="B254" s="2" t="s">
        <v>270</v>
      </c>
      <c r="C254" s="2" t="s">
        <v>223</v>
      </c>
      <c r="I254" s="2">
        <f>SUM(I252:I253)</f>
        <v>0</v>
      </c>
      <c r="J254" s="2">
        <f>SUM(J252:J253)</f>
        <v>0</v>
      </c>
      <c r="K254" s="2">
        <f>SUM(K252:K253)</f>
        <v>0</v>
      </c>
      <c r="L254" s="2">
        <f>SUM(L252:L253)</f>
        <v>0</v>
      </c>
      <c r="M254" s="2">
        <f>SUM(M252:M253)</f>
        <v>0</v>
      </c>
      <c r="O254" s="2">
        <f>SUM(D254:G254)</f>
        <v>0</v>
      </c>
      <c r="P254" s="2">
        <f>SUM(H254)</f>
        <v>0</v>
      </c>
      <c r="Q254" s="2">
        <f>SUM(D254:H254)</f>
        <v>0</v>
      </c>
      <c r="S254" s="2">
        <f>SUM(I254:M254)</f>
        <v>0</v>
      </c>
      <c r="T254" s="2" t="str">
        <f>IF(Q254&lt;&gt;0,(S254-Q254)/Q254,"0")</f>
        <v>0</v>
      </c>
    </row>
    <row r="255" spans="2:20">
      <c r="B255" s="2" t="s">
        <v>360</v>
      </c>
    </row>
    <row r="256" spans="2:20">
      <c r="B256" s="2" t="s">
        <v>310</v>
      </c>
      <c r="C256" s="2" t="s">
        <v>223</v>
      </c>
    </row>
    <row r="257" spans="2:20">
      <c r="B257" s="2" t="s">
        <v>311</v>
      </c>
      <c r="C257" s="2" t="s">
        <v>223</v>
      </c>
    </row>
    <row r="258" spans="2:20">
      <c r="B258" s="2" t="s">
        <v>272</v>
      </c>
      <c r="C258" s="2" t="s">
        <v>223</v>
      </c>
      <c r="I258" s="2">
        <f>SUM(I256:I257)</f>
        <v>0</v>
      </c>
      <c r="J258" s="2">
        <f>SUM(J256:J257)</f>
        <v>0</v>
      </c>
      <c r="K258" s="2">
        <f>SUM(K256:K257)</f>
        <v>0</v>
      </c>
      <c r="L258" s="2">
        <f>SUM(L256:L257)</f>
        <v>0</v>
      </c>
      <c r="M258" s="2">
        <f>SUM(M256:M257)</f>
        <v>0</v>
      </c>
      <c r="O258" s="2">
        <f>SUM(D258:G258)</f>
        <v>0</v>
      </c>
      <c r="P258" s="2">
        <f>SUM(H258)</f>
        <v>0</v>
      </c>
      <c r="Q258" s="2">
        <f>SUM(D258:H258)</f>
        <v>0</v>
      </c>
      <c r="S258" s="2">
        <f>SUM(I258:M258)</f>
        <v>0</v>
      </c>
      <c r="T258" s="2" t="str">
        <f>IF(Q258&lt;&gt;0,(S258-Q258)/Q258,"0")</f>
        <v>0</v>
      </c>
    </row>
    <row r="259" spans="2:20">
      <c r="B259" s="2" t="s">
        <v>361</v>
      </c>
    </row>
    <row r="260" spans="2:20">
      <c r="B260" s="2" t="s">
        <v>312</v>
      </c>
      <c r="C260" s="2" t="s">
        <v>223</v>
      </c>
    </row>
    <row r="261" spans="2:20">
      <c r="B261" s="2" t="s">
        <v>313</v>
      </c>
      <c r="C261" s="2" t="s">
        <v>223</v>
      </c>
    </row>
    <row r="262" spans="2:20">
      <c r="B262" s="2" t="s">
        <v>274</v>
      </c>
      <c r="C262" s="2" t="s">
        <v>223</v>
      </c>
      <c r="I262" s="2">
        <f>SUM(I260:I261)</f>
        <v>0</v>
      </c>
      <c r="J262" s="2">
        <f>SUM(J260:J261)</f>
        <v>0</v>
      </c>
      <c r="K262" s="2">
        <f>SUM(K260:K261)</f>
        <v>0</v>
      </c>
      <c r="L262" s="2">
        <f>SUM(L260:L261)</f>
        <v>0</v>
      </c>
      <c r="M262" s="2">
        <f>SUM(M260:M261)</f>
        <v>0</v>
      </c>
      <c r="O262" s="2">
        <f>SUM(D262:G262)</f>
        <v>0</v>
      </c>
      <c r="P262" s="2">
        <f>SUM(H262)</f>
        <v>0</v>
      </c>
      <c r="Q262" s="2">
        <f>SUM(D262:H262)</f>
        <v>0</v>
      </c>
      <c r="S262" s="2">
        <f>SUM(I262:M262)</f>
        <v>0</v>
      </c>
      <c r="T262" s="2" t="str">
        <f>IF(Q262&lt;&gt;0,(S262-Q262)/Q262,"0")</f>
        <v>0</v>
      </c>
    </row>
    <row r="263" spans="2:20">
      <c r="B263" s="2" t="s">
        <v>362</v>
      </c>
      <c r="D263" s="2">
        <f t="shared" ref="D263:M263" si="26">SUM(D250,D254,D258,D262)</f>
        <v>0</v>
      </c>
      <c r="E263" s="2">
        <f t="shared" si="26"/>
        <v>0</v>
      </c>
      <c r="F263" s="2">
        <f t="shared" si="26"/>
        <v>0</v>
      </c>
      <c r="G263" s="2">
        <f t="shared" si="26"/>
        <v>0</v>
      </c>
      <c r="H263" s="2">
        <f t="shared" si="26"/>
        <v>0</v>
      </c>
      <c r="I263" s="2">
        <f t="shared" si="26"/>
        <v>0</v>
      </c>
      <c r="J263" s="2">
        <f t="shared" si="26"/>
        <v>0</v>
      </c>
      <c r="K263" s="2">
        <f t="shared" si="26"/>
        <v>0</v>
      </c>
      <c r="L263" s="2">
        <f t="shared" si="26"/>
        <v>0</v>
      </c>
      <c r="M263" s="2">
        <f t="shared" si="26"/>
        <v>0</v>
      </c>
      <c r="O263" s="2">
        <f>SUM(O250,O254,O258,O262)</f>
        <v>0</v>
      </c>
      <c r="P263" s="2">
        <f>SUM(P250,P254,P258,P262)</f>
        <v>0</v>
      </c>
      <c r="Q263" s="2">
        <f>SUM(Q250,Q254,Q258,Q262)</f>
        <v>0</v>
      </c>
      <c r="S263" s="2">
        <f>SUM(S250,S254,S258,S262)</f>
        <v>0</v>
      </c>
      <c r="T263" s="2" t="str">
        <f>IF(Q263&lt;&gt;0,(S263-Q263)/Q263,"0")</f>
        <v>0</v>
      </c>
    </row>
    <row r="266" spans="2:20">
      <c r="D266" s="2">
        <f>SUM(D240:M240) - SUM(D263:M263)</f>
        <v>0</v>
      </c>
    </row>
  </sheetData>
  <phoneticPr fontId="1" type="noConversion"/>
  <pageMargins left="0.75" right="0.75" top="1" bottom="1" header="0.5" footer="0.5"/>
  <pageSetup paperSize="9" scale="21"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Q126"/>
  <sheetViews>
    <sheetView workbookViewId="0">
      <selection sqref="A1:XFD1048576"/>
    </sheetView>
  </sheetViews>
  <sheetFormatPr defaultRowHeight="12.75"/>
  <cols>
    <col min="1" max="1" width="9.5703125" style="106" customWidth="1"/>
    <col min="2" max="2" width="4.7109375" style="106" customWidth="1"/>
    <col min="3" max="3" width="39" style="106" customWidth="1"/>
    <col min="4" max="13" width="11" style="106" customWidth="1"/>
    <col min="14" max="36" width="15.42578125" style="106" customWidth="1"/>
    <col min="37" max="37" width="109.28515625" style="106" customWidth="1"/>
    <col min="38" max="16384" width="9.140625" style="106"/>
  </cols>
  <sheetData>
    <row r="1" spans="1:36" s="290" customFormat="1" ht="26.25">
      <c r="A1" s="289" t="s">
        <v>363</v>
      </c>
      <c r="D1" s="289"/>
      <c r="E1" s="291"/>
      <c r="F1" s="292"/>
      <c r="G1" s="292"/>
      <c r="I1" s="293"/>
      <c r="J1" s="293"/>
      <c r="L1" s="293"/>
    </row>
    <row r="2" spans="1:36" s="290" customFormat="1" ht="18">
      <c r="A2" s="294" t="s">
        <v>1025</v>
      </c>
      <c r="E2" s="295"/>
    </row>
    <row r="3" spans="1:36" s="297" customFormat="1" ht="18.75" thickBot="1">
      <c r="A3" s="296" t="s">
        <v>364</v>
      </c>
      <c r="D3" s="296"/>
      <c r="E3" s="298"/>
    </row>
    <row r="5" spans="1:36" s="99" customFormat="1" ht="15.75" customHeight="1">
      <c r="B5" s="100" t="s">
        <v>365</v>
      </c>
      <c r="C5" s="100"/>
    </row>
    <row r="6" spans="1:36" ht="13.5" thickBot="1">
      <c r="B6" s="153"/>
      <c r="C6" s="153"/>
    </row>
    <row r="7" spans="1:36" ht="15.75" customHeight="1">
      <c r="B7" s="153"/>
      <c r="C7" s="1248"/>
      <c r="D7" s="109" t="s">
        <v>211</v>
      </c>
      <c r="E7" s="110"/>
      <c r="F7" s="110"/>
      <c r="G7" s="110"/>
      <c r="H7" s="111"/>
      <c r="I7" s="110" t="s">
        <v>212</v>
      </c>
      <c r="J7" s="112"/>
      <c r="K7" s="112"/>
      <c r="L7" s="112"/>
      <c r="M7" s="111"/>
      <c r="N7" s="108"/>
      <c r="O7" s="1251" t="s">
        <v>211</v>
      </c>
      <c r="P7" s="1252"/>
      <c r="Q7" s="1253"/>
      <c r="R7" s="101"/>
      <c r="S7" s="1251" t="s">
        <v>212</v>
      </c>
      <c r="T7" s="1253"/>
      <c r="U7" s="299"/>
      <c r="W7" s="300"/>
      <c r="X7" s="300"/>
      <c r="Y7" s="300"/>
      <c r="Z7" s="300"/>
      <c r="AA7" s="300"/>
      <c r="AB7" s="300"/>
      <c r="AC7" s="300"/>
      <c r="AD7" s="300"/>
      <c r="AE7" s="300"/>
      <c r="AF7" s="300"/>
      <c r="AG7" s="300"/>
      <c r="AH7" s="300"/>
      <c r="AI7" s="300"/>
      <c r="AJ7" s="300"/>
    </row>
    <row r="8" spans="1:36" ht="15.75" customHeight="1">
      <c r="C8" s="1249"/>
      <c r="D8" s="120" t="s">
        <v>99</v>
      </c>
      <c r="E8" s="121" t="s">
        <v>100</v>
      </c>
      <c r="F8" s="121" t="s">
        <v>101</v>
      </c>
      <c r="G8" s="121" t="s">
        <v>102</v>
      </c>
      <c r="H8" s="122" t="s">
        <v>64</v>
      </c>
      <c r="I8" s="301" t="s">
        <v>213</v>
      </c>
      <c r="J8" s="121" t="s">
        <v>214</v>
      </c>
      <c r="K8" s="121" t="s">
        <v>215</v>
      </c>
      <c r="L8" s="121" t="s">
        <v>216</v>
      </c>
      <c r="M8" s="122" t="s">
        <v>217</v>
      </c>
      <c r="N8" s="108"/>
      <c r="O8" s="302" t="s">
        <v>218</v>
      </c>
      <c r="P8" s="303" t="s">
        <v>219</v>
      </c>
      <c r="Q8" s="304" t="s">
        <v>220</v>
      </c>
      <c r="R8" s="101"/>
      <c r="S8" s="302" t="s">
        <v>219</v>
      </c>
      <c r="T8" s="304" t="s">
        <v>221</v>
      </c>
      <c r="U8" s="299"/>
      <c r="W8" s="305"/>
      <c r="X8" s="305"/>
      <c r="Y8" s="305"/>
      <c r="Z8" s="305"/>
      <c r="AA8" s="305"/>
      <c r="AB8" s="305"/>
      <c r="AC8" s="305"/>
      <c r="AD8" s="305"/>
      <c r="AE8" s="305"/>
      <c r="AF8" s="305"/>
      <c r="AG8" s="305"/>
      <c r="AH8" s="305"/>
      <c r="AI8" s="305"/>
      <c r="AJ8" s="305"/>
    </row>
    <row r="9" spans="1:36" ht="15.75" customHeight="1">
      <c r="C9" s="1250"/>
      <c r="D9" s="306" t="s">
        <v>366</v>
      </c>
      <c r="E9" s="307" t="s">
        <v>366</v>
      </c>
      <c r="F9" s="307" t="s">
        <v>366</v>
      </c>
      <c r="G9" s="307" t="s">
        <v>366</v>
      </c>
      <c r="H9" s="308" t="s">
        <v>366</v>
      </c>
      <c r="I9" s="309" t="s">
        <v>366</v>
      </c>
      <c r="J9" s="307" t="s">
        <v>366</v>
      </c>
      <c r="K9" s="307" t="s">
        <v>366</v>
      </c>
      <c r="L9" s="307" t="s">
        <v>366</v>
      </c>
      <c r="M9" s="308" t="s">
        <v>366</v>
      </c>
      <c r="N9" s="310"/>
      <c r="O9" s="306" t="s">
        <v>366</v>
      </c>
      <c r="P9" s="307" t="s">
        <v>366</v>
      </c>
      <c r="Q9" s="308" t="s">
        <v>366</v>
      </c>
      <c r="R9" s="101"/>
      <c r="S9" s="306" t="s">
        <v>366</v>
      </c>
      <c r="T9" s="308" t="s">
        <v>366</v>
      </c>
      <c r="U9" s="311"/>
      <c r="W9" s="311"/>
      <c r="X9" s="311"/>
      <c r="Y9" s="311"/>
      <c r="Z9" s="311"/>
      <c r="AA9" s="311"/>
      <c r="AB9" s="311"/>
      <c r="AC9" s="311"/>
      <c r="AD9" s="311"/>
      <c r="AE9" s="311"/>
      <c r="AF9" s="311"/>
      <c r="AG9" s="311"/>
      <c r="AH9" s="311"/>
      <c r="AI9" s="311"/>
      <c r="AJ9" s="311"/>
    </row>
    <row r="10" spans="1:36" ht="15.75" customHeight="1">
      <c r="C10" s="244" t="s">
        <v>367</v>
      </c>
      <c r="D10" s="312"/>
      <c r="E10" s="313"/>
      <c r="F10" s="313"/>
      <c r="G10" s="313"/>
      <c r="H10" s="314"/>
      <c r="I10" s="313"/>
      <c r="J10" s="313"/>
      <c r="K10" s="313"/>
      <c r="L10" s="313"/>
      <c r="M10" s="314"/>
      <c r="N10" s="310"/>
      <c r="O10" s="312"/>
      <c r="P10" s="183"/>
      <c r="Q10" s="184"/>
      <c r="R10" s="101"/>
      <c r="S10" s="312"/>
      <c r="T10" s="315"/>
      <c r="U10" s="316"/>
      <c r="W10" s="316"/>
      <c r="X10" s="316"/>
      <c r="Y10" s="316"/>
      <c r="Z10" s="316"/>
      <c r="AA10" s="316"/>
      <c r="AB10" s="316"/>
      <c r="AC10" s="316"/>
      <c r="AD10" s="316"/>
      <c r="AE10" s="316"/>
      <c r="AF10" s="316"/>
      <c r="AG10" s="316"/>
      <c r="AH10" s="316"/>
      <c r="AI10" s="316"/>
      <c r="AJ10" s="316"/>
    </row>
    <row r="11" spans="1:36" ht="15.75" customHeight="1">
      <c r="C11" s="317" t="s">
        <v>368</v>
      </c>
      <c r="D11" s="171">
        <v>0.1</v>
      </c>
      <c r="E11" s="172">
        <v>0.1</v>
      </c>
      <c r="F11" s="172">
        <v>0.3</v>
      </c>
      <c r="G11" s="172">
        <v>0.2</v>
      </c>
      <c r="H11" s="173">
        <v>0.2</v>
      </c>
      <c r="I11" s="172">
        <v>0.2</v>
      </c>
      <c r="J11" s="174">
        <v>0.2</v>
      </c>
      <c r="K11" s="174">
        <v>0.2</v>
      </c>
      <c r="L11" s="174">
        <v>0.2</v>
      </c>
      <c r="M11" s="173">
        <v>0.2</v>
      </c>
      <c r="N11" s="318"/>
      <c r="O11" s="129">
        <v>0.5</v>
      </c>
      <c r="P11" s="130">
        <v>0.4</v>
      </c>
      <c r="Q11" s="131">
        <v>0.9</v>
      </c>
      <c r="R11" s="319"/>
      <c r="S11" s="129">
        <v>1</v>
      </c>
      <c r="T11" s="132">
        <v>0.11111111111111122</v>
      </c>
      <c r="U11" s="320"/>
      <c r="W11" s="320"/>
      <c r="X11" s="320"/>
      <c r="Y11" s="320"/>
      <c r="Z11" s="320"/>
      <c r="AA11" s="320"/>
      <c r="AB11" s="320"/>
      <c r="AC11" s="320"/>
      <c r="AD11" s="320"/>
      <c r="AE11" s="320"/>
      <c r="AF11" s="320"/>
      <c r="AG11" s="320"/>
      <c r="AH11" s="320"/>
      <c r="AI11" s="320"/>
      <c r="AJ11" s="320"/>
    </row>
    <row r="12" spans="1:36" ht="15.75" customHeight="1">
      <c r="C12" s="317" t="s">
        <v>369</v>
      </c>
      <c r="D12" s="171">
        <v>1.3</v>
      </c>
      <c r="E12" s="172">
        <v>2</v>
      </c>
      <c r="F12" s="172">
        <v>0.9</v>
      </c>
      <c r="G12" s="172">
        <v>1</v>
      </c>
      <c r="H12" s="173">
        <v>1.1000000000000001</v>
      </c>
      <c r="I12" s="172">
        <v>1.2</v>
      </c>
      <c r="J12" s="174">
        <v>1.2</v>
      </c>
      <c r="K12" s="174">
        <v>1.3</v>
      </c>
      <c r="L12" s="174">
        <v>1.3</v>
      </c>
      <c r="M12" s="173">
        <v>1.3</v>
      </c>
      <c r="N12" s="318"/>
      <c r="O12" s="129">
        <v>4.2</v>
      </c>
      <c r="P12" s="130">
        <v>2.1</v>
      </c>
      <c r="Q12" s="131">
        <v>6.3</v>
      </c>
      <c r="R12" s="319"/>
      <c r="S12" s="129">
        <v>6.3</v>
      </c>
      <c r="T12" s="132">
        <v>-1.4098070153970241E-16</v>
      </c>
      <c r="U12" s="320"/>
      <c r="W12" s="320"/>
      <c r="X12" s="320"/>
      <c r="Y12" s="320"/>
      <c r="Z12" s="320"/>
      <c r="AA12" s="320"/>
      <c r="AB12" s="320"/>
      <c r="AC12" s="320"/>
      <c r="AD12" s="320"/>
      <c r="AE12" s="320"/>
      <c r="AF12" s="320"/>
      <c r="AG12" s="320"/>
      <c r="AH12" s="320"/>
      <c r="AI12" s="320"/>
      <c r="AJ12" s="320"/>
    </row>
    <row r="13" spans="1:36" ht="15.75" customHeight="1">
      <c r="C13" s="317" t="s">
        <v>370</v>
      </c>
      <c r="D13" s="171">
        <v>2.2000000000000002</v>
      </c>
      <c r="E13" s="172">
        <v>1.6</v>
      </c>
      <c r="F13" s="172">
        <v>1.4</v>
      </c>
      <c r="G13" s="172">
        <v>2</v>
      </c>
      <c r="H13" s="173">
        <v>2.7</v>
      </c>
      <c r="I13" s="172">
        <v>2.6</v>
      </c>
      <c r="J13" s="174">
        <v>1.7999999999999998</v>
      </c>
      <c r="K13" s="174">
        <v>1.5</v>
      </c>
      <c r="L13" s="174">
        <v>1.1000000000000001</v>
      </c>
      <c r="M13" s="173">
        <v>0.8</v>
      </c>
      <c r="N13" s="318"/>
      <c r="O13" s="129">
        <v>5.2</v>
      </c>
      <c r="P13" s="130">
        <v>4.7</v>
      </c>
      <c r="Q13" s="131">
        <v>9.9</v>
      </c>
      <c r="R13" s="319"/>
      <c r="S13" s="129">
        <v>14.9</v>
      </c>
      <c r="T13" s="132">
        <v>0.50505050505050486</v>
      </c>
      <c r="U13" s="320"/>
      <c r="W13" s="320"/>
      <c r="X13" s="320"/>
      <c r="Y13" s="320"/>
      <c r="Z13" s="320"/>
      <c r="AA13" s="320"/>
      <c r="AB13" s="320"/>
      <c r="AC13" s="320"/>
      <c r="AD13" s="320"/>
      <c r="AE13" s="320"/>
      <c r="AF13" s="320"/>
      <c r="AG13" s="320"/>
      <c r="AH13" s="320"/>
      <c r="AI13" s="320"/>
      <c r="AJ13" s="320"/>
    </row>
    <row r="14" spans="1:36" ht="15.75" customHeight="1">
      <c r="C14" s="317" t="s">
        <v>371</v>
      </c>
      <c r="D14" s="171">
        <v>1.3</v>
      </c>
      <c r="E14" s="172">
        <v>2</v>
      </c>
      <c r="F14" s="172">
        <v>1.1000000000000001</v>
      </c>
      <c r="G14" s="172">
        <v>0.9</v>
      </c>
      <c r="H14" s="173">
        <v>0.8</v>
      </c>
      <c r="I14" s="172">
        <v>1.2</v>
      </c>
      <c r="J14" s="174">
        <v>0.2</v>
      </c>
      <c r="K14" s="174">
        <v>0.6</v>
      </c>
      <c r="L14" s="174">
        <v>0.6</v>
      </c>
      <c r="M14" s="173">
        <v>0.6</v>
      </c>
      <c r="N14" s="318"/>
      <c r="O14" s="129">
        <v>4.4000000000000004</v>
      </c>
      <c r="P14" s="130">
        <v>1.7</v>
      </c>
      <c r="Q14" s="131">
        <v>6.1</v>
      </c>
      <c r="R14" s="319"/>
      <c r="S14" s="129">
        <v>6.8</v>
      </c>
      <c r="T14" s="132">
        <v>0.11475409836065562</v>
      </c>
      <c r="U14" s="320"/>
      <c r="W14" s="320" t="s">
        <v>67</v>
      </c>
      <c r="X14" s="320"/>
      <c r="Y14" s="320"/>
      <c r="Z14" s="320"/>
      <c r="AA14" s="320"/>
      <c r="AB14" s="320"/>
      <c r="AC14" s="320"/>
      <c r="AD14" s="320"/>
      <c r="AE14" s="320"/>
      <c r="AF14" s="320"/>
      <c r="AG14" s="320"/>
      <c r="AH14" s="320"/>
      <c r="AI14" s="320"/>
      <c r="AJ14" s="320"/>
    </row>
    <row r="15" spans="1:36" ht="15.75" customHeight="1">
      <c r="C15" s="180" t="s">
        <v>372</v>
      </c>
      <c r="D15" s="257"/>
      <c r="E15" s="258"/>
      <c r="F15" s="258"/>
      <c r="G15" s="172">
        <v>0</v>
      </c>
      <c r="H15" s="173">
        <v>0</v>
      </c>
      <c r="I15" s="172">
        <v>0</v>
      </c>
      <c r="J15" s="174">
        <v>0</v>
      </c>
      <c r="K15" s="174">
        <v>0</v>
      </c>
      <c r="L15" s="174">
        <v>0</v>
      </c>
      <c r="M15" s="173">
        <v>0</v>
      </c>
      <c r="N15" s="319"/>
      <c r="O15" s="129">
        <v>0</v>
      </c>
      <c r="P15" s="130">
        <v>0</v>
      </c>
      <c r="Q15" s="131">
        <v>0</v>
      </c>
      <c r="R15" s="319"/>
      <c r="S15" s="129">
        <v>0</v>
      </c>
      <c r="T15" s="132" t="s">
        <v>1024</v>
      </c>
      <c r="U15" s="320"/>
      <c r="W15" s="320"/>
      <c r="X15" s="320"/>
      <c r="Y15" s="320"/>
      <c r="Z15" s="320"/>
      <c r="AA15" s="320"/>
      <c r="AB15" s="320"/>
      <c r="AC15" s="320"/>
      <c r="AD15" s="320"/>
      <c r="AE15" s="320"/>
      <c r="AF15" s="320"/>
      <c r="AG15" s="320"/>
      <c r="AH15" s="320"/>
      <c r="AI15" s="320"/>
      <c r="AJ15" s="320"/>
    </row>
    <row r="16" spans="1:36" ht="15.75" customHeight="1">
      <c r="C16" s="180" t="s">
        <v>220</v>
      </c>
      <c r="D16" s="137">
        <v>4.9000000000000004</v>
      </c>
      <c r="E16" s="140">
        <v>5.7</v>
      </c>
      <c r="F16" s="140">
        <v>3.7</v>
      </c>
      <c r="G16" s="140">
        <v>4.0999999999999996</v>
      </c>
      <c r="H16" s="139">
        <v>4.8</v>
      </c>
      <c r="I16" s="140">
        <f>SUM(I11:I15)</f>
        <v>5.2</v>
      </c>
      <c r="J16" s="140">
        <f>SUM(J11:J15)</f>
        <v>3.4</v>
      </c>
      <c r="K16" s="140">
        <f>SUM(K11:K15)</f>
        <v>3.6</v>
      </c>
      <c r="L16" s="140">
        <f>SUM(L11:L15)</f>
        <v>3.2</v>
      </c>
      <c r="M16" s="140">
        <f>SUM(M11:M15)</f>
        <v>2.9</v>
      </c>
      <c r="N16" s="321"/>
      <c r="O16" s="137">
        <v>14.3</v>
      </c>
      <c r="P16" s="138">
        <v>8.9</v>
      </c>
      <c r="Q16" s="139">
        <v>23.2</v>
      </c>
      <c r="R16" s="321"/>
      <c r="S16" s="137">
        <v>29</v>
      </c>
      <c r="T16" s="322">
        <v>0.25</v>
      </c>
      <c r="U16" s="323"/>
      <c r="W16" s="323"/>
      <c r="X16" s="323"/>
      <c r="Y16" s="323"/>
      <c r="Z16" s="323"/>
      <c r="AA16" s="323"/>
      <c r="AB16" s="323"/>
      <c r="AC16" s="323"/>
      <c r="AD16" s="323"/>
      <c r="AE16" s="323"/>
      <c r="AF16" s="323"/>
      <c r="AG16" s="323"/>
      <c r="AH16" s="323"/>
      <c r="AI16" s="323"/>
      <c r="AJ16" s="323"/>
    </row>
    <row r="17" spans="1:36" ht="15.75" customHeight="1">
      <c r="C17" s="180"/>
      <c r="D17" s="324"/>
      <c r="E17" s="325"/>
      <c r="F17" s="325"/>
      <c r="G17" s="325"/>
      <c r="H17" s="326"/>
      <c r="I17" s="325"/>
      <c r="J17" s="325"/>
      <c r="K17" s="325"/>
      <c r="L17" s="325"/>
      <c r="M17" s="326"/>
      <c r="N17" s="318"/>
      <c r="O17" s="324"/>
      <c r="P17" s="327"/>
      <c r="Q17" s="328"/>
      <c r="R17" s="318"/>
      <c r="S17" s="324"/>
      <c r="T17" s="329"/>
      <c r="U17" s="320"/>
      <c r="W17" s="320"/>
      <c r="X17" s="320"/>
      <c r="Y17" s="320"/>
      <c r="Z17" s="320"/>
      <c r="AA17" s="320"/>
      <c r="AB17" s="320"/>
      <c r="AC17" s="320"/>
      <c r="AD17" s="320"/>
      <c r="AE17" s="320"/>
      <c r="AF17" s="320"/>
      <c r="AG17" s="320"/>
      <c r="AH17" s="320"/>
      <c r="AI17" s="320"/>
      <c r="AJ17" s="320"/>
    </row>
    <row r="18" spans="1:36" ht="15.75" customHeight="1">
      <c r="C18" s="180" t="s">
        <v>277</v>
      </c>
      <c r="D18" s="257"/>
      <c r="E18" s="258"/>
      <c r="F18" s="258"/>
      <c r="G18" s="172">
        <v>0</v>
      </c>
      <c r="H18" s="173">
        <v>0</v>
      </c>
      <c r="I18" s="172">
        <v>0</v>
      </c>
      <c r="J18" s="174">
        <v>0</v>
      </c>
      <c r="K18" s="174">
        <v>0</v>
      </c>
      <c r="L18" s="174">
        <v>0</v>
      </c>
      <c r="M18" s="173">
        <v>0</v>
      </c>
      <c r="N18" s="319"/>
      <c r="O18" s="129">
        <v>0</v>
      </c>
      <c r="P18" s="130">
        <v>0</v>
      </c>
      <c r="Q18" s="131">
        <v>0</v>
      </c>
      <c r="R18" s="319"/>
      <c r="S18" s="129">
        <v>0</v>
      </c>
      <c r="T18" s="132" t="s">
        <v>1024</v>
      </c>
      <c r="U18" s="320"/>
      <c r="W18" s="320"/>
      <c r="X18" s="320"/>
      <c r="Y18" s="320"/>
      <c r="Z18" s="320"/>
      <c r="AA18" s="320"/>
      <c r="AB18" s="320"/>
      <c r="AC18" s="320"/>
      <c r="AD18" s="320"/>
      <c r="AE18" s="320"/>
      <c r="AF18" s="320"/>
      <c r="AG18" s="320"/>
      <c r="AH18" s="320"/>
      <c r="AI18" s="320"/>
      <c r="AJ18" s="320"/>
    </row>
    <row r="19" spans="1:36" ht="15.75" customHeight="1" thickBot="1">
      <c r="C19" s="188" t="s">
        <v>278</v>
      </c>
      <c r="D19" s="261"/>
      <c r="E19" s="262"/>
      <c r="F19" s="262"/>
      <c r="G19" s="263">
        <v>0</v>
      </c>
      <c r="H19" s="264">
        <v>0</v>
      </c>
      <c r="I19" s="263">
        <v>0</v>
      </c>
      <c r="J19" s="265">
        <v>0</v>
      </c>
      <c r="K19" s="265">
        <v>0</v>
      </c>
      <c r="L19" s="265">
        <v>0</v>
      </c>
      <c r="M19" s="264">
        <v>0</v>
      </c>
      <c r="N19" s="319"/>
      <c r="O19" s="147">
        <v>0</v>
      </c>
      <c r="P19" s="148">
        <v>0</v>
      </c>
      <c r="Q19" s="149">
        <v>0</v>
      </c>
      <c r="R19" s="319"/>
      <c r="S19" s="147">
        <v>0</v>
      </c>
      <c r="T19" s="150" t="s">
        <v>1024</v>
      </c>
      <c r="U19" s="320"/>
      <c r="W19" s="320"/>
      <c r="X19" s="320"/>
      <c r="Y19" s="320"/>
      <c r="Z19" s="320"/>
      <c r="AA19" s="320"/>
      <c r="AB19" s="320"/>
      <c r="AC19" s="320"/>
      <c r="AD19" s="320"/>
      <c r="AE19" s="320"/>
      <c r="AF19" s="320"/>
      <c r="AG19" s="320"/>
      <c r="AH19" s="320"/>
      <c r="AI19" s="320"/>
      <c r="AJ19" s="320"/>
    </row>
    <row r="20" spans="1:36">
      <c r="U20" s="330"/>
    </row>
    <row r="21" spans="1:36" s="331" customFormat="1"/>
    <row r="22" spans="1:36" s="331" customFormat="1">
      <c r="B22" s="153" t="s">
        <v>373</v>
      </c>
    </row>
    <row r="23" spans="1:36" s="331" customFormat="1" ht="13.5" thickBot="1">
      <c r="A23" s="153"/>
      <c r="B23" s="153"/>
    </row>
    <row r="24" spans="1:36" s="331" customFormat="1" ht="27" customHeight="1">
      <c r="A24" s="153"/>
      <c r="B24" s="153"/>
      <c r="C24" s="1243" t="s">
        <v>374</v>
      </c>
      <c r="D24" s="109" t="s">
        <v>375</v>
      </c>
      <c r="E24" s="110"/>
      <c r="F24" s="110"/>
      <c r="G24" s="332"/>
      <c r="H24" s="109" t="s">
        <v>376</v>
      </c>
      <c r="I24" s="110"/>
      <c r="J24" s="110"/>
      <c r="K24" s="332"/>
      <c r="L24" s="333" t="s">
        <v>375</v>
      </c>
      <c r="M24" s="334" t="s">
        <v>376</v>
      </c>
    </row>
    <row r="25" spans="1:36" s="331" customFormat="1">
      <c r="A25" s="153"/>
      <c r="B25" s="153"/>
      <c r="C25" s="1244"/>
      <c r="D25" s="335" t="s">
        <v>377</v>
      </c>
      <c r="E25" s="336" t="s">
        <v>378</v>
      </c>
      <c r="F25" s="336" t="s">
        <v>379</v>
      </c>
      <c r="G25" s="337" t="s">
        <v>380</v>
      </c>
      <c r="H25" s="335" t="s">
        <v>377</v>
      </c>
      <c r="I25" s="336" t="s">
        <v>378</v>
      </c>
      <c r="J25" s="336" t="s">
        <v>379</v>
      </c>
      <c r="K25" s="337" t="s">
        <v>380</v>
      </c>
      <c r="L25" s="338" t="s">
        <v>220</v>
      </c>
      <c r="M25" s="339" t="s">
        <v>220</v>
      </c>
    </row>
    <row r="26" spans="1:36" s="331" customFormat="1" ht="15.75" customHeight="1">
      <c r="A26" s="153"/>
      <c r="B26" s="153"/>
      <c r="C26" s="340" t="s">
        <v>381</v>
      </c>
      <c r="D26" s="341"/>
      <c r="E26" s="342"/>
      <c r="F26" s="342"/>
      <c r="G26" s="343"/>
      <c r="H26" s="341"/>
      <c r="I26" s="342"/>
      <c r="J26" s="342"/>
      <c r="K26" s="343"/>
      <c r="L26" s="344">
        <f>SUM(D26:G26)</f>
        <v>0</v>
      </c>
      <c r="M26" s="345">
        <f>SUM(H26:K26)</f>
        <v>0</v>
      </c>
    </row>
    <row r="27" spans="1:36" s="331" customFormat="1" ht="15.75" customHeight="1">
      <c r="A27" s="153"/>
      <c r="B27" s="153"/>
      <c r="C27" s="346" t="s">
        <v>382</v>
      </c>
      <c r="D27" s="341"/>
      <c r="E27" s="342"/>
      <c r="F27" s="342"/>
      <c r="G27" s="343"/>
      <c r="H27" s="341"/>
      <c r="I27" s="342"/>
      <c r="J27" s="342"/>
      <c r="K27" s="343"/>
      <c r="L27" s="344">
        <f>SUM(D27:G27)</f>
        <v>0</v>
      </c>
      <c r="M27" s="345">
        <f>SUM(H27:K27)</f>
        <v>0</v>
      </c>
    </row>
    <row r="28" spans="1:36" s="331" customFormat="1" ht="15.75" customHeight="1">
      <c r="A28" s="153"/>
      <c r="B28" s="153"/>
      <c r="C28" s="346" t="s">
        <v>383</v>
      </c>
      <c r="D28" s="341"/>
      <c r="E28" s="342"/>
      <c r="F28" s="342"/>
      <c r="G28" s="343"/>
      <c r="H28" s="341"/>
      <c r="I28" s="342"/>
      <c r="J28" s="342"/>
      <c r="K28" s="343"/>
      <c r="L28" s="344">
        <f>SUM(D28:G28)</f>
        <v>0</v>
      </c>
      <c r="M28" s="345">
        <f>SUM(H28:K28)</f>
        <v>0</v>
      </c>
    </row>
    <row r="29" spans="1:36" s="331" customFormat="1" ht="15.75" customHeight="1" thickBot="1">
      <c r="A29" s="153"/>
      <c r="B29" s="153"/>
      <c r="C29" s="347" t="s">
        <v>384</v>
      </c>
      <c r="D29" s="348" t="str">
        <f>IF(D27,D27/D28,"-")</f>
        <v>-</v>
      </c>
      <c r="E29" s="349" t="str">
        <f t="shared" ref="E29:M29" si="0">IF(E27,E27/E28,"-")</f>
        <v>-</v>
      </c>
      <c r="F29" s="349" t="str">
        <f t="shared" si="0"/>
        <v>-</v>
      </c>
      <c r="G29" s="350" t="str">
        <f t="shared" si="0"/>
        <v>-</v>
      </c>
      <c r="H29" s="348" t="str">
        <f t="shared" si="0"/>
        <v>-</v>
      </c>
      <c r="I29" s="349" t="str">
        <f t="shared" si="0"/>
        <v>-</v>
      </c>
      <c r="J29" s="349" t="str">
        <f t="shared" si="0"/>
        <v>-</v>
      </c>
      <c r="K29" s="350" t="str">
        <f t="shared" si="0"/>
        <v>-</v>
      </c>
      <c r="L29" s="351" t="str">
        <f t="shared" si="0"/>
        <v>-</v>
      </c>
      <c r="M29" s="352" t="str">
        <f t="shared" si="0"/>
        <v>-</v>
      </c>
    </row>
    <row r="30" spans="1:36" s="331" customFormat="1">
      <c r="A30" s="153"/>
      <c r="B30" s="153"/>
      <c r="C30" s="353"/>
      <c r="D30" s="354"/>
      <c r="E30" s="354"/>
      <c r="F30" s="354"/>
      <c r="G30" s="354"/>
    </row>
    <row r="31" spans="1:36" s="331" customFormat="1" ht="13.5" thickBot="1">
      <c r="A31" s="153"/>
      <c r="B31" s="153"/>
      <c r="C31" s="353"/>
      <c r="D31" s="354"/>
      <c r="E31" s="354"/>
      <c r="F31" s="354"/>
      <c r="G31" s="354"/>
    </row>
    <row r="32" spans="1:36" s="331" customFormat="1" ht="39" customHeight="1">
      <c r="A32" s="153"/>
      <c r="B32" s="153"/>
      <c r="C32" s="1254" t="s">
        <v>385</v>
      </c>
      <c r="D32" s="109" t="s">
        <v>375</v>
      </c>
      <c r="E32" s="110"/>
      <c r="F32" s="110"/>
      <c r="G32" s="332"/>
      <c r="H32" s="109" t="s">
        <v>376</v>
      </c>
      <c r="I32" s="110"/>
      <c r="J32" s="110"/>
      <c r="K32" s="332"/>
      <c r="L32" s="333" t="s">
        <v>375</v>
      </c>
      <c r="M32" s="334" t="s">
        <v>376</v>
      </c>
    </row>
    <row r="33" spans="1:43" s="331" customFormat="1" ht="15.75" customHeight="1">
      <c r="A33" s="153"/>
      <c r="B33" s="153"/>
      <c r="C33" s="1255"/>
      <c r="D33" s="335" t="s">
        <v>377</v>
      </c>
      <c r="E33" s="336" t="s">
        <v>378</v>
      </c>
      <c r="F33" s="336" t="s">
        <v>379</v>
      </c>
      <c r="G33" s="337" t="s">
        <v>380</v>
      </c>
      <c r="H33" s="335" t="s">
        <v>377</v>
      </c>
      <c r="I33" s="336" t="s">
        <v>378</v>
      </c>
      <c r="J33" s="336" t="s">
        <v>379</v>
      </c>
      <c r="K33" s="337" t="s">
        <v>380</v>
      </c>
      <c r="L33" s="338" t="s">
        <v>220</v>
      </c>
      <c r="M33" s="339" t="s">
        <v>220</v>
      </c>
    </row>
    <row r="34" spans="1:43" s="331" customFormat="1" ht="25.5">
      <c r="A34" s="153"/>
      <c r="B34" s="153"/>
      <c r="C34" s="355" t="s">
        <v>386</v>
      </c>
      <c r="D34" s="341"/>
      <c r="E34" s="342"/>
      <c r="F34" s="342"/>
      <c r="G34" s="343"/>
      <c r="H34" s="341"/>
      <c r="I34" s="342"/>
      <c r="J34" s="342"/>
      <c r="K34" s="343"/>
      <c r="L34" s="344">
        <f t="shared" ref="L34:L39" si="1">SUM(D34:G34)</f>
        <v>0</v>
      </c>
      <c r="M34" s="345">
        <f t="shared" ref="M34:M39" si="2">SUM(H34:K34)</f>
        <v>0</v>
      </c>
    </row>
    <row r="35" spans="1:43" s="331" customFormat="1" ht="25.5">
      <c r="A35" s="153"/>
      <c r="B35" s="153"/>
      <c r="C35" s="355" t="s">
        <v>387</v>
      </c>
      <c r="D35" s="341"/>
      <c r="E35" s="342"/>
      <c r="F35" s="342"/>
      <c r="G35" s="343"/>
      <c r="H35" s="341"/>
      <c r="I35" s="342"/>
      <c r="J35" s="342"/>
      <c r="K35" s="343"/>
      <c r="L35" s="344">
        <f t="shared" si="1"/>
        <v>0</v>
      </c>
      <c r="M35" s="345">
        <f t="shared" si="2"/>
        <v>0</v>
      </c>
    </row>
    <row r="36" spans="1:43" s="331" customFormat="1" ht="25.5">
      <c r="A36" s="153"/>
      <c r="B36" s="153"/>
      <c r="C36" s="355" t="s">
        <v>388</v>
      </c>
      <c r="D36" s="341"/>
      <c r="E36" s="342"/>
      <c r="F36" s="342"/>
      <c r="G36" s="343"/>
      <c r="H36" s="341"/>
      <c r="I36" s="342"/>
      <c r="J36" s="342"/>
      <c r="K36" s="343"/>
      <c r="L36" s="344">
        <f t="shared" si="1"/>
        <v>0</v>
      </c>
      <c r="M36" s="345">
        <f t="shared" si="2"/>
        <v>0</v>
      </c>
    </row>
    <row r="37" spans="1:43" s="331" customFormat="1" ht="38.25">
      <c r="A37" s="153"/>
      <c r="B37" s="153"/>
      <c r="C37" s="355" t="s">
        <v>389</v>
      </c>
      <c r="D37" s="356"/>
      <c r="E37" s="357"/>
      <c r="F37" s="357"/>
      <c r="G37" s="358"/>
      <c r="H37" s="356"/>
      <c r="I37" s="357"/>
      <c r="J37" s="357"/>
      <c r="K37" s="358"/>
      <c r="L37" s="359" t="str">
        <f t="shared" ref="L37:M37" si="3">IF(L35,L35/L36,"-")</f>
        <v>-</v>
      </c>
      <c r="M37" s="360" t="str">
        <f t="shared" si="3"/>
        <v>-</v>
      </c>
    </row>
    <row r="38" spans="1:43" s="331" customFormat="1" ht="25.5">
      <c r="A38" s="153"/>
      <c r="B38" s="153"/>
      <c r="C38" s="355" t="s">
        <v>390</v>
      </c>
      <c r="D38" s="341"/>
      <c r="E38" s="342"/>
      <c r="F38" s="342"/>
      <c r="G38" s="343"/>
      <c r="H38" s="341"/>
      <c r="I38" s="342"/>
      <c r="J38" s="342"/>
      <c r="K38" s="343"/>
      <c r="L38" s="344">
        <f t="shared" si="1"/>
        <v>0</v>
      </c>
      <c r="M38" s="345">
        <f t="shared" si="2"/>
        <v>0</v>
      </c>
    </row>
    <row r="39" spans="1:43" s="331" customFormat="1" ht="26.25" thickBot="1">
      <c r="A39" s="153"/>
      <c r="B39" s="153"/>
      <c r="C39" s="361" t="s">
        <v>391</v>
      </c>
      <c r="D39" s="362"/>
      <c r="E39" s="363"/>
      <c r="F39" s="363"/>
      <c r="G39" s="364"/>
      <c r="H39" s="362"/>
      <c r="I39" s="363"/>
      <c r="J39" s="363"/>
      <c r="K39" s="364"/>
      <c r="L39" s="365">
        <f t="shared" si="1"/>
        <v>0</v>
      </c>
      <c r="M39" s="366">
        <f t="shared" si="2"/>
        <v>0</v>
      </c>
    </row>
    <row r="41" spans="1:43" ht="15.75" customHeight="1">
      <c r="B41" s="153" t="s">
        <v>392</v>
      </c>
    </row>
    <row r="42" spans="1:43" ht="13.5" thickBot="1"/>
    <row r="43" spans="1:43" ht="13.5" thickBot="1">
      <c r="B43" s="367"/>
      <c r="C43" s="1256" t="s">
        <v>393</v>
      </c>
      <c r="D43" s="1257"/>
      <c r="E43" s="1257"/>
      <c r="F43" s="1257"/>
      <c r="G43" s="1257"/>
      <c r="H43" s="1257"/>
      <c r="I43" s="1257"/>
      <c r="J43" s="1257"/>
      <c r="K43" s="1258"/>
      <c r="L43" s="1251" t="s">
        <v>394</v>
      </c>
      <c r="M43" s="1252"/>
      <c r="N43" s="1252"/>
      <c r="O43" s="1252"/>
      <c r="P43" s="1253"/>
      <c r="Q43" s="1251" t="s">
        <v>395</v>
      </c>
      <c r="R43" s="1252"/>
      <c r="S43" s="1252"/>
      <c r="T43" s="1252"/>
      <c r="U43" s="1253"/>
      <c r="V43" s="1240" t="s">
        <v>396</v>
      </c>
      <c r="W43" s="1241"/>
      <c r="X43" s="1241"/>
      <c r="Y43" s="1241"/>
      <c r="Z43" s="1241"/>
      <c r="AA43" s="1241"/>
      <c r="AB43" s="1241"/>
      <c r="AC43" s="1241"/>
      <c r="AD43" s="1241"/>
      <c r="AE43" s="1241"/>
      <c r="AF43" s="1241"/>
      <c r="AG43" s="1241"/>
      <c r="AH43" s="1241"/>
      <c r="AI43" s="1242"/>
      <c r="AJ43" s="1243" t="s">
        <v>397</v>
      </c>
      <c r="AK43" s="368" t="s">
        <v>398</v>
      </c>
    </row>
    <row r="44" spans="1:43" ht="78.75" customHeight="1">
      <c r="B44" s="369"/>
      <c r="C44" s="370" t="s">
        <v>399</v>
      </c>
      <c r="D44" s="371" t="s">
        <v>400</v>
      </c>
      <c r="E44" s="371" t="s">
        <v>401</v>
      </c>
      <c r="F44" s="371" t="s">
        <v>402</v>
      </c>
      <c r="G44" s="371" t="s">
        <v>403</v>
      </c>
      <c r="H44" s="371" t="s">
        <v>404</v>
      </c>
      <c r="I44" s="371" t="s">
        <v>405</v>
      </c>
      <c r="J44" s="371" t="s">
        <v>406</v>
      </c>
      <c r="K44" s="372" t="s">
        <v>407</v>
      </c>
      <c r="L44" s="301" t="s">
        <v>99</v>
      </c>
      <c r="M44" s="121" t="s">
        <v>100</v>
      </c>
      <c r="N44" s="121" t="s">
        <v>101</v>
      </c>
      <c r="O44" s="121" t="s">
        <v>102</v>
      </c>
      <c r="P44" s="122" t="s">
        <v>64</v>
      </c>
      <c r="Q44" s="120" t="s">
        <v>213</v>
      </c>
      <c r="R44" s="121" t="s">
        <v>214</v>
      </c>
      <c r="S44" s="121" t="s">
        <v>215</v>
      </c>
      <c r="T44" s="121" t="s">
        <v>216</v>
      </c>
      <c r="U44" s="122" t="s">
        <v>217</v>
      </c>
      <c r="V44" s="1245" t="s">
        <v>408</v>
      </c>
      <c r="W44" s="1246"/>
      <c r="X44" s="1246"/>
      <c r="Y44" s="1246"/>
      <c r="Z44" s="1246"/>
      <c r="AA44" s="1246"/>
      <c r="AB44" s="1246"/>
      <c r="AC44" s="1246"/>
      <c r="AD44" s="1246"/>
      <c r="AE44" s="1247"/>
      <c r="AF44" s="117" t="s">
        <v>409</v>
      </c>
      <c r="AG44" s="117" t="s">
        <v>410</v>
      </c>
      <c r="AH44" s="117" t="s">
        <v>411</v>
      </c>
      <c r="AI44" s="117" t="s">
        <v>412</v>
      </c>
      <c r="AJ44" s="1244"/>
      <c r="AK44" s="373" t="s">
        <v>413</v>
      </c>
    </row>
    <row r="45" spans="1:43" ht="15.75" customHeight="1" thickBot="1">
      <c r="B45" s="185"/>
      <c r="C45" s="302" t="s">
        <v>414</v>
      </c>
      <c r="D45" s="374" t="s">
        <v>415</v>
      </c>
      <c r="E45" s="374" t="s">
        <v>415</v>
      </c>
      <c r="F45" s="303" t="s">
        <v>416</v>
      </c>
      <c r="G45" s="375" t="s">
        <v>417</v>
      </c>
      <c r="H45" s="375" t="s">
        <v>417</v>
      </c>
      <c r="I45" s="303" t="s">
        <v>418</v>
      </c>
      <c r="J45" s="303" t="s">
        <v>366</v>
      </c>
      <c r="K45" s="304" t="s">
        <v>366</v>
      </c>
      <c r="L45" s="309" t="s">
        <v>366</v>
      </c>
      <c r="M45" s="307" t="s">
        <v>366</v>
      </c>
      <c r="N45" s="307" t="s">
        <v>366</v>
      </c>
      <c r="O45" s="307" t="s">
        <v>366</v>
      </c>
      <c r="P45" s="308" t="s">
        <v>366</v>
      </c>
      <c r="Q45" s="306" t="s">
        <v>366</v>
      </c>
      <c r="R45" s="307" t="s">
        <v>366</v>
      </c>
      <c r="S45" s="307" t="s">
        <v>366</v>
      </c>
      <c r="T45" s="307" t="s">
        <v>366</v>
      </c>
      <c r="U45" s="308" t="s">
        <v>366</v>
      </c>
      <c r="V45" s="376" t="s">
        <v>99</v>
      </c>
      <c r="W45" s="377" t="s">
        <v>100</v>
      </c>
      <c r="X45" s="377" t="s">
        <v>101</v>
      </c>
      <c r="Y45" s="377" t="s">
        <v>102</v>
      </c>
      <c r="Z45" s="377" t="s">
        <v>64</v>
      </c>
      <c r="AA45" s="377" t="s">
        <v>213</v>
      </c>
      <c r="AB45" s="377" t="s">
        <v>214</v>
      </c>
      <c r="AC45" s="377" t="s">
        <v>215</v>
      </c>
      <c r="AD45" s="377" t="s">
        <v>216</v>
      </c>
      <c r="AE45" s="378" t="s">
        <v>217</v>
      </c>
      <c r="AF45" s="379" t="s">
        <v>418</v>
      </c>
      <c r="AG45" s="380" t="s">
        <v>418</v>
      </c>
      <c r="AH45" s="380" t="s">
        <v>418</v>
      </c>
      <c r="AI45" s="380" t="s">
        <v>419</v>
      </c>
      <c r="AJ45" s="381" t="s">
        <v>420</v>
      </c>
      <c r="AK45" s="382" t="s">
        <v>421</v>
      </c>
    </row>
    <row r="46" spans="1:43" s="383" customFormat="1" ht="15.75" customHeight="1">
      <c r="B46" s="384">
        <v>1</v>
      </c>
      <c r="C46" s="385"/>
      <c r="D46" s="385" t="s">
        <v>1026</v>
      </c>
      <c r="E46" s="385"/>
      <c r="F46" s="385" t="s">
        <v>1027</v>
      </c>
      <c r="G46" s="386" t="s">
        <v>63</v>
      </c>
      <c r="H46" s="386"/>
      <c r="I46" s="386">
        <v>10</v>
      </c>
      <c r="J46" s="387">
        <v>0.6</v>
      </c>
      <c r="K46" s="388"/>
      <c r="L46" s="387"/>
      <c r="M46" s="389"/>
      <c r="N46" s="389"/>
      <c r="O46" s="389"/>
      <c r="P46" s="390"/>
      <c r="Q46" s="389">
        <v>0.6</v>
      </c>
      <c r="R46" s="391">
        <v>0</v>
      </c>
      <c r="S46" s="391">
        <v>0</v>
      </c>
      <c r="T46" s="391">
        <v>0</v>
      </c>
      <c r="U46" s="390">
        <v>0</v>
      </c>
      <c r="V46" s="392"/>
      <c r="W46" s="393"/>
      <c r="X46" s="393"/>
      <c r="Y46" s="393"/>
      <c r="Z46" s="394"/>
      <c r="AA46" s="392"/>
      <c r="AB46" s="393"/>
      <c r="AC46" s="393"/>
      <c r="AD46" s="393"/>
      <c r="AE46" s="394"/>
      <c r="AF46" s="389"/>
      <c r="AG46" s="391"/>
      <c r="AH46" s="391"/>
      <c r="AI46" s="395"/>
      <c r="AJ46" s="396"/>
      <c r="AK46" s="397" t="s">
        <v>1028</v>
      </c>
      <c r="AL46" s="398"/>
      <c r="AM46" s="398"/>
      <c r="AN46" s="398"/>
      <c r="AO46" s="398"/>
      <c r="AP46" s="398"/>
      <c r="AQ46" s="398"/>
    </row>
    <row r="47" spans="1:43" s="383" customFormat="1" ht="15.75" customHeight="1">
      <c r="B47" s="399">
        <v>2</v>
      </c>
      <c r="C47" s="385"/>
      <c r="D47" s="385">
        <v>33</v>
      </c>
      <c r="E47" s="385"/>
      <c r="F47" s="385" t="s">
        <v>1029</v>
      </c>
      <c r="G47" s="386" t="s">
        <v>63</v>
      </c>
      <c r="H47" s="386"/>
      <c r="I47" s="386">
        <v>4.5999999999999996</v>
      </c>
      <c r="J47" s="387">
        <v>1.4</v>
      </c>
      <c r="K47" s="388"/>
      <c r="L47" s="387"/>
      <c r="M47" s="389"/>
      <c r="N47" s="389"/>
      <c r="O47" s="389"/>
      <c r="P47" s="390"/>
      <c r="Q47" s="389">
        <v>0</v>
      </c>
      <c r="R47" s="391">
        <v>0.7</v>
      </c>
      <c r="S47" s="391">
        <v>0.7</v>
      </c>
      <c r="T47" s="391">
        <v>0</v>
      </c>
      <c r="U47" s="390">
        <v>0</v>
      </c>
      <c r="V47" s="387"/>
      <c r="W47" s="391"/>
      <c r="X47" s="391"/>
      <c r="Y47" s="391"/>
      <c r="Z47" s="390"/>
      <c r="AA47" s="387"/>
      <c r="AB47" s="391"/>
      <c r="AC47" s="391"/>
      <c r="AD47" s="391"/>
      <c r="AE47" s="390"/>
      <c r="AF47" s="389"/>
      <c r="AG47" s="391"/>
      <c r="AH47" s="391"/>
      <c r="AI47" s="395"/>
      <c r="AJ47" s="396"/>
      <c r="AK47" s="397" t="s">
        <v>1030</v>
      </c>
      <c r="AL47" s="398"/>
      <c r="AM47" s="398"/>
      <c r="AN47" s="398"/>
      <c r="AO47" s="398"/>
      <c r="AP47" s="398"/>
      <c r="AQ47" s="398"/>
    </row>
    <row r="48" spans="1:43" s="383" customFormat="1" ht="15.75" customHeight="1">
      <c r="B48" s="399">
        <v>3</v>
      </c>
      <c r="C48" s="385"/>
      <c r="D48" s="385">
        <v>33</v>
      </c>
      <c r="E48" s="385"/>
      <c r="F48" s="385" t="s">
        <v>1027</v>
      </c>
      <c r="G48" s="386" t="s">
        <v>214</v>
      </c>
      <c r="H48" s="386"/>
      <c r="I48" s="386">
        <v>3</v>
      </c>
      <c r="J48" s="387">
        <v>0.45</v>
      </c>
      <c r="K48" s="388"/>
      <c r="L48" s="387"/>
      <c r="M48" s="389"/>
      <c r="N48" s="389"/>
      <c r="O48" s="389"/>
      <c r="P48" s="390"/>
      <c r="Q48" s="389">
        <v>0</v>
      </c>
      <c r="R48" s="391">
        <v>0.45</v>
      </c>
      <c r="S48" s="391">
        <v>0</v>
      </c>
      <c r="T48" s="391">
        <v>0</v>
      </c>
      <c r="U48" s="390">
        <v>0</v>
      </c>
      <c r="V48" s="387"/>
      <c r="W48" s="391"/>
      <c r="X48" s="391"/>
      <c r="Y48" s="391"/>
      <c r="Z48" s="390"/>
      <c r="AA48" s="387"/>
      <c r="AB48" s="391"/>
      <c r="AC48" s="391"/>
      <c r="AD48" s="391"/>
      <c r="AE48" s="390"/>
      <c r="AF48" s="389"/>
      <c r="AG48" s="391"/>
      <c r="AH48" s="391"/>
      <c r="AI48" s="395"/>
      <c r="AJ48" s="396"/>
      <c r="AK48" s="397" t="s">
        <v>1031</v>
      </c>
      <c r="AL48" s="398"/>
      <c r="AM48" s="398"/>
      <c r="AN48" s="398"/>
      <c r="AO48" s="398"/>
      <c r="AP48" s="398"/>
      <c r="AQ48" s="398"/>
    </row>
    <row r="49" spans="2:43" s="383" customFormat="1" ht="15.75" customHeight="1">
      <c r="B49" s="399">
        <v>4</v>
      </c>
      <c r="C49" s="385"/>
      <c r="D49" s="385">
        <v>33</v>
      </c>
      <c r="E49" s="385"/>
      <c r="F49" s="385" t="s">
        <v>1032</v>
      </c>
      <c r="G49" s="386" t="s">
        <v>217</v>
      </c>
      <c r="H49" s="386"/>
      <c r="I49" s="386">
        <v>23</v>
      </c>
      <c r="J49" s="387">
        <v>0.8</v>
      </c>
      <c r="K49" s="388"/>
      <c r="L49" s="387"/>
      <c r="M49" s="389"/>
      <c r="N49" s="389"/>
      <c r="O49" s="389"/>
      <c r="P49" s="390"/>
      <c r="Q49" s="389">
        <v>0</v>
      </c>
      <c r="R49" s="391">
        <v>0</v>
      </c>
      <c r="S49" s="391">
        <v>0</v>
      </c>
      <c r="T49" s="391">
        <v>0.6</v>
      </c>
      <c r="U49" s="390">
        <v>0.2</v>
      </c>
      <c r="V49" s="387"/>
      <c r="W49" s="391"/>
      <c r="X49" s="391"/>
      <c r="Y49" s="391"/>
      <c r="Z49" s="390"/>
      <c r="AA49" s="387"/>
      <c r="AB49" s="391"/>
      <c r="AC49" s="391"/>
      <c r="AD49" s="391"/>
      <c r="AE49" s="390"/>
      <c r="AF49" s="389"/>
      <c r="AG49" s="391"/>
      <c r="AH49" s="391"/>
      <c r="AI49" s="395"/>
      <c r="AJ49" s="396"/>
      <c r="AK49" s="397" t="s">
        <v>1033</v>
      </c>
      <c r="AL49" s="398"/>
      <c r="AM49" s="398"/>
      <c r="AN49" s="398"/>
      <c r="AO49" s="398"/>
      <c r="AP49" s="398"/>
      <c r="AQ49" s="398"/>
    </row>
    <row r="50" spans="2:43" s="383" customFormat="1" ht="15.75" customHeight="1">
      <c r="B50" s="399">
        <v>5</v>
      </c>
      <c r="C50" s="385"/>
      <c r="D50" s="385">
        <v>33</v>
      </c>
      <c r="E50" s="385"/>
      <c r="F50" s="385" t="s">
        <v>1034</v>
      </c>
      <c r="G50" s="386" t="s">
        <v>214</v>
      </c>
      <c r="H50" s="386"/>
      <c r="I50" s="386">
        <v>7.1</v>
      </c>
      <c r="J50" s="387">
        <v>0.3</v>
      </c>
      <c r="K50" s="388"/>
      <c r="L50" s="387"/>
      <c r="M50" s="389"/>
      <c r="N50" s="389"/>
      <c r="O50" s="389"/>
      <c r="P50" s="390"/>
      <c r="Q50" s="389">
        <v>0</v>
      </c>
      <c r="R50" s="391">
        <v>0.3</v>
      </c>
      <c r="S50" s="391">
        <v>0</v>
      </c>
      <c r="T50" s="391">
        <v>0</v>
      </c>
      <c r="U50" s="390">
        <v>0</v>
      </c>
      <c r="V50" s="387"/>
      <c r="W50" s="391"/>
      <c r="X50" s="391"/>
      <c r="Y50" s="391"/>
      <c r="Z50" s="390"/>
      <c r="AA50" s="387"/>
      <c r="AB50" s="391"/>
      <c r="AC50" s="391"/>
      <c r="AD50" s="391"/>
      <c r="AE50" s="390"/>
      <c r="AF50" s="389"/>
      <c r="AG50" s="391"/>
      <c r="AH50" s="391"/>
      <c r="AI50" s="395"/>
      <c r="AJ50" s="396"/>
      <c r="AK50" s="397" t="s">
        <v>1035</v>
      </c>
      <c r="AL50" s="398"/>
      <c r="AM50" s="398"/>
      <c r="AN50" s="398"/>
      <c r="AO50" s="398"/>
      <c r="AP50" s="398"/>
      <c r="AQ50" s="398"/>
    </row>
    <row r="51" spans="2:43" s="383" customFormat="1" ht="15.75" customHeight="1">
      <c r="B51" s="399">
        <v>6</v>
      </c>
      <c r="C51" s="385"/>
      <c r="D51" s="385">
        <v>33</v>
      </c>
      <c r="E51" s="385"/>
      <c r="F51" s="385" t="s">
        <v>1029</v>
      </c>
      <c r="G51" s="386" t="s">
        <v>64</v>
      </c>
      <c r="H51" s="386"/>
      <c r="I51" s="386">
        <v>7.1</v>
      </c>
      <c r="J51" s="387">
        <v>0.8</v>
      </c>
      <c r="K51" s="388"/>
      <c r="L51" s="387"/>
      <c r="M51" s="389"/>
      <c r="N51" s="389"/>
      <c r="O51" s="389"/>
      <c r="P51" s="390"/>
      <c r="Q51" s="389">
        <v>0.3</v>
      </c>
      <c r="R51" s="391">
        <v>0.4</v>
      </c>
      <c r="S51" s="391">
        <v>0.1</v>
      </c>
      <c r="T51" s="391">
        <v>0</v>
      </c>
      <c r="U51" s="390">
        <v>0</v>
      </c>
      <c r="V51" s="387"/>
      <c r="W51" s="391"/>
      <c r="X51" s="391"/>
      <c r="Y51" s="391"/>
      <c r="Z51" s="390"/>
      <c r="AA51" s="387"/>
      <c r="AB51" s="391"/>
      <c r="AC51" s="391"/>
      <c r="AD51" s="391"/>
      <c r="AE51" s="390"/>
      <c r="AF51" s="389"/>
      <c r="AG51" s="391"/>
      <c r="AH51" s="391"/>
      <c r="AI51" s="395"/>
      <c r="AJ51" s="396"/>
      <c r="AK51" s="397" t="s">
        <v>1036</v>
      </c>
      <c r="AL51" s="398"/>
      <c r="AM51" s="398"/>
      <c r="AN51" s="398"/>
      <c r="AO51" s="398"/>
      <c r="AP51" s="398"/>
      <c r="AQ51" s="398"/>
    </row>
    <row r="52" spans="2:43" s="383" customFormat="1" ht="15.75" customHeight="1">
      <c r="B52" s="399">
        <v>7</v>
      </c>
      <c r="C52" s="385"/>
      <c r="D52" s="385">
        <v>33</v>
      </c>
      <c r="E52" s="385"/>
      <c r="F52" s="385" t="s">
        <v>1037</v>
      </c>
      <c r="G52" s="386" t="s">
        <v>216</v>
      </c>
      <c r="H52" s="386"/>
      <c r="I52" s="386">
        <v>6</v>
      </c>
      <c r="J52" s="387">
        <v>1.2</v>
      </c>
      <c r="K52" s="388"/>
      <c r="L52" s="387"/>
      <c r="M52" s="389"/>
      <c r="N52" s="389"/>
      <c r="O52" s="389"/>
      <c r="P52" s="390"/>
      <c r="Q52" s="389">
        <v>0</v>
      </c>
      <c r="R52" s="391">
        <v>0</v>
      </c>
      <c r="S52" s="391">
        <v>1.2</v>
      </c>
      <c r="T52" s="391">
        <v>0</v>
      </c>
      <c r="U52" s="390">
        <v>0</v>
      </c>
      <c r="V52" s="387"/>
      <c r="W52" s="391"/>
      <c r="X52" s="391"/>
      <c r="Y52" s="391"/>
      <c r="Z52" s="390"/>
      <c r="AA52" s="387"/>
      <c r="AB52" s="391"/>
      <c r="AC52" s="391"/>
      <c r="AD52" s="391"/>
      <c r="AE52" s="390"/>
      <c r="AF52" s="389"/>
      <c r="AG52" s="391"/>
      <c r="AH52" s="391"/>
      <c r="AI52" s="395"/>
      <c r="AJ52" s="396"/>
      <c r="AK52" s="397" t="s">
        <v>1038</v>
      </c>
      <c r="AL52" s="398"/>
      <c r="AM52" s="398"/>
      <c r="AN52" s="398"/>
      <c r="AO52" s="398"/>
      <c r="AP52" s="398"/>
      <c r="AQ52" s="398"/>
    </row>
    <row r="53" spans="2:43" s="383" customFormat="1" ht="15.75" customHeight="1">
      <c r="B53" s="399">
        <v>8</v>
      </c>
      <c r="C53" s="385"/>
      <c r="D53" s="385" t="s">
        <v>1026</v>
      </c>
      <c r="E53" s="385"/>
      <c r="F53" s="385" t="s">
        <v>1027</v>
      </c>
      <c r="G53" s="386" t="s">
        <v>216</v>
      </c>
      <c r="H53" s="386"/>
      <c r="I53" s="386">
        <v>17.899999999999999</v>
      </c>
      <c r="J53" s="387">
        <v>0.7</v>
      </c>
      <c r="K53" s="388"/>
      <c r="L53" s="387"/>
      <c r="M53" s="389"/>
      <c r="N53" s="389"/>
      <c r="O53" s="389"/>
      <c r="P53" s="390"/>
      <c r="Q53" s="389">
        <v>0</v>
      </c>
      <c r="R53" s="391">
        <v>0</v>
      </c>
      <c r="S53" s="391">
        <v>0</v>
      </c>
      <c r="T53" s="391">
        <v>0.7</v>
      </c>
      <c r="U53" s="390">
        <v>0</v>
      </c>
      <c r="V53" s="387"/>
      <c r="W53" s="391"/>
      <c r="X53" s="391"/>
      <c r="Y53" s="391"/>
      <c r="Z53" s="390"/>
      <c r="AA53" s="387"/>
      <c r="AB53" s="391"/>
      <c r="AC53" s="391"/>
      <c r="AD53" s="391"/>
      <c r="AE53" s="390"/>
      <c r="AF53" s="389"/>
      <c r="AG53" s="391"/>
      <c r="AH53" s="391"/>
      <c r="AI53" s="395"/>
      <c r="AJ53" s="396"/>
      <c r="AK53" s="397" t="s">
        <v>1039</v>
      </c>
      <c r="AL53" s="398"/>
      <c r="AM53" s="398"/>
      <c r="AN53" s="398"/>
      <c r="AO53" s="398"/>
      <c r="AP53" s="398"/>
      <c r="AQ53" s="398"/>
    </row>
    <row r="54" spans="2:43" s="383" customFormat="1" ht="15.75" customHeight="1">
      <c r="B54" s="399">
        <v>9</v>
      </c>
      <c r="C54" s="385"/>
      <c r="D54" s="385">
        <v>33</v>
      </c>
      <c r="E54" s="385"/>
      <c r="F54" s="385" t="s">
        <v>1034</v>
      </c>
      <c r="G54" s="386">
        <v>2009</v>
      </c>
      <c r="H54" s="386"/>
      <c r="I54" s="386">
        <v>20</v>
      </c>
      <c r="J54" s="387">
        <v>0.4</v>
      </c>
      <c r="K54" s="388"/>
      <c r="L54" s="387"/>
      <c r="M54" s="389"/>
      <c r="N54" s="389"/>
      <c r="O54" s="389"/>
      <c r="P54" s="390"/>
      <c r="Q54" s="389">
        <v>0.4</v>
      </c>
      <c r="R54" s="391">
        <v>0</v>
      </c>
      <c r="S54" s="391">
        <v>0</v>
      </c>
      <c r="T54" s="391">
        <v>0</v>
      </c>
      <c r="U54" s="390">
        <v>0</v>
      </c>
      <c r="V54" s="387"/>
      <c r="W54" s="391"/>
      <c r="X54" s="391"/>
      <c r="Y54" s="391"/>
      <c r="Z54" s="390"/>
      <c r="AA54" s="387"/>
      <c r="AB54" s="391"/>
      <c r="AC54" s="391"/>
      <c r="AD54" s="391"/>
      <c r="AE54" s="390"/>
      <c r="AF54" s="389"/>
      <c r="AG54" s="391"/>
      <c r="AH54" s="391"/>
      <c r="AI54" s="395"/>
      <c r="AJ54" s="396"/>
      <c r="AK54" s="397" t="s">
        <v>1040</v>
      </c>
      <c r="AL54" s="398"/>
      <c r="AM54" s="398"/>
      <c r="AN54" s="398"/>
      <c r="AO54" s="398"/>
      <c r="AP54" s="398"/>
      <c r="AQ54" s="398"/>
    </row>
    <row r="55" spans="2:43" s="383" customFormat="1" ht="15.75" customHeight="1">
      <c r="B55" s="399">
        <v>10</v>
      </c>
      <c r="C55" s="385"/>
      <c r="D55" s="385">
        <v>66</v>
      </c>
      <c r="E55" s="385"/>
      <c r="F55" s="385" t="s">
        <v>1041</v>
      </c>
      <c r="G55" s="386" t="s">
        <v>64</v>
      </c>
      <c r="H55" s="386"/>
      <c r="I55" s="386">
        <v>6</v>
      </c>
      <c r="J55" s="387">
        <v>0.2</v>
      </c>
      <c r="K55" s="388"/>
      <c r="L55" s="387"/>
      <c r="M55" s="389"/>
      <c r="N55" s="389"/>
      <c r="O55" s="389"/>
      <c r="P55" s="390"/>
      <c r="Q55" s="389">
        <v>0.2</v>
      </c>
      <c r="R55" s="391">
        <v>0</v>
      </c>
      <c r="S55" s="391">
        <v>0</v>
      </c>
      <c r="T55" s="391">
        <v>0</v>
      </c>
      <c r="U55" s="390">
        <v>0</v>
      </c>
      <c r="V55" s="387"/>
      <c r="W55" s="391"/>
      <c r="X55" s="391"/>
      <c r="Y55" s="391"/>
      <c r="Z55" s="390"/>
      <c r="AA55" s="387"/>
      <c r="AB55" s="391"/>
      <c r="AC55" s="391"/>
      <c r="AD55" s="391"/>
      <c r="AE55" s="390"/>
      <c r="AF55" s="389"/>
      <c r="AG55" s="391"/>
      <c r="AH55" s="391"/>
      <c r="AI55" s="395"/>
      <c r="AJ55" s="396"/>
      <c r="AK55" s="397" t="s">
        <v>1042</v>
      </c>
      <c r="AL55" s="398"/>
      <c r="AM55" s="398"/>
      <c r="AN55" s="398"/>
      <c r="AO55" s="398"/>
      <c r="AP55" s="398"/>
      <c r="AQ55" s="398"/>
    </row>
    <row r="56" spans="2:43" s="383" customFormat="1" ht="15.75" customHeight="1">
      <c r="B56" s="399">
        <v>11</v>
      </c>
      <c r="C56" s="385"/>
      <c r="D56" s="385">
        <v>66</v>
      </c>
      <c r="E56" s="385"/>
      <c r="F56" s="385" t="s">
        <v>1041</v>
      </c>
      <c r="G56" s="386" t="s">
        <v>63</v>
      </c>
      <c r="H56" s="386"/>
      <c r="I56" s="386">
        <v>12</v>
      </c>
      <c r="J56" s="387">
        <v>0.3</v>
      </c>
      <c r="K56" s="388"/>
      <c r="L56" s="387"/>
      <c r="M56" s="389"/>
      <c r="N56" s="389"/>
      <c r="O56" s="389"/>
      <c r="P56" s="390"/>
      <c r="Q56" s="389">
        <v>0.3</v>
      </c>
      <c r="R56" s="391">
        <v>0</v>
      </c>
      <c r="S56" s="391">
        <v>0</v>
      </c>
      <c r="T56" s="391">
        <v>0</v>
      </c>
      <c r="U56" s="390">
        <v>0</v>
      </c>
      <c r="V56" s="387"/>
      <c r="W56" s="391"/>
      <c r="X56" s="391"/>
      <c r="Y56" s="391"/>
      <c r="Z56" s="390"/>
      <c r="AA56" s="387"/>
      <c r="AB56" s="391"/>
      <c r="AC56" s="391"/>
      <c r="AD56" s="391"/>
      <c r="AE56" s="390"/>
      <c r="AF56" s="389"/>
      <c r="AG56" s="391"/>
      <c r="AH56" s="391"/>
      <c r="AI56" s="395"/>
      <c r="AJ56" s="396"/>
      <c r="AK56" s="397" t="s">
        <v>1043</v>
      </c>
      <c r="AL56" s="398"/>
      <c r="AM56" s="398"/>
      <c r="AN56" s="398"/>
      <c r="AO56" s="398"/>
      <c r="AP56" s="398"/>
      <c r="AQ56" s="398"/>
    </row>
    <row r="57" spans="2:43" s="383" customFormat="1" ht="15.75" customHeight="1">
      <c r="B57" s="399">
        <v>12</v>
      </c>
      <c r="C57" s="385"/>
      <c r="D57" s="385">
        <v>33</v>
      </c>
      <c r="E57" s="385"/>
      <c r="F57" s="385" t="s">
        <v>1034</v>
      </c>
      <c r="G57" s="386" t="s">
        <v>63</v>
      </c>
      <c r="H57" s="386"/>
      <c r="I57" s="386">
        <v>6</v>
      </c>
      <c r="J57" s="387">
        <v>0.9</v>
      </c>
      <c r="K57" s="388"/>
      <c r="L57" s="387"/>
      <c r="M57" s="389"/>
      <c r="N57" s="389"/>
      <c r="O57" s="389"/>
      <c r="P57" s="390"/>
      <c r="Q57" s="389">
        <v>0</v>
      </c>
      <c r="R57" s="391">
        <v>0.5</v>
      </c>
      <c r="S57" s="391">
        <v>0.4</v>
      </c>
      <c r="T57" s="391">
        <v>0</v>
      </c>
      <c r="U57" s="390">
        <v>0</v>
      </c>
      <c r="V57" s="387"/>
      <c r="W57" s="391"/>
      <c r="X57" s="391"/>
      <c r="Y57" s="391"/>
      <c r="Z57" s="390"/>
      <c r="AA57" s="387"/>
      <c r="AB57" s="391"/>
      <c r="AC57" s="391"/>
      <c r="AD57" s="391"/>
      <c r="AE57" s="390"/>
      <c r="AF57" s="389"/>
      <c r="AG57" s="391"/>
      <c r="AH57" s="391"/>
      <c r="AI57" s="395"/>
      <c r="AJ57" s="396"/>
      <c r="AK57" s="397" t="s">
        <v>1044</v>
      </c>
      <c r="AL57" s="398"/>
      <c r="AM57" s="398"/>
      <c r="AN57" s="398"/>
      <c r="AO57" s="398"/>
      <c r="AP57" s="398"/>
      <c r="AQ57" s="398"/>
    </row>
    <row r="58" spans="2:43" s="383" customFormat="1" ht="15.75" customHeight="1">
      <c r="B58" s="399">
        <v>13</v>
      </c>
      <c r="C58" s="385"/>
      <c r="D58" s="385" t="s">
        <v>1026</v>
      </c>
      <c r="E58" s="385"/>
      <c r="F58" s="385" t="s">
        <v>1027</v>
      </c>
      <c r="G58" s="386" t="s">
        <v>216</v>
      </c>
      <c r="H58" s="386"/>
      <c r="I58" s="386">
        <v>14</v>
      </c>
      <c r="J58" s="387">
        <v>1.7</v>
      </c>
      <c r="K58" s="388"/>
      <c r="L58" s="387"/>
      <c r="M58" s="389"/>
      <c r="N58" s="389"/>
      <c r="O58" s="389"/>
      <c r="P58" s="390"/>
      <c r="Q58" s="389">
        <v>0.2</v>
      </c>
      <c r="R58" s="391">
        <v>0</v>
      </c>
      <c r="S58" s="391">
        <v>0.7</v>
      </c>
      <c r="T58" s="391">
        <v>0.8</v>
      </c>
      <c r="U58" s="390">
        <v>0</v>
      </c>
      <c r="V58" s="387"/>
      <c r="W58" s="391"/>
      <c r="X58" s="391"/>
      <c r="Y58" s="391"/>
      <c r="Z58" s="390"/>
      <c r="AA58" s="387"/>
      <c r="AB58" s="391"/>
      <c r="AC58" s="391"/>
      <c r="AD58" s="391"/>
      <c r="AE58" s="390"/>
      <c r="AF58" s="389"/>
      <c r="AG58" s="391"/>
      <c r="AH58" s="391"/>
      <c r="AI58" s="395"/>
      <c r="AJ58" s="396"/>
      <c r="AK58" s="397" t="s">
        <v>1045</v>
      </c>
      <c r="AL58" s="398"/>
      <c r="AM58" s="398"/>
      <c r="AN58" s="398"/>
      <c r="AO58" s="398"/>
      <c r="AP58" s="398"/>
      <c r="AQ58" s="398"/>
    </row>
    <row r="59" spans="2:43" s="383" customFormat="1" ht="15.75" customHeight="1">
      <c r="B59" s="399">
        <v>14</v>
      </c>
      <c r="C59" s="385"/>
      <c r="D59" s="385">
        <v>33</v>
      </c>
      <c r="E59" s="385"/>
      <c r="F59" s="385" t="s">
        <v>1027</v>
      </c>
      <c r="G59" s="386" t="s">
        <v>63</v>
      </c>
      <c r="H59" s="386"/>
      <c r="I59" s="386">
        <v>15</v>
      </c>
      <c r="J59" s="387">
        <v>1.6</v>
      </c>
      <c r="K59" s="388"/>
      <c r="L59" s="387"/>
      <c r="M59" s="389"/>
      <c r="N59" s="389"/>
      <c r="O59" s="389"/>
      <c r="P59" s="390"/>
      <c r="Q59" s="389">
        <v>0</v>
      </c>
      <c r="R59" s="391">
        <v>0</v>
      </c>
      <c r="S59" s="391">
        <v>0.4</v>
      </c>
      <c r="T59" s="391">
        <v>0.6</v>
      </c>
      <c r="U59" s="390">
        <v>0.6</v>
      </c>
      <c r="V59" s="387"/>
      <c r="W59" s="391"/>
      <c r="X59" s="391"/>
      <c r="Y59" s="391"/>
      <c r="Z59" s="390"/>
      <c r="AA59" s="387"/>
      <c r="AB59" s="391"/>
      <c r="AC59" s="391"/>
      <c r="AD59" s="391"/>
      <c r="AE59" s="390"/>
      <c r="AF59" s="389"/>
      <c r="AG59" s="391"/>
      <c r="AH59" s="391"/>
      <c r="AI59" s="395"/>
      <c r="AJ59" s="396"/>
      <c r="AK59" s="397" t="s">
        <v>1046</v>
      </c>
      <c r="AL59" s="398"/>
      <c r="AM59" s="398"/>
      <c r="AN59" s="398"/>
      <c r="AO59" s="398"/>
      <c r="AP59" s="398"/>
      <c r="AQ59" s="398"/>
    </row>
    <row r="60" spans="2:43" s="383" customFormat="1" ht="15.75" customHeight="1">
      <c r="B60" s="399">
        <v>15</v>
      </c>
      <c r="C60" s="385"/>
      <c r="D60" s="385" t="s">
        <v>1026</v>
      </c>
      <c r="E60" s="385"/>
      <c r="F60" s="385" t="s">
        <v>1047</v>
      </c>
      <c r="G60" s="386" t="s">
        <v>63</v>
      </c>
      <c r="H60" s="386"/>
      <c r="I60" s="386">
        <v>6.2</v>
      </c>
      <c r="J60" s="387">
        <v>0.8</v>
      </c>
      <c r="K60" s="388"/>
      <c r="L60" s="387"/>
      <c r="M60" s="389"/>
      <c r="N60" s="389"/>
      <c r="O60" s="389"/>
      <c r="P60" s="390"/>
      <c r="Q60" s="389">
        <v>0.6</v>
      </c>
      <c r="R60" s="391">
        <v>0.2</v>
      </c>
      <c r="S60" s="391">
        <v>0</v>
      </c>
      <c r="T60" s="391">
        <v>0</v>
      </c>
      <c r="U60" s="390">
        <v>0</v>
      </c>
      <c r="V60" s="387"/>
      <c r="W60" s="391"/>
      <c r="X60" s="391"/>
      <c r="Y60" s="391"/>
      <c r="Z60" s="390"/>
      <c r="AA60" s="387"/>
      <c r="AB60" s="391"/>
      <c r="AC60" s="391"/>
      <c r="AD60" s="391"/>
      <c r="AE60" s="390"/>
      <c r="AF60" s="389"/>
      <c r="AG60" s="391"/>
      <c r="AH60" s="391"/>
      <c r="AI60" s="395"/>
      <c r="AJ60" s="396"/>
      <c r="AK60" s="397" t="s">
        <v>1048</v>
      </c>
      <c r="AL60" s="398"/>
      <c r="AM60" s="398"/>
      <c r="AN60" s="398"/>
      <c r="AO60" s="398"/>
      <c r="AP60" s="398"/>
      <c r="AQ60" s="398"/>
    </row>
    <row r="61" spans="2:43" s="383" customFormat="1" ht="15.75" customHeight="1">
      <c r="B61" s="399">
        <v>16</v>
      </c>
      <c r="C61" s="385"/>
      <c r="D61" s="385" t="s">
        <v>1026</v>
      </c>
      <c r="E61" s="385"/>
      <c r="F61" s="385" t="s">
        <v>1027</v>
      </c>
      <c r="G61" s="386" t="s">
        <v>63</v>
      </c>
      <c r="H61" s="386"/>
      <c r="I61" s="386">
        <v>15</v>
      </c>
      <c r="J61" s="387">
        <v>0.45</v>
      </c>
      <c r="K61" s="388"/>
      <c r="L61" s="387"/>
      <c r="M61" s="389"/>
      <c r="N61" s="389"/>
      <c r="O61" s="389"/>
      <c r="P61" s="390"/>
      <c r="Q61" s="389">
        <v>0</v>
      </c>
      <c r="R61" s="391">
        <v>0.45</v>
      </c>
      <c r="S61" s="391">
        <v>0</v>
      </c>
      <c r="T61" s="391">
        <v>0</v>
      </c>
      <c r="U61" s="390">
        <v>0</v>
      </c>
      <c r="V61" s="387"/>
      <c r="W61" s="391"/>
      <c r="X61" s="391"/>
      <c r="Y61" s="391"/>
      <c r="Z61" s="390"/>
      <c r="AA61" s="387"/>
      <c r="AB61" s="391"/>
      <c r="AC61" s="391"/>
      <c r="AD61" s="391"/>
      <c r="AE61" s="390"/>
      <c r="AF61" s="389"/>
      <c r="AG61" s="391"/>
      <c r="AH61" s="391"/>
      <c r="AI61" s="395"/>
      <c r="AJ61" s="396"/>
      <c r="AK61" s="397" t="s">
        <v>1049</v>
      </c>
      <c r="AL61" s="398"/>
      <c r="AM61" s="398"/>
      <c r="AN61" s="398"/>
      <c r="AO61" s="398"/>
      <c r="AP61" s="398"/>
      <c r="AQ61" s="398"/>
    </row>
    <row r="62" spans="2:43" s="383" customFormat="1" ht="15.75" customHeight="1">
      <c r="B62" s="399">
        <v>17</v>
      </c>
      <c r="C62" s="385"/>
      <c r="D62" s="385">
        <v>33</v>
      </c>
      <c r="E62" s="385"/>
      <c r="F62" s="385" t="s">
        <v>67</v>
      </c>
      <c r="G62" s="386" t="s">
        <v>67</v>
      </c>
      <c r="H62" s="386"/>
      <c r="I62" s="386" t="s">
        <v>67</v>
      </c>
      <c r="J62" s="387">
        <v>2.2999999999999998</v>
      </c>
      <c r="K62" s="388"/>
      <c r="L62" s="387"/>
      <c r="M62" s="389"/>
      <c r="N62" s="389"/>
      <c r="O62" s="389"/>
      <c r="P62" s="390"/>
      <c r="Q62" s="389">
        <v>0.2</v>
      </c>
      <c r="R62" s="391">
        <v>0.2</v>
      </c>
      <c r="S62" s="391">
        <v>0.2</v>
      </c>
      <c r="T62" s="391">
        <v>0.2</v>
      </c>
      <c r="U62" s="390">
        <v>1.5</v>
      </c>
      <c r="V62" s="387"/>
      <c r="W62" s="391"/>
      <c r="X62" s="391"/>
      <c r="Y62" s="391"/>
      <c r="Z62" s="390"/>
      <c r="AA62" s="387"/>
      <c r="AB62" s="391"/>
      <c r="AC62" s="391"/>
      <c r="AD62" s="391"/>
      <c r="AE62" s="390"/>
      <c r="AF62" s="389"/>
      <c r="AG62" s="391"/>
      <c r="AH62" s="391"/>
      <c r="AI62" s="395"/>
      <c r="AJ62" s="396"/>
      <c r="AK62" s="397" t="s">
        <v>1050</v>
      </c>
      <c r="AL62" s="398"/>
      <c r="AM62" s="398"/>
      <c r="AN62" s="398"/>
      <c r="AO62" s="398"/>
      <c r="AP62" s="398"/>
      <c r="AQ62" s="398"/>
    </row>
    <row r="63" spans="2:43" s="383" customFormat="1" ht="15.75" customHeight="1">
      <c r="B63" s="399">
        <v>18</v>
      </c>
      <c r="C63" s="385"/>
      <c r="D63" s="385" t="s">
        <v>1051</v>
      </c>
      <c r="E63" s="385"/>
      <c r="F63" s="385" t="s">
        <v>1027</v>
      </c>
      <c r="G63" s="386" t="s">
        <v>213</v>
      </c>
      <c r="H63" s="386"/>
      <c r="I63" s="386">
        <v>11.3</v>
      </c>
      <c r="J63" s="387">
        <v>2.5</v>
      </c>
      <c r="K63" s="388"/>
      <c r="L63" s="387"/>
      <c r="M63" s="389"/>
      <c r="N63" s="389"/>
      <c r="O63" s="389">
        <v>1</v>
      </c>
      <c r="P63" s="390">
        <v>1</v>
      </c>
      <c r="Q63" s="389">
        <v>0.5</v>
      </c>
      <c r="R63" s="391">
        <v>0</v>
      </c>
      <c r="S63" s="391">
        <v>0</v>
      </c>
      <c r="T63" s="391">
        <v>0</v>
      </c>
      <c r="U63" s="390">
        <v>0</v>
      </c>
      <c r="V63" s="387"/>
      <c r="W63" s="391"/>
      <c r="X63" s="391"/>
      <c r="Y63" s="391"/>
      <c r="Z63" s="390"/>
      <c r="AA63" s="387"/>
      <c r="AB63" s="391"/>
      <c r="AC63" s="391"/>
      <c r="AD63" s="391"/>
      <c r="AE63" s="390"/>
      <c r="AF63" s="389"/>
      <c r="AG63" s="391"/>
      <c r="AH63" s="391"/>
      <c r="AI63" s="395"/>
      <c r="AJ63" s="396"/>
      <c r="AK63" s="397" t="s">
        <v>1052</v>
      </c>
      <c r="AL63" s="398"/>
      <c r="AM63" s="398"/>
      <c r="AN63" s="398"/>
      <c r="AO63" s="398"/>
      <c r="AP63" s="398"/>
      <c r="AQ63" s="398"/>
    </row>
    <row r="64" spans="2:43" s="383" customFormat="1" ht="15.75" customHeight="1">
      <c r="B64" s="399">
        <v>19</v>
      </c>
      <c r="C64" s="385"/>
      <c r="D64" s="385" t="s">
        <v>1051</v>
      </c>
      <c r="E64" s="385"/>
      <c r="F64" s="385" t="s">
        <v>1034</v>
      </c>
      <c r="G64" s="386" t="s">
        <v>213</v>
      </c>
      <c r="H64" s="386"/>
      <c r="I64" s="386">
        <v>14.5</v>
      </c>
      <c r="J64" s="387">
        <v>2</v>
      </c>
      <c r="K64" s="388"/>
      <c r="L64" s="387"/>
      <c r="M64" s="389"/>
      <c r="N64" s="389"/>
      <c r="O64" s="389"/>
      <c r="P64" s="390">
        <v>0.5</v>
      </c>
      <c r="Q64" s="389">
        <v>1.5</v>
      </c>
      <c r="R64" s="391">
        <v>0</v>
      </c>
      <c r="S64" s="391">
        <v>0</v>
      </c>
      <c r="T64" s="391">
        <v>0</v>
      </c>
      <c r="U64" s="390">
        <v>0</v>
      </c>
      <c r="V64" s="387"/>
      <c r="W64" s="391"/>
      <c r="X64" s="391"/>
      <c r="Y64" s="391"/>
      <c r="Z64" s="390"/>
      <c r="AA64" s="387"/>
      <c r="AB64" s="391"/>
      <c r="AC64" s="391"/>
      <c r="AD64" s="391"/>
      <c r="AE64" s="390"/>
      <c r="AF64" s="389"/>
      <c r="AG64" s="391"/>
      <c r="AH64" s="391"/>
      <c r="AI64" s="395"/>
      <c r="AJ64" s="396"/>
      <c r="AK64" s="397" t="s">
        <v>1053</v>
      </c>
      <c r="AL64" s="398"/>
      <c r="AM64" s="398"/>
      <c r="AN64" s="398"/>
      <c r="AO64" s="398"/>
      <c r="AP64" s="398"/>
      <c r="AQ64" s="398"/>
    </row>
    <row r="65" spans="2:43" s="383" customFormat="1" ht="15.75" customHeight="1">
      <c r="B65" s="399">
        <v>20</v>
      </c>
      <c r="C65" s="400"/>
      <c r="D65" s="385" t="s">
        <v>1054</v>
      </c>
      <c r="E65" s="385"/>
      <c r="F65" s="385" t="s">
        <v>1029</v>
      </c>
      <c r="G65" s="386" t="s">
        <v>214</v>
      </c>
      <c r="H65" s="386"/>
      <c r="I65" s="386">
        <v>11</v>
      </c>
      <c r="J65" s="387">
        <v>1</v>
      </c>
      <c r="K65" s="401"/>
      <c r="L65" s="387"/>
      <c r="M65" s="389"/>
      <c r="N65" s="389"/>
      <c r="O65" s="389"/>
      <c r="P65" s="390"/>
      <c r="Q65" s="389">
        <v>0</v>
      </c>
      <c r="R65" s="391">
        <v>1</v>
      </c>
      <c r="S65" s="391">
        <v>0</v>
      </c>
      <c r="T65" s="391">
        <v>0</v>
      </c>
      <c r="U65" s="390">
        <v>0</v>
      </c>
      <c r="V65" s="387"/>
      <c r="W65" s="391"/>
      <c r="X65" s="391"/>
      <c r="Y65" s="391"/>
      <c r="Z65" s="390"/>
      <c r="AA65" s="387"/>
      <c r="AB65" s="391"/>
      <c r="AC65" s="391"/>
      <c r="AD65" s="391"/>
      <c r="AE65" s="390"/>
      <c r="AF65" s="389"/>
      <c r="AG65" s="391"/>
      <c r="AH65" s="391"/>
      <c r="AI65" s="395"/>
      <c r="AJ65" s="396"/>
      <c r="AK65" s="402" t="s">
        <v>1055</v>
      </c>
      <c r="AL65" s="398"/>
      <c r="AM65" s="398"/>
      <c r="AN65" s="398"/>
      <c r="AO65" s="398"/>
      <c r="AP65" s="398"/>
      <c r="AQ65" s="398"/>
    </row>
    <row r="66" spans="2:43" s="383" customFormat="1" ht="15.75" customHeight="1">
      <c r="B66" s="399">
        <v>21</v>
      </c>
      <c r="C66" s="400"/>
      <c r="D66" s="385" t="s">
        <v>1054</v>
      </c>
      <c r="E66" s="385"/>
      <c r="F66" s="385" t="s">
        <v>1027</v>
      </c>
      <c r="G66" s="386" t="s">
        <v>216</v>
      </c>
      <c r="H66" s="386"/>
      <c r="I66" s="386">
        <v>40</v>
      </c>
      <c r="J66" s="387">
        <v>1</v>
      </c>
      <c r="K66" s="401"/>
      <c r="L66" s="387"/>
      <c r="M66" s="389"/>
      <c r="N66" s="389"/>
      <c r="O66" s="389"/>
      <c r="P66" s="390"/>
      <c r="Q66" s="389">
        <v>0</v>
      </c>
      <c r="R66" s="391">
        <v>0</v>
      </c>
      <c r="S66" s="391">
        <v>0</v>
      </c>
      <c r="T66" s="391">
        <v>0</v>
      </c>
      <c r="U66" s="390">
        <v>1</v>
      </c>
      <c r="V66" s="387"/>
      <c r="W66" s="391"/>
      <c r="X66" s="391"/>
      <c r="Y66" s="391"/>
      <c r="Z66" s="390"/>
      <c r="AA66" s="387"/>
      <c r="AB66" s="391"/>
      <c r="AC66" s="391"/>
      <c r="AD66" s="391"/>
      <c r="AE66" s="390"/>
      <c r="AF66" s="389"/>
      <c r="AG66" s="391"/>
      <c r="AH66" s="391"/>
      <c r="AI66" s="395"/>
      <c r="AJ66" s="396"/>
      <c r="AK66" s="402" t="s">
        <v>1056</v>
      </c>
      <c r="AL66" s="398"/>
      <c r="AM66" s="398"/>
      <c r="AN66" s="398"/>
      <c r="AO66" s="398"/>
      <c r="AP66" s="398"/>
      <c r="AQ66" s="398"/>
    </row>
    <row r="67" spans="2:43" s="383" customFormat="1" ht="15.75" customHeight="1">
      <c r="B67" s="399">
        <v>22</v>
      </c>
      <c r="C67" s="400"/>
      <c r="D67" s="385" t="s">
        <v>1054</v>
      </c>
      <c r="E67" s="385"/>
      <c r="F67" s="385" t="s">
        <v>1029</v>
      </c>
      <c r="G67" s="386" t="s">
        <v>217</v>
      </c>
      <c r="H67" s="386"/>
      <c r="I67" s="386">
        <v>40</v>
      </c>
      <c r="J67" s="387">
        <v>1</v>
      </c>
      <c r="K67" s="401"/>
      <c r="L67" s="387"/>
      <c r="M67" s="389"/>
      <c r="N67" s="389"/>
      <c r="O67" s="389"/>
      <c r="P67" s="390"/>
      <c r="Q67" s="389">
        <v>0</v>
      </c>
      <c r="R67" s="391">
        <v>0</v>
      </c>
      <c r="S67" s="391">
        <v>0</v>
      </c>
      <c r="T67" s="391">
        <v>1</v>
      </c>
      <c r="U67" s="390">
        <v>0</v>
      </c>
      <c r="V67" s="387"/>
      <c r="W67" s="391"/>
      <c r="X67" s="391"/>
      <c r="Y67" s="391"/>
      <c r="Z67" s="390"/>
      <c r="AA67" s="387"/>
      <c r="AB67" s="391"/>
      <c r="AC67" s="391"/>
      <c r="AD67" s="391"/>
      <c r="AE67" s="390"/>
      <c r="AF67" s="389"/>
      <c r="AG67" s="391"/>
      <c r="AH67" s="391"/>
      <c r="AI67" s="395"/>
      <c r="AJ67" s="396"/>
      <c r="AK67" s="402" t="s">
        <v>1056</v>
      </c>
      <c r="AL67" s="398"/>
      <c r="AM67" s="398"/>
      <c r="AN67" s="398"/>
      <c r="AO67" s="398"/>
      <c r="AP67" s="398"/>
      <c r="AQ67" s="398"/>
    </row>
    <row r="68" spans="2:43" s="383" customFormat="1" ht="15.75" customHeight="1">
      <c r="B68" s="399">
        <v>23</v>
      </c>
      <c r="C68" s="400"/>
      <c r="D68" s="385" t="s">
        <v>1051</v>
      </c>
      <c r="E68" s="385"/>
      <c r="F68" s="385" t="s">
        <v>1027</v>
      </c>
      <c r="G68" s="386" t="s">
        <v>217</v>
      </c>
      <c r="H68" s="386"/>
      <c r="I68" s="386">
        <v>30</v>
      </c>
      <c r="J68" s="387">
        <v>1.2</v>
      </c>
      <c r="K68" s="401"/>
      <c r="L68" s="387"/>
      <c r="M68" s="389"/>
      <c r="N68" s="389"/>
      <c r="O68" s="389"/>
      <c r="P68" s="390"/>
      <c r="Q68" s="389">
        <v>0</v>
      </c>
      <c r="R68" s="391">
        <v>0</v>
      </c>
      <c r="S68" s="391">
        <v>0</v>
      </c>
      <c r="T68" s="391">
        <v>0</v>
      </c>
      <c r="U68" s="390">
        <v>1.2</v>
      </c>
      <c r="V68" s="387"/>
      <c r="W68" s="391"/>
      <c r="X68" s="391"/>
      <c r="Y68" s="391"/>
      <c r="Z68" s="390"/>
      <c r="AA68" s="387"/>
      <c r="AB68" s="391"/>
      <c r="AC68" s="391"/>
      <c r="AD68" s="391"/>
      <c r="AE68" s="390"/>
      <c r="AF68" s="389"/>
      <c r="AG68" s="391"/>
      <c r="AH68" s="391"/>
      <c r="AI68" s="395"/>
      <c r="AJ68" s="396"/>
      <c r="AK68" s="402" t="s">
        <v>1057</v>
      </c>
      <c r="AL68" s="398"/>
      <c r="AM68" s="398"/>
      <c r="AN68" s="398"/>
      <c r="AO68" s="398"/>
      <c r="AP68" s="398"/>
      <c r="AQ68" s="398"/>
    </row>
    <row r="69" spans="2:43" s="383" customFormat="1" ht="15.75" customHeight="1">
      <c r="B69" s="399">
        <v>24</v>
      </c>
      <c r="C69" s="400"/>
      <c r="D69" s="400">
        <v>132</v>
      </c>
      <c r="E69" s="400" t="s">
        <v>67</v>
      </c>
      <c r="F69" s="400"/>
      <c r="G69" s="403"/>
      <c r="H69" s="386"/>
      <c r="I69" s="403" t="s">
        <v>67</v>
      </c>
      <c r="J69" s="404">
        <v>0.6</v>
      </c>
      <c r="K69" s="401"/>
      <c r="L69" s="404"/>
      <c r="M69" s="405"/>
      <c r="N69" s="405"/>
      <c r="O69" s="405"/>
      <c r="P69" s="406"/>
      <c r="Q69" s="405">
        <v>0</v>
      </c>
      <c r="R69" s="407">
        <v>0</v>
      </c>
      <c r="S69" s="407">
        <v>0.6</v>
      </c>
      <c r="T69" s="407">
        <v>0</v>
      </c>
      <c r="U69" s="406" t="s">
        <v>67</v>
      </c>
      <c r="V69" s="387"/>
      <c r="W69" s="391"/>
      <c r="X69" s="391"/>
      <c r="Y69" s="391"/>
      <c r="Z69" s="390"/>
      <c r="AA69" s="387"/>
      <c r="AB69" s="391"/>
      <c r="AC69" s="391"/>
      <c r="AD69" s="391"/>
      <c r="AE69" s="390"/>
      <c r="AF69" s="389"/>
      <c r="AG69" s="391"/>
      <c r="AH69" s="391"/>
      <c r="AI69" s="395"/>
      <c r="AJ69" s="396"/>
      <c r="AK69" s="402" t="s">
        <v>1058</v>
      </c>
      <c r="AL69" s="398"/>
      <c r="AM69" s="398"/>
      <c r="AN69" s="398"/>
      <c r="AO69" s="398"/>
      <c r="AP69" s="398"/>
      <c r="AQ69" s="398"/>
    </row>
    <row r="70" spans="2:43" s="383" customFormat="1" ht="15.75" customHeight="1">
      <c r="B70" s="399">
        <v>25</v>
      </c>
      <c r="C70" s="400"/>
      <c r="D70" s="400"/>
      <c r="E70" s="385"/>
      <c r="F70" s="400"/>
      <c r="G70" s="403"/>
      <c r="H70" s="386"/>
      <c r="I70" s="403"/>
      <c r="J70" s="404"/>
      <c r="K70" s="401"/>
      <c r="L70" s="404"/>
      <c r="M70" s="405"/>
      <c r="N70" s="405"/>
      <c r="O70" s="405"/>
      <c r="P70" s="406"/>
      <c r="Q70" s="405"/>
      <c r="R70" s="407"/>
      <c r="S70" s="407"/>
      <c r="T70" s="407"/>
      <c r="U70" s="406"/>
      <c r="V70" s="387"/>
      <c r="W70" s="391"/>
      <c r="X70" s="391"/>
      <c r="Y70" s="391"/>
      <c r="Z70" s="390"/>
      <c r="AA70" s="387"/>
      <c r="AB70" s="391"/>
      <c r="AC70" s="391"/>
      <c r="AD70" s="391"/>
      <c r="AE70" s="390"/>
      <c r="AF70" s="389"/>
      <c r="AG70" s="391"/>
      <c r="AH70" s="391"/>
      <c r="AI70" s="395"/>
      <c r="AJ70" s="396"/>
      <c r="AK70" s="408"/>
    </row>
    <row r="71" spans="2:43" s="383" customFormat="1" ht="15.75" customHeight="1">
      <c r="B71" s="399">
        <v>26</v>
      </c>
      <c r="C71" s="400"/>
      <c r="D71" s="400"/>
      <c r="E71" s="385"/>
      <c r="F71" s="400"/>
      <c r="G71" s="403"/>
      <c r="H71" s="386"/>
      <c r="I71" s="403"/>
      <c r="J71" s="404"/>
      <c r="K71" s="401"/>
      <c r="L71" s="404"/>
      <c r="M71" s="405"/>
      <c r="N71" s="405"/>
      <c r="O71" s="405"/>
      <c r="P71" s="406"/>
      <c r="Q71" s="405"/>
      <c r="R71" s="407"/>
      <c r="S71" s="407"/>
      <c r="T71" s="407"/>
      <c r="U71" s="406"/>
      <c r="V71" s="387"/>
      <c r="W71" s="391"/>
      <c r="X71" s="391"/>
      <c r="Y71" s="391"/>
      <c r="Z71" s="390"/>
      <c r="AA71" s="387"/>
      <c r="AB71" s="391"/>
      <c r="AC71" s="391"/>
      <c r="AD71" s="391"/>
      <c r="AE71" s="390"/>
      <c r="AF71" s="389"/>
      <c r="AG71" s="391"/>
      <c r="AH71" s="391"/>
      <c r="AI71" s="395"/>
      <c r="AJ71" s="396"/>
      <c r="AK71" s="408"/>
    </row>
    <row r="72" spans="2:43" s="383" customFormat="1" ht="15.75" customHeight="1">
      <c r="B72" s="399">
        <v>27</v>
      </c>
      <c r="C72" s="400"/>
      <c r="D72" s="400"/>
      <c r="E72" s="385"/>
      <c r="F72" s="400"/>
      <c r="G72" s="403"/>
      <c r="H72" s="386"/>
      <c r="I72" s="403"/>
      <c r="J72" s="404"/>
      <c r="K72" s="401"/>
      <c r="L72" s="404"/>
      <c r="M72" s="405"/>
      <c r="N72" s="405"/>
      <c r="O72" s="405"/>
      <c r="P72" s="406"/>
      <c r="Q72" s="405"/>
      <c r="R72" s="407"/>
      <c r="S72" s="407"/>
      <c r="T72" s="407"/>
      <c r="U72" s="406"/>
      <c r="V72" s="387"/>
      <c r="W72" s="391"/>
      <c r="X72" s="391"/>
      <c r="Y72" s="391"/>
      <c r="Z72" s="390"/>
      <c r="AA72" s="387"/>
      <c r="AB72" s="391"/>
      <c r="AC72" s="391"/>
      <c r="AD72" s="391"/>
      <c r="AE72" s="390"/>
      <c r="AF72" s="389"/>
      <c r="AG72" s="391"/>
      <c r="AH72" s="391"/>
      <c r="AI72" s="395"/>
      <c r="AJ72" s="396"/>
      <c r="AK72" s="408"/>
    </row>
    <row r="73" spans="2:43" s="383" customFormat="1" ht="15.75" customHeight="1">
      <c r="B73" s="399">
        <v>28</v>
      </c>
      <c r="C73" s="400"/>
      <c r="D73" s="400"/>
      <c r="E73" s="385"/>
      <c r="F73" s="400"/>
      <c r="G73" s="403"/>
      <c r="H73" s="386"/>
      <c r="I73" s="403"/>
      <c r="J73" s="404"/>
      <c r="K73" s="401"/>
      <c r="L73" s="404"/>
      <c r="M73" s="405"/>
      <c r="N73" s="405"/>
      <c r="O73" s="405"/>
      <c r="P73" s="406"/>
      <c r="Q73" s="405"/>
      <c r="R73" s="407"/>
      <c r="S73" s="407"/>
      <c r="T73" s="407"/>
      <c r="U73" s="406"/>
      <c r="V73" s="387"/>
      <c r="W73" s="391"/>
      <c r="X73" s="391"/>
      <c r="Y73" s="391"/>
      <c r="Z73" s="390"/>
      <c r="AA73" s="387"/>
      <c r="AB73" s="391"/>
      <c r="AC73" s="391"/>
      <c r="AD73" s="391"/>
      <c r="AE73" s="390"/>
      <c r="AF73" s="389"/>
      <c r="AG73" s="391"/>
      <c r="AH73" s="391"/>
      <c r="AI73" s="395"/>
      <c r="AJ73" s="396"/>
      <c r="AK73" s="408"/>
    </row>
    <row r="74" spans="2:43" s="383" customFormat="1" ht="15.75" customHeight="1">
      <c r="B74" s="399">
        <v>29</v>
      </c>
      <c r="C74" s="400"/>
      <c r="D74" s="400"/>
      <c r="E74" s="385"/>
      <c r="F74" s="400"/>
      <c r="G74" s="403"/>
      <c r="H74" s="386"/>
      <c r="I74" s="403"/>
      <c r="J74" s="404"/>
      <c r="K74" s="401"/>
      <c r="L74" s="404"/>
      <c r="M74" s="405"/>
      <c r="N74" s="405"/>
      <c r="O74" s="405"/>
      <c r="P74" s="406"/>
      <c r="Q74" s="405"/>
      <c r="R74" s="407"/>
      <c r="S74" s="407"/>
      <c r="T74" s="407"/>
      <c r="U74" s="406"/>
      <c r="V74" s="387"/>
      <c r="W74" s="391"/>
      <c r="X74" s="391"/>
      <c r="Y74" s="391"/>
      <c r="Z74" s="390"/>
      <c r="AA74" s="387"/>
      <c r="AB74" s="391"/>
      <c r="AC74" s="391"/>
      <c r="AD74" s="391"/>
      <c r="AE74" s="390"/>
      <c r="AF74" s="389"/>
      <c r="AG74" s="391"/>
      <c r="AH74" s="391"/>
      <c r="AI74" s="395"/>
      <c r="AJ74" s="396"/>
      <c r="AK74" s="408"/>
    </row>
    <row r="75" spans="2:43" s="383" customFormat="1" ht="15.75" customHeight="1">
      <c r="B75" s="399">
        <v>30</v>
      </c>
      <c r="C75" s="400"/>
      <c r="D75" s="400"/>
      <c r="E75" s="385"/>
      <c r="F75" s="400"/>
      <c r="G75" s="403"/>
      <c r="H75" s="386"/>
      <c r="I75" s="403"/>
      <c r="J75" s="404"/>
      <c r="K75" s="401"/>
      <c r="L75" s="404"/>
      <c r="M75" s="405"/>
      <c r="N75" s="405"/>
      <c r="O75" s="405"/>
      <c r="P75" s="406"/>
      <c r="Q75" s="405"/>
      <c r="R75" s="407"/>
      <c r="S75" s="407"/>
      <c r="T75" s="407"/>
      <c r="U75" s="406"/>
      <c r="V75" s="387"/>
      <c r="W75" s="391"/>
      <c r="X75" s="391"/>
      <c r="Y75" s="391"/>
      <c r="Z75" s="390"/>
      <c r="AA75" s="387"/>
      <c r="AB75" s="391"/>
      <c r="AC75" s="391"/>
      <c r="AD75" s="391"/>
      <c r="AE75" s="390"/>
      <c r="AF75" s="389"/>
      <c r="AG75" s="391"/>
      <c r="AH75" s="391"/>
      <c r="AI75" s="395"/>
      <c r="AJ75" s="396"/>
      <c r="AK75" s="408"/>
    </row>
    <row r="76" spans="2:43" s="383" customFormat="1" ht="15.75" customHeight="1">
      <c r="B76" s="399">
        <v>31</v>
      </c>
      <c r="C76" s="400"/>
      <c r="D76" s="400"/>
      <c r="E76" s="385"/>
      <c r="F76" s="400"/>
      <c r="G76" s="403"/>
      <c r="H76" s="386"/>
      <c r="I76" s="403"/>
      <c r="J76" s="404"/>
      <c r="K76" s="401"/>
      <c r="L76" s="404"/>
      <c r="M76" s="405"/>
      <c r="N76" s="405"/>
      <c r="O76" s="405"/>
      <c r="P76" s="406"/>
      <c r="Q76" s="405"/>
      <c r="R76" s="407"/>
      <c r="S76" s="407"/>
      <c r="T76" s="407"/>
      <c r="U76" s="406"/>
      <c r="V76" s="387"/>
      <c r="W76" s="391"/>
      <c r="X76" s="391"/>
      <c r="Y76" s="391"/>
      <c r="Z76" s="390"/>
      <c r="AA76" s="387"/>
      <c r="AB76" s="391"/>
      <c r="AC76" s="391"/>
      <c r="AD76" s="391"/>
      <c r="AE76" s="390"/>
      <c r="AF76" s="389"/>
      <c r="AG76" s="391"/>
      <c r="AH76" s="391"/>
      <c r="AI76" s="395"/>
      <c r="AJ76" s="396"/>
      <c r="AK76" s="408"/>
    </row>
    <row r="77" spans="2:43" s="383" customFormat="1" ht="15.75" customHeight="1">
      <c r="B77" s="399">
        <v>32</v>
      </c>
      <c r="C77" s="400"/>
      <c r="D77" s="400"/>
      <c r="E77" s="385"/>
      <c r="F77" s="400"/>
      <c r="G77" s="403"/>
      <c r="H77" s="386"/>
      <c r="I77" s="403"/>
      <c r="J77" s="404"/>
      <c r="K77" s="401"/>
      <c r="L77" s="404"/>
      <c r="M77" s="405"/>
      <c r="N77" s="405"/>
      <c r="O77" s="405"/>
      <c r="P77" s="406"/>
      <c r="Q77" s="405"/>
      <c r="R77" s="407"/>
      <c r="S77" s="407"/>
      <c r="T77" s="407"/>
      <c r="U77" s="406"/>
      <c r="V77" s="387"/>
      <c r="W77" s="391"/>
      <c r="X77" s="391"/>
      <c r="Y77" s="391"/>
      <c r="Z77" s="390"/>
      <c r="AA77" s="387"/>
      <c r="AB77" s="391"/>
      <c r="AC77" s="391"/>
      <c r="AD77" s="391"/>
      <c r="AE77" s="390"/>
      <c r="AF77" s="389"/>
      <c r="AG77" s="391"/>
      <c r="AH77" s="391"/>
      <c r="AI77" s="395"/>
      <c r="AJ77" s="396"/>
      <c r="AK77" s="408"/>
    </row>
    <row r="78" spans="2:43" s="383" customFormat="1" ht="15.75" customHeight="1">
      <c r="B78" s="399">
        <v>33</v>
      </c>
      <c r="C78" s="400"/>
      <c r="D78" s="400"/>
      <c r="E78" s="385"/>
      <c r="F78" s="400"/>
      <c r="G78" s="403"/>
      <c r="H78" s="386"/>
      <c r="I78" s="403"/>
      <c r="J78" s="404"/>
      <c r="K78" s="401"/>
      <c r="L78" s="404"/>
      <c r="M78" s="405"/>
      <c r="N78" s="405"/>
      <c r="O78" s="405"/>
      <c r="P78" s="406"/>
      <c r="Q78" s="405"/>
      <c r="R78" s="407"/>
      <c r="S78" s="407"/>
      <c r="T78" s="407"/>
      <c r="U78" s="406"/>
      <c r="V78" s="387"/>
      <c r="W78" s="391"/>
      <c r="X78" s="391"/>
      <c r="Y78" s="391"/>
      <c r="Z78" s="390"/>
      <c r="AA78" s="387"/>
      <c r="AB78" s="391"/>
      <c r="AC78" s="391"/>
      <c r="AD78" s="391"/>
      <c r="AE78" s="390"/>
      <c r="AF78" s="389"/>
      <c r="AG78" s="391"/>
      <c r="AH78" s="391"/>
      <c r="AI78" s="395"/>
      <c r="AJ78" s="396"/>
      <c r="AK78" s="408"/>
    </row>
    <row r="79" spans="2:43" s="383" customFormat="1" ht="15.75" customHeight="1">
      <c r="B79" s="399">
        <v>34</v>
      </c>
      <c r="C79" s="400"/>
      <c r="D79" s="400"/>
      <c r="E79" s="385"/>
      <c r="F79" s="400"/>
      <c r="G79" s="403"/>
      <c r="H79" s="386"/>
      <c r="I79" s="403"/>
      <c r="J79" s="404"/>
      <c r="K79" s="401"/>
      <c r="L79" s="404"/>
      <c r="M79" s="405"/>
      <c r="N79" s="405"/>
      <c r="O79" s="405"/>
      <c r="P79" s="406"/>
      <c r="Q79" s="405"/>
      <c r="R79" s="407"/>
      <c r="S79" s="407"/>
      <c r="T79" s="407"/>
      <c r="U79" s="406"/>
      <c r="V79" s="387"/>
      <c r="W79" s="391"/>
      <c r="X79" s="391"/>
      <c r="Y79" s="391"/>
      <c r="Z79" s="390"/>
      <c r="AA79" s="387"/>
      <c r="AB79" s="391"/>
      <c r="AC79" s="391"/>
      <c r="AD79" s="391"/>
      <c r="AE79" s="390"/>
      <c r="AF79" s="389"/>
      <c r="AG79" s="391"/>
      <c r="AH79" s="391"/>
      <c r="AI79" s="395"/>
      <c r="AJ79" s="396"/>
      <c r="AK79" s="408"/>
    </row>
    <row r="80" spans="2:43" s="383" customFormat="1" ht="15.75" customHeight="1">
      <c r="B80" s="399">
        <v>35</v>
      </c>
      <c r="C80" s="400"/>
      <c r="D80" s="400"/>
      <c r="E80" s="385"/>
      <c r="F80" s="400"/>
      <c r="G80" s="403"/>
      <c r="H80" s="386"/>
      <c r="I80" s="403"/>
      <c r="J80" s="404"/>
      <c r="K80" s="401"/>
      <c r="L80" s="404"/>
      <c r="M80" s="405"/>
      <c r="N80" s="405"/>
      <c r="O80" s="405"/>
      <c r="P80" s="406"/>
      <c r="Q80" s="405"/>
      <c r="R80" s="407"/>
      <c r="S80" s="407"/>
      <c r="T80" s="407"/>
      <c r="U80" s="406"/>
      <c r="V80" s="387"/>
      <c r="W80" s="391"/>
      <c r="X80" s="391"/>
      <c r="Y80" s="391"/>
      <c r="Z80" s="390"/>
      <c r="AA80" s="387"/>
      <c r="AB80" s="391"/>
      <c r="AC80" s="391"/>
      <c r="AD80" s="391"/>
      <c r="AE80" s="390"/>
      <c r="AF80" s="389"/>
      <c r="AG80" s="391"/>
      <c r="AH80" s="391"/>
      <c r="AI80" s="395"/>
      <c r="AJ80" s="396"/>
      <c r="AK80" s="408"/>
    </row>
    <row r="81" spans="2:37" s="383" customFormat="1" ht="15.75" customHeight="1">
      <c r="B81" s="399">
        <v>36</v>
      </c>
      <c r="C81" s="400"/>
      <c r="D81" s="400"/>
      <c r="E81" s="385"/>
      <c r="F81" s="400"/>
      <c r="G81" s="403"/>
      <c r="H81" s="386"/>
      <c r="I81" s="403"/>
      <c r="J81" s="404"/>
      <c r="K81" s="401"/>
      <c r="L81" s="404"/>
      <c r="M81" s="405"/>
      <c r="N81" s="405"/>
      <c r="O81" s="405"/>
      <c r="P81" s="406"/>
      <c r="Q81" s="405"/>
      <c r="R81" s="407"/>
      <c r="S81" s="407"/>
      <c r="T81" s="407"/>
      <c r="U81" s="406"/>
      <c r="V81" s="387"/>
      <c r="W81" s="391"/>
      <c r="X81" s="391"/>
      <c r="Y81" s="391"/>
      <c r="Z81" s="390"/>
      <c r="AA81" s="387"/>
      <c r="AB81" s="391"/>
      <c r="AC81" s="391"/>
      <c r="AD81" s="391"/>
      <c r="AE81" s="390"/>
      <c r="AF81" s="389"/>
      <c r="AG81" s="391"/>
      <c r="AH81" s="391"/>
      <c r="AI81" s="395"/>
      <c r="AJ81" s="396"/>
      <c r="AK81" s="408"/>
    </row>
    <row r="82" spans="2:37" s="383" customFormat="1" ht="15.75" customHeight="1">
      <c r="B82" s="399">
        <v>37</v>
      </c>
      <c r="C82" s="400"/>
      <c r="D82" s="400"/>
      <c r="E82" s="385"/>
      <c r="F82" s="400"/>
      <c r="G82" s="403"/>
      <c r="H82" s="386"/>
      <c r="I82" s="403"/>
      <c r="J82" s="404"/>
      <c r="K82" s="401"/>
      <c r="L82" s="404"/>
      <c r="M82" s="405"/>
      <c r="N82" s="405"/>
      <c r="O82" s="405"/>
      <c r="P82" s="406"/>
      <c r="Q82" s="405"/>
      <c r="R82" s="407"/>
      <c r="S82" s="407"/>
      <c r="T82" s="407"/>
      <c r="U82" s="406"/>
      <c r="V82" s="387"/>
      <c r="W82" s="391"/>
      <c r="X82" s="391"/>
      <c r="Y82" s="391"/>
      <c r="Z82" s="390"/>
      <c r="AA82" s="387"/>
      <c r="AB82" s="391"/>
      <c r="AC82" s="391"/>
      <c r="AD82" s="391"/>
      <c r="AE82" s="390"/>
      <c r="AF82" s="389"/>
      <c r="AG82" s="391"/>
      <c r="AH82" s="391"/>
      <c r="AI82" s="395"/>
      <c r="AJ82" s="396"/>
      <c r="AK82" s="408"/>
    </row>
    <row r="83" spans="2:37" s="383" customFormat="1" ht="15.75" customHeight="1">
      <c r="B83" s="399">
        <v>38</v>
      </c>
      <c r="C83" s="400"/>
      <c r="D83" s="400"/>
      <c r="E83" s="385"/>
      <c r="F83" s="400"/>
      <c r="G83" s="403"/>
      <c r="H83" s="386"/>
      <c r="I83" s="403"/>
      <c r="J83" s="404"/>
      <c r="K83" s="401"/>
      <c r="L83" s="404"/>
      <c r="M83" s="405"/>
      <c r="N83" s="405"/>
      <c r="O83" s="405"/>
      <c r="P83" s="406"/>
      <c r="Q83" s="405"/>
      <c r="R83" s="407"/>
      <c r="S83" s="407"/>
      <c r="T83" s="407"/>
      <c r="U83" s="406"/>
      <c r="V83" s="387"/>
      <c r="W83" s="391"/>
      <c r="X83" s="391"/>
      <c r="Y83" s="391"/>
      <c r="Z83" s="390"/>
      <c r="AA83" s="387"/>
      <c r="AB83" s="391"/>
      <c r="AC83" s="391"/>
      <c r="AD83" s="391"/>
      <c r="AE83" s="390"/>
      <c r="AF83" s="389"/>
      <c r="AG83" s="391"/>
      <c r="AH83" s="391"/>
      <c r="AI83" s="395"/>
      <c r="AJ83" s="396"/>
      <c r="AK83" s="408"/>
    </row>
    <row r="84" spans="2:37" s="383" customFormat="1" ht="15.75" customHeight="1">
      <c r="B84" s="399">
        <v>39</v>
      </c>
      <c r="C84" s="400"/>
      <c r="D84" s="400"/>
      <c r="E84" s="385"/>
      <c r="F84" s="400"/>
      <c r="G84" s="403"/>
      <c r="H84" s="386"/>
      <c r="I84" s="403"/>
      <c r="J84" s="404"/>
      <c r="K84" s="401"/>
      <c r="L84" s="404"/>
      <c r="M84" s="405"/>
      <c r="N84" s="405"/>
      <c r="O84" s="405"/>
      <c r="P84" s="406"/>
      <c r="Q84" s="405"/>
      <c r="R84" s="407"/>
      <c r="S84" s="407"/>
      <c r="T84" s="407"/>
      <c r="U84" s="406"/>
      <c r="V84" s="387"/>
      <c r="W84" s="391"/>
      <c r="X84" s="391"/>
      <c r="Y84" s="391"/>
      <c r="Z84" s="390"/>
      <c r="AA84" s="387"/>
      <c r="AB84" s="391"/>
      <c r="AC84" s="391"/>
      <c r="AD84" s="391"/>
      <c r="AE84" s="390"/>
      <c r="AF84" s="389"/>
      <c r="AG84" s="391"/>
      <c r="AH84" s="391"/>
      <c r="AI84" s="395"/>
      <c r="AJ84" s="396"/>
      <c r="AK84" s="408"/>
    </row>
    <row r="85" spans="2:37" s="383" customFormat="1" ht="15.75" customHeight="1">
      <c r="B85" s="399">
        <v>40</v>
      </c>
      <c r="C85" s="400"/>
      <c r="D85" s="400"/>
      <c r="E85" s="385"/>
      <c r="F85" s="400"/>
      <c r="G85" s="403"/>
      <c r="H85" s="386"/>
      <c r="I85" s="403"/>
      <c r="J85" s="404"/>
      <c r="K85" s="401"/>
      <c r="L85" s="404"/>
      <c r="M85" s="405"/>
      <c r="N85" s="405"/>
      <c r="O85" s="405"/>
      <c r="P85" s="406"/>
      <c r="Q85" s="405"/>
      <c r="R85" s="407"/>
      <c r="S85" s="407"/>
      <c r="T85" s="407"/>
      <c r="U85" s="406"/>
      <c r="V85" s="387"/>
      <c r="W85" s="391"/>
      <c r="X85" s="391"/>
      <c r="Y85" s="391"/>
      <c r="Z85" s="390"/>
      <c r="AA85" s="387"/>
      <c r="AB85" s="391"/>
      <c r="AC85" s="391"/>
      <c r="AD85" s="391"/>
      <c r="AE85" s="390"/>
      <c r="AF85" s="389"/>
      <c r="AG85" s="391"/>
      <c r="AH85" s="391"/>
      <c r="AI85" s="395"/>
      <c r="AJ85" s="396"/>
      <c r="AK85" s="408"/>
    </row>
    <row r="86" spans="2:37" s="383" customFormat="1" ht="15.75" customHeight="1">
      <c r="B86" s="399">
        <v>41</v>
      </c>
      <c r="C86" s="400"/>
      <c r="D86" s="400"/>
      <c r="E86" s="385"/>
      <c r="F86" s="400"/>
      <c r="G86" s="403"/>
      <c r="H86" s="386"/>
      <c r="I86" s="403"/>
      <c r="J86" s="404"/>
      <c r="K86" s="401"/>
      <c r="L86" s="404"/>
      <c r="M86" s="405"/>
      <c r="N86" s="405"/>
      <c r="O86" s="405"/>
      <c r="P86" s="406"/>
      <c r="Q86" s="405"/>
      <c r="R86" s="407"/>
      <c r="S86" s="407"/>
      <c r="T86" s="407"/>
      <c r="U86" s="406"/>
      <c r="V86" s="387"/>
      <c r="W86" s="391"/>
      <c r="X86" s="391"/>
      <c r="Y86" s="391"/>
      <c r="Z86" s="390"/>
      <c r="AA86" s="387"/>
      <c r="AB86" s="391"/>
      <c r="AC86" s="391"/>
      <c r="AD86" s="391"/>
      <c r="AE86" s="390"/>
      <c r="AF86" s="389"/>
      <c r="AG86" s="391"/>
      <c r="AH86" s="391"/>
      <c r="AI86" s="395"/>
      <c r="AJ86" s="396"/>
      <c r="AK86" s="408"/>
    </row>
    <row r="87" spans="2:37" s="383" customFormat="1" ht="15.75" customHeight="1">
      <c r="B87" s="399">
        <v>42</v>
      </c>
      <c r="C87" s="400"/>
      <c r="D87" s="400"/>
      <c r="E87" s="385"/>
      <c r="F87" s="400"/>
      <c r="G87" s="403"/>
      <c r="H87" s="386"/>
      <c r="I87" s="403"/>
      <c r="J87" s="404"/>
      <c r="K87" s="401"/>
      <c r="L87" s="404"/>
      <c r="M87" s="405"/>
      <c r="N87" s="405"/>
      <c r="O87" s="405"/>
      <c r="P87" s="406"/>
      <c r="Q87" s="405"/>
      <c r="R87" s="407"/>
      <c r="S87" s="407"/>
      <c r="T87" s="407"/>
      <c r="U87" s="406"/>
      <c r="V87" s="387"/>
      <c r="W87" s="391"/>
      <c r="X87" s="391"/>
      <c r="Y87" s="391"/>
      <c r="Z87" s="390"/>
      <c r="AA87" s="387"/>
      <c r="AB87" s="391"/>
      <c r="AC87" s="391"/>
      <c r="AD87" s="391"/>
      <c r="AE87" s="390"/>
      <c r="AF87" s="389"/>
      <c r="AG87" s="391"/>
      <c r="AH87" s="391"/>
      <c r="AI87" s="395"/>
      <c r="AJ87" s="396"/>
      <c r="AK87" s="408"/>
    </row>
    <row r="88" spans="2:37" s="383" customFormat="1" ht="15.75" customHeight="1">
      <c r="B88" s="399">
        <v>43</v>
      </c>
      <c r="C88" s="400"/>
      <c r="D88" s="400"/>
      <c r="E88" s="385"/>
      <c r="F88" s="400"/>
      <c r="G88" s="403"/>
      <c r="H88" s="386"/>
      <c r="I88" s="403"/>
      <c r="J88" s="404"/>
      <c r="K88" s="401"/>
      <c r="L88" s="404"/>
      <c r="M88" s="405"/>
      <c r="N88" s="405"/>
      <c r="O88" s="405"/>
      <c r="P88" s="406"/>
      <c r="Q88" s="405"/>
      <c r="R88" s="407"/>
      <c r="S88" s="407"/>
      <c r="T88" s="407"/>
      <c r="U88" s="406"/>
      <c r="V88" s="387"/>
      <c r="W88" s="391"/>
      <c r="X88" s="391"/>
      <c r="Y88" s="391"/>
      <c r="Z88" s="390"/>
      <c r="AA88" s="387"/>
      <c r="AB88" s="391"/>
      <c r="AC88" s="391"/>
      <c r="AD88" s="391"/>
      <c r="AE88" s="390"/>
      <c r="AF88" s="389"/>
      <c r="AG88" s="391"/>
      <c r="AH88" s="391"/>
      <c r="AI88" s="395"/>
      <c r="AJ88" s="396"/>
      <c r="AK88" s="408"/>
    </row>
    <row r="89" spans="2:37" s="383" customFormat="1" ht="15.75" customHeight="1">
      <c r="B89" s="399">
        <v>44</v>
      </c>
      <c r="C89" s="400"/>
      <c r="D89" s="400"/>
      <c r="E89" s="385"/>
      <c r="F89" s="400"/>
      <c r="G89" s="403"/>
      <c r="H89" s="386"/>
      <c r="I89" s="403"/>
      <c r="J89" s="404"/>
      <c r="K89" s="401"/>
      <c r="L89" s="404"/>
      <c r="M89" s="405"/>
      <c r="N89" s="405"/>
      <c r="O89" s="405"/>
      <c r="P89" s="406"/>
      <c r="Q89" s="405"/>
      <c r="R89" s="407"/>
      <c r="S89" s="407"/>
      <c r="T89" s="407"/>
      <c r="U89" s="406"/>
      <c r="V89" s="387"/>
      <c r="W89" s="391"/>
      <c r="X89" s="391"/>
      <c r="Y89" s="391"/>
      <c r="Z89" s="390"/>
      <c r="AA89" s="387"/>
      <c r="AB89" s="391"/>
      <c r="AC89" s="391"/>
      <c r="AD89" s="391"/>
      <c r="AE89" s="390"/>
      <c r="AF89" s="389"/>
      <c r="AG89" s="391"/>
      <c r="AH89" s="391"/>
      <c r="AI89" s="395"/>
      <c r="AJ89" s="396"/>
      <c r="AK89" s="408"/>
    </row>
    <row r="90" spans="2:37" s="383" customFormat="1" ht="15.75" customHeight="1">
      <c r="B90" s="399">
        <v>45</v>
      </c>
      <c r="C90" s="400"/>
      <c r="D90" s="400"/>
      <c r="E90" s="385"/>
      <c r="F90" s="400"/>
      <c r="G90" s="403"/>
      <c r="H90" s="386"/>
      <c r="I90" s="403"/>
      <c r="J90" s="404"/>
      <c r="K90" s="401"/>
      <c r="L90" s="404"/>
      <c r="M90" s="405"/>
      <c r="N90" s="405"/>
      <c r="O90" s="405"/>
      <c r="P90" s="406"/>
      <c r="Q90" s="405"/>
      <c r="R90" s="407"/>
      <c r="S90" s="407"/>
      <c r="T90" s="407"/>
      <c r="U90" s="406"/>
      <c r="V90" s="387"/>
      <c r="W90" s="391"/>
      <c r="X90" s="391"/>
      <c r="Y90" s="391"/>
      <c r="Z90" s="390"/>
      <c r="AA90" s="387"/>
      <c r="AB90" s="391"/>
      <c r="AC90" s="391"/>
      <c r="AD90" s="391"/>
      <c r="AE90" s="390"/>
      <c r="AF90" s="389"/>
      <c r="AG90" s="391"/>
      <c r="AH90" s="391"/>
      <c r="AI90" s="395"/>
      <c r="AJ90" s="396"/>
      <c r="AK90" s="408"/>
    </row>
    <row r="91" spans="2:37" s="383" customFormat="1" ht="15.75" customHeight="1">
      <c r="B91" s="399">
        <v>46</v>
      </c>
      <c r="C91" s="400"/>
      <c r="D91" s="400"/>
      <c r="E91" s="385"/>
      <c r="F91" s="400"/>
      <c r="G91" s="403"/>
      <c r="H91" s="386"/>
      <c r="I91" s="403"/>
      <c r="J91" s="404"/>
      <c r="K91" s="401"/>
      <c r="L91" s="404"/>
      <c r="M91" s="405"/>
      <c r="N91" s="405"/>
      <c r="O91" s="405"/>
      <c r="P91" s="406"/>
      <c r="Q91" s="405"/>
      <c r="R91" s="407"/>
      <c r="S91" s="407"/>
      <c r="T91" s="407"/>
      <c r="U91" s="406"/>
      <c r="V91" s="387"/>
      <c r="W91" s="391"/>
      <c r="X91" s="391"/>
      <c r="Y91" s="391"/>
      <c r="Z91" s="390"/>
      <c r="AA91" s="387"/>
      <c r="AB91" s="391"/>
      <c r="AC91" s="391"/>
      <c r="AD91" s="391"/>
      <c r="AE91" s="390"/>
      <c r="AF91" s="389"/>
      <c r="AG91" s="391"/>
      <c r="AH91" s="391"/>
      <c r="AI91" s="395"/>
      <c r="AJ91" s="396"/>
      <c r="AK91" s="408"/>
    </row>
    <row r="92" spans="2:37" s="383" customFormat="1" ht="15.75" customHeight="1">
      <c r="B92" s="399">
        <v>47</v>
      </c>
      <c r="C92" s="400"/>
      <c r="D92" s="400"/>
      <c r="E92" s="385"/>
      <c r="F92" s="400"/>
      <c r="G92" s="403"/>
      <c r="H92" s="386"/>
      <c r="I92" s="403"/>
      <c r="J92" s="404"/>
      <c r="K92" s="401"/>
      <c r="L92" s="404"/>
      <c r="M92" s="405"/>
      <c r="N92" s="405"/>
      <c r="O92" s="405"/>
      <c r="P92" s="406"/>
      <c r="Q92" s="405"/>
      <c r="R92" s="407"/>
      <c r="S92" s="407"/>
      <c r="T92" s="407"/>
      <c r="U92" s="406"/>
      <c r="V92" s="387"/>
      <c r="W92" s="391"/>
      <c r="X92" s="391"/>
      <c r="Y92" s="391"/>
      <c r="Z92" s="390"/>
      <c r="AA92" s="387"/>
      <c r="AB92" s="391"/>
      <c r="AC92" s="391"/>
      <c r="AD92" s="391"/>
      <c r="AE92" s="390"/>
      <c r="AF92" s="389"/>
      <c r="AG92" s="391"/>
      <c r="AH92" s="391"/>
      <c r="AI92" s="395"/>
      <c r="AJ92" s="396"/>
      <c r="AK92" s="408"/>
    </row>
    <row r="93" spans="2:37" s="383" customFormat="1" ht="15.75" customHeight="1">
      <c r="B93" s="399">
        <v>48</v>
      </c>
      <c r="C93" s="400"/>
      <c r="D93" s="400"/>
      <c r="E93" s="385"/>
      <c r="F93" s="400"/>
      <c r="G93" s="403"/>
      <c r="H93" s="386"/>
      <c r="I93" s="403"/>
      <c r="J93" s="404"/>
      <c r="K93" s="401"/>
      <c r="L93" s="404"/>
      <c r="M93" s="405"/>
      <c r="N93" s="405"/>
      <c r="O93" s="405"/>
      <c r="P93" s="406"/>
      <c r="Q93" s="405"/>
      <c r="R93" s="407"/>
      <c r="S93" s="407"/>
      <c r="T93" s="407"/>
      <c r="U93" s="406"/>
      <c r="V93" s="387"/>
      <c r="W93" s="391"/>
      <c r="X93" s="391"/>
      <c r="Y93" s="391"/>
      <c r="Z93" s="390"/>
      <c r="AA93" s="387"/>
      <c r="AB93" s="391"/>
      <c r="AC93" s="391"/>
      <c r="AD93" s="391"/>
      <c r="AE93" s="390"/>
      <c r="AF93" s="389"/>
      <c r="AG93" s="391"/>
      <c r="AH93" s="391"/>
      <c r="AI93" s="395"/>
      <c r="AJ93" s="396"/>
      <c r="AK93" s="408"/>
    </row>
    <row r="94" spans="2:37" s="383" customFormat="1" ht="15.75" customHeight="1">
      <c r="B94" s="399">
        <v>49</v>
      </c>
      <c r="C94" s="400"/>
      <c r="D94" s="400"/>
      <c r="E94" s="385"/>
      <c r="F94" s="400"/>
      <c r="G94" s="403"/>
      <c r="H94" s="386"/>
      <c r="I94" s="403"/>
      <c r="J94" s="404"/>
      <c r="K94" s="401"/>
      <c r="L94" s="404"/>
      <c r="M94" s="405"/>
      <c r="N94" s="405"/>
      <c r="O94" s="405"/>
      <c r="P94" s="406"/>
      <c r="Q94" s="405"/>
      <c r="R94" s="407"/>
      <c r="S94" s="407"/>
      <c r="T94" s="407"/>
      <c r="U94" s="406"/>
      <c r="V94" s="387"/>
      <c r="W94" s="391"/>
      <c r="X94" s="391"/>
      <c r="Y94" s="391"/>
      <c r="Z94" s="390"/>
      <c r="AA94" s="387"/>
      <c r="AB94" s="391"/>
      <c r="AC94" s="391"/>
      <c r="AD94" s="391"/>
      <c r="AE94" s="390"/>
      <c r="AF94" s="389"/>
      <c r="AG94" s="391"/>
      <c r="AH94" s="391"/>
      <c r="AI94" s="395"/>
      <c r="AJ94" s="396"/>
      <c r="AK94" s="408"/>
    </row>
    <row r="95" spans="2:37" s="383" customFormat="1" ht="15.75" customHeight="1">
      <c r="B95" s="399">
        <v>50</v>
      </c>
      <c r="C95" s="400"/>
      <c r="D95" s="400"/>
      <c r="E95" s="385"/>
      <c r="F95" s="400"/>
      <c r="G95" s="403"/>
      <c r="H95" s="386"/>
      <c r="I95" s="403"/>
      <c r="J95" s="404"/>
      <c r="K95" s="401"/>
      <c r="L95" s="404"/>
      <c r="M95" s="405"/>
      <c r="N95" s="405"/>
      <c r="O95" s="405"/>
      <c r="P95" s="406"/>
      <c r="Q95" s="405"/>
      <c r="R95" s="407"/>
      <c r="S95" s="407"/>
      <c r="T95" s="407"/>
      <c r="U95" s="406"/>
      <c r="V95" s="387"/>
      <c r="W95" s="391"/>
      <c r="X95" s="391"/>
      <c r="Y95" s="391"/>
      <c r="Z95" s="390"/>
      <c r="AA95" s="387"/>
      <c r="AB95" s="391"/>
      <c r="AC95" s="391"/>
      <c r="AD95" s="391"/>
      <c r="AE95" s="390"/>
      <c r="AF95" s="389"/>
      <c r="AG95" s="391"/>
      <c r="AH95" s="391"/>
      <c r="AI95" s="395"/>
      <c r="AJ95" s="396"/>
      <c r="AK95" s="408"/>
    </row>
    <row r="96" spans="2:37" s="383" customFormat="1" ht="15.75" customHeight="1">
      <c r="B96" s="399">
        <v>51</v>
      </c>
      <c r="C96" s="400"/>
      <c r="D96" s="400"/>
      <c r="E96" s="385"/>
      <c r="F96" s="400"/>
      <c r="G96" s="403"/>
      <c r="H96" s="386"/>
      <c r="I96" s="403"/>
      <c r="J96" s="404"/>
      <c r="K96" s="401"/>
      <c r="L96" s="404"/>
      <c r="M96" s="405"/>
      <c r="N96" s="405"/>
      <c r="O96" s="405"/>
      <c r="P96" s="406"/>
      <c r="Q96" s="405"/>
      <c r="R96" s="407"/>
      <c r="S96" s="407"/>
      <c r="T96" s="407"/>
      <c r="U96" s="406"/>
      <c r="V96" s="387"/>
      <c r="W96" s="391"/>
      <c r="X96" s="391"/>
      <c r="Y96" s="391"/>
      <c r="Z96" s="390"/>
      <c r="AA96" s="387"/>
      <c r="AB96" s="391"/>
      <c r="AC96" s="391"/>
      <c r="AD96" s="391"/>
      <c r="AE96" s="390"/>
      <c r="AF96" s="389"/>
      <c r="AG96" s="391"/>
      <c r="AH96" s="391"/>
      <c r="AI96" s="395"/>
      <c r="AJ96" s="396"/>
      <c r="AK96" s="408"/>
    </row>
    <row r="97" spans="2:37" s="383" customFormat="1" ht="15.75" customHeight="1" thickBot="1">
      <c r="B97" s="399">
        <v>52</v>
      </c>
      <c r="C97" s="400"/>
      <c r="D97" s="400"/>
      <c r="E97" s="400"/>
      <c r="F97" s="400"/>
      <c r="G97" s="403"/>
      <c r="H97" s="403"/>
      <c r="I97" s="403"/>
      <c r="J97" s="404"/>
      <c r="K97" s="401"/>
      <c r="L97" s="404"/>
      <c r="M97" s="405"/>
      <c r="N97" s="405"/>
      <c r="O97" s="405"/>
      <c r="P97" s="406"/>
      <c r="Q97" s="405"/>
      <c r="R97" s="407"/>
      <c r="S97" s="407"/>
      <c r="T97" s="407"/>
      <c r="U97" s="406"/>
      <c r="V97" s="409"/>
      <c r="W97" s="410"/>
      <c r="X97" s="410"/>
      <c r="Y97" s="410"/>
      <c r="Z97" s="411"/>
      <c r="AA97" s="409"/>
      <c r="AB97" s="410"/>
      <c r="AC97" s="410"/>
      <c r="AD97" s="410"/>
      <c r="AE97" s="411"/>
      <c r="AF97" s="389"/>
      <c r="AG97" s="391"/>
      <c r="AH97" s="391"/>
      <c r="AI97" s="395"/>
      <c r="AJ97" s="396"/>
      <c r="AK97" s="408"/>
    </row>
    <row r="98" spans="2:37" s="383" customFormat="1" ht="15.75" customHeight="1">
      <c r="B98" s="399">
        <v>53</v>
      </c>
      <c r="C98" s="400"/>
      <c r="D98" s="400"/>
      <c r="E98" s="385"/>
      <c r="F98" s="400"/>
      <c r="G98" s="403"/>
      <c r="H98" s="386"/>
      <c r="I98" s="403"/>
      <c r="J98" s="404"/>
      <c r="K98" s="401"/>
      <c r="L98" s="404"/>
      <c r="M98" s="405"/>
      <c r="N98" s="405"/>
      <c r="O98" s="405"/>
      <c r="P98" s="406"/>
      <c r="Q98" s="405"/>
      <c r="R98" s="407"/>
      <c r="S98" s="407"/>
      <c r="T98" s="407"/>
      <c r="U98" s="406"/>
      <c r="V98" s="387"/>
      <c r="W98" s="391"/>
      <c r="X98" s="391"/>
      <c r="Y98" s="391"/>
      <c r="Z98" s="390"/>
      <c r="AA98" s="387"/>
      <c r="AB98" s="391"/>
      <c r="AC98" s="391"/>
      <c r="AD98" s="391"/>
      <c r="AE98" s="390"/>
      <c r="AF98" s="389"/>
      <c r="AG98" s="391"/>
      <c r="AH98" s="391"/>
      <c r="AI98" s="395"/>
      <c r="AJ98" s="396"/>
      <c r="AK98" s="408"/>
    </row>
    <row r="99" spans="2:37" s="383" customFormat="1" ht="15.75" customHeight="1">
      <c r="B99" s="399">
        <v>54</v>
      </c>
      <c r="C99" s="400"/>
      <c r="D99" s="400"/>
      <c r="E99" s="385"/>
      <c r="F99" s="400"/>
      <c r="G99" s="403"/>
      <c r="H99" s="386"/>
      <c r="I99" s="403"/>
      <c r="J99" s="404"/>
      <c r="K99" s="401"/>
      <c r="L99" s="404"/>
      <c r="M99" s="405"/>
      <c r="N99" s="405"/>
      <c r="O99" s="405"/>
      <c r="P99" s="406"/>
      <c r="Q99" s="405"/>
      <c r="R99" s="407"/>
      <c r="S99" s="407"/>
      <c r="T99" s="407"/>
      <c r="U99" s="406"/>
      <c r="V99" s="387"/>
      <c r="W99" s="391"/>
      <c r="X99" s="391"/>
      <c r="Y99" s="391"/>
      <c r="Z99" s="390"/>
      <c r="AA99" s="387"/>
      <c r="AB99" s="391"/>
      <c r="AC99" s="391"/>
      <c r="AD99" s="391"/>
      <c r="AE99" s="390"/>
      <c r="AF99" s="389"/>
      <c r="AG99" s="391"/>
      <c r="AH99" s="391"/>
      <c r="AI99" s="395"/>
      <c r="AJ99" s="396"/>
      <c r="AK99" s="408"/>
    </row>
    <row r="100" spans="2:37" s="383" customFormat="1" ht="15.75" customHeight="1">
      <c r="B100" s="399">
        <v>55</v>
      </c>
      <c r="C100" s="400"/>
      <c r="D100" s="400"/>
      <c r="E100" s="385"/>
      <c r="F100" s="400"/>
      <c r="G100" s="403"/>
      <c r="H100" s="386"/>
      <c r="I100" s="403"/>
      <c r="J100" s="404"/>
      <c r="K100" s="401"/>
      <c r="L100" s="404"/>
      <c r="M100" s="405"/>
      <c r="N100" s="405"/>
      <c r="O100" s="405"/>
      <c r="P100" s="406"/>
      <c r="Q100" s="405"/>
      <c r="R100" s="407"/>
      <c r="S100" s="407"/>
      <c r="T100" s="407"/>
      <c r="U100" s="406"/>
      <c r="V100" s="387"/>
      <c r="W100" s="391"/>
      <c r="X100" s="391"/>
      <c r="Y100" s="391"/>
      <c r="Z100" s="390"/>
      <c r="AA100" s="387"/>
      <c r="AB100" s="391"/>
      <c r="AC100" s="391"/>
      <c r="AD100" s="391"/>
      <c r="AE100" s="390"/>
      <c r="AF100" s="389"/>
      <c r="AG100" s="391"/>
      <c r="AH100" s="391"/>
      <c r="AI100" s="395"/>
      <c r="AJ100" s="396"/>
      <c r="AK100" s="408"/>
    </row>
    <row r="101" spans="2:37" s="383" customFormat="1" ht="15.75" customHeight="1">
      <c r="B101" s="399">
        <v>56</v>
      </c>
      <c r="C101" s="400"/>
      <c r="D101" s="400"/>
      <c r="E101" s="385"/>
      <c r="F101" s="400"/>
      <c r="G101" s="403"/>
      <c r="H101" s="386"/>
      <c r="I101" s="403"/>
      <c r="J101" s="404"/>
      <c r="K101" s="401"/>
      <c r="L101" s="404"/>
      <c r="M101" s="405"/>
      <c r="N101" s="405"/>
      <c r="O101" s="405"/>
      <c r="P101" s="406"/>
      <c r="Q101" s="405"/>
      <c r="R101" s="407"/>
      <c r="S101" s="407"/>
      <c r="T101" s="407"/>
      <c r="U101" s="406"/>
      <c r="V101" s="387"/>
      <c r="W101" s="391"/>
      <c r="X101" s="391"/>
      <c r="Y101" s="391"/>
      <c r="Z101" s="390"/>
      <c r="AA101" s="387"/>
      <c r="AB101" s="391"/>
      <c r="AC101" s="391"/>
      <c r="AD101" s="391"/>
      <c r="AE101" s="390"/>
      <c r="AF101" s="389"/>
      <c r="AG101" s="391"/>
      <c r="AH101" s="391"/>
      <c r="AI101" s="395"/>
      <c r="AJ101" s="396"/>
      <c r="AK101" s="408"/>
    </row>
    <row r="102" spans="2:37" s="383" customFormat="1" ht="15.75" customHeight="1">
      <c r="B102" s="399">
        <v>57</v>
      </c>
      <c r="C102" s="400"/>
      <c r="D102" s="400"/>
      <c r="E102" s="385"/>
      <c r="F102" s="400"/>
      <c r="G102" s="403"/>
      <c r="H102" s="386"/>
      <c r="I102" s="403"/>
      <c r="J102" s="404"/>
      <c r="K102" s="401"/>
      <c r="L102" s="404"/>
      <c r="M102" s="405"/>
      <c r="N102" s="405"/>
      <c r="O102" s="405"/>
      <c r="P102" s="406"/>
      <c r="Q102" s="405"/>
      <c r="R102" s="407"/>
      <c r="S102" s="407"/>
      <c r="T102" s="407"/>
      <c r="U102" s="406"/>
      <c r="V102" s="387"/>
      <c r="W102" s="391"/>
      <c r="X102" s="391"/>
      <c r="Y102" s="391"/>
      <c r="Z102" s="390"/>
      <c r="AA102" s="387"/>
      <c r="AB102" s="391"/>
      <c r="AC102" s="391"/>
      <c r="AD102" s="391"/>
      <c r="AE102" s="390"/>
      <c r="AF102" s="389"/>
      <c r="AG102" s="391"/>
      <c r="AH102" s="391"/>
      <c r="AI102" s="395"/>
      <c r="AJ102" s="396"/>
      <c r="AK102" s="408"/>
    </row>
    <row r="103" spans="2:37" s="383" customFormat="1" ht="15.75" customHeight="1">
      <c r="B103" s="399">
        <v>58</v>
      </c>
      <c r="C103" s="400"/>
      <c r="D103" s="400"/>
      <c r="E103" s="385"/>
      <c r="F103" s="400"/>
      <c r="G103" s="403"/>
      <c r="H103" s="386"/>
      <c r="I103" s="403"/>
      <c r="J103" s="404"/>
      <c r="K103" s="401"/>
      <c r="L103" s="404"/>
      <c r="M103" s="405"/>
      <c r="N103" s="405"/>
      <c r="O103" s="405"/>
      <c r="P103" s="406"/>
      <c r="Q103" s="405"/>
      <c r="R103" s="407"/>
      <c r="S103" s="407"/>
      <c r="T103" s="407"/>
      <c r="U103" s="406"/>
      <c r="V103" s="387"/>
      <c r="W103" s="391"/>
      <c r="X103" s="391"/>
      <c r="Y103" s="391"/>
      <c r="Z103" s="390"/>
      <c r="AA103" s="387"/>
      <c r="AB103" s="391"/>
      <c r="AC103" s="391"/>
      <c r="AD103" s="391"/>
      <c r="AE103" s="390"/>
      <c r="AF103" s="389"/>
      <c r="AG103" s="391"/>
      <c r="AH103" s="391"/>
      <c r="AI103" s="395"/>
      <c r="AJ103" s="396"/>
      <c r="AK103" s="408"/>
    </row>
    <row r="104" spans="2:37" s="383" customFormat="1" ht="15.75" customHeight="1">
      <c r="B104" s="399">
        <v>59</v>
      </c>
      <c r="C104" s="400"/>
      <c r="D104" s="400"/>
      <c r="E104" s="385"/>
      <c r="F104" s="400"/>
      <c r="G104" s="403"/>
      <c r="H104" s="386"/>
      <c r="I104" s="403"/>
      <c r="J104" s="404"/>
      <c r="K104" s="401"/>
      <c r="L104" s="404"/>
      <c r="M104" s="405"/>
      <c r="N104" s="405"/>
      <c r="O104" s="405"/>
      <c r="P104" s="406"/>
      <c r="Q104" s="405"/>
      <c r="R104" s="407"/>
      <c r="S104" s="407"/>
      <c r="T104" s="407"/>
      <c r="U104" s="406"/>
      <c r="V104" s="387"/>
      <c r="W104" s="391"/>
      <c r="X104" s="391"/>
      <c r="Y104" s="391"/>
      <c r="Z104" s="390"/>
      <c r="AA104" s="387"/>
      <c r="AB104" s="391"/>
      <c r="AC104" s="391"/>
      <c r="AD104" s="391"/>
      <c r="AE104" s="390"/>
      <c r="AF104" s="389"/>
      <c r="AG104" s="391"/>
      <c r="AH104" s="391"/>
      <c r="AI104" s="395"/>
      <c r="AJ104" s="396"/>
      <c r="AK104" s="408"/>
    </row>
    <row r="105" spans="2:37" s="383" customFormat="1" ht="15.75" customHeight="1">
      <c r="B105" s="399">
        <v>60</v>
      </c>
      <c r="C105" s="400"/>
      <c r="D105" s="400"/>
      <c r="E105" s="385"/>
      <c r="F105" s="400"/>
      <c r="G105" s="403"/>
      <c r="H105" s="386"/>
      <c r="I105" s="403"/>
      <c r="J105" s="404"/>
      <c r="K105" s="401"/>
      <c r="L105" s="404"/>
      <c r="M105" s="405"/>
      <c r="N105" s="405"/>
      <c r="O105" s="405"/>
      <c r="P105" s="406"/>
      <c r="Q105" s="405"/>
      <c r="R105" s="407"/>
      <c r="S105" s="407"/>
      <c r="T105" s="407"/>
      <c r="U105" s="406"/>
      <c r="V105" s="387"/>
      <c r="W105" s="391"/>
      <c r="X105" s="391"/>
      <c r="Y105" s="391"/>
      <c r="Z105" s="390"/>
      <c r="AA105" s="387"/>
      <c r="AB105" s="391"/>
      <c r="AC105" s="391"/>
      <c r="AD105" s="391"/>
      <c r="AE105" s="390"/>
      <c r="AF105" s="389"/>
      <c r="AG105" s="391"/>
      <c r="AH105" s="391"/>
      <c r="AI105" s="395"/>
      <c r="AJ105" s="396"/>
      <c r="AK105" s="408"/>
    </row>
    <row r="106" spans="2:37" s="383" customFormat="1" ht="15.75" customHeight="1">
      <c r="B106" s="399">
        <v>61</v>
      </c>
      <c r="C106" s="400"/>
      <c r="D106" s="400"/>
      <c r="E106" s="385"/>
      <c r="F106" s="400"/>
      <c r="G106" s="403"/>
      <c r="H106" s="386"/>
      <c r="I106" s="403"/>
      <c r="J106" s="404"/>
      <c r="K106" s="401"/>
      <c r="L106" s="404"/>
      <c r="M106" s="405"/>
      <c r="N106" s="405"/>
      <c r="O106" s="405"/>
      <c r="P106" s="406"/>
      <c r="Q106" s="405"/>
      <c r="R106" s="407"/>
      <c r="S106" s="407"/>
      <c r="T106" s="407"/>
      <c r="U106" s="406"/>
      <c r="V106" s="387"/>
      <c r="W106" s="391"/>
      <c r="X106" s="391"/>
      <c r="Y106" s="391"/>
      <c r="Z106" s="390"/>
      <c r="AA106" s="387"/>
      <c r="AB106" s="391"/>
      <c r="AC106" s="391"/>
      <c r="AD106" s="391"/>
      <c r="AE106" s="390"/>
      <c r="AF106" s="389"/>
      <c r="AG106" s="391"/>
      <c r="AH106" s="391"/>
      <c r="AI106" s="395"/>
      <c r="AJ106" s="396"/>
      <c r="AK106" s="408"/>
    </row>
    <row r="107" spans="2:37" s="383" customFormat="1" ht="15.75" customHeight="1">
      <c r="B107" s="399">
        <v>62</v>
      </c>
      <c r="C107" s="400"/>
      <c r="D107" s="400"/>
      <c r="E107" s="385"/>
      <c r="F107" s="400"/>
      <c r="G107" s="403"/>
      <c r="H107" s="386"/>
      <c r="I107" s="403"/>
      <c r="J107" s="404"/>
      <c r="K107" s="401"/>
      <c r="L107" s="404"/>
      <c r="M107" s="405"/>
      <c r="N107" s="405"/>
      <c r="O107" s="405"/>
      <c r="P107" s="406"/>
      <c r="Q107" s="405"/>
      <c r="R107" s="407"/>
      <c r="S107" s="407"/>
      <c r="T107" s="407"/>
      <c r="U107" s="406"/>
      <c r="V107" s="387"/>
      <c r="W107" s="391"/>
      <c r="X107" s="391"/>
      <c r="Y107" s="391"/>
      <c r="Z107" s="390"/>
      <c r="AA107" s="387"/>
      <c r="AB107" s="391"/>
      <c r="AC107" s="391"/>
      <c r="AD107" s="391"/>
      <c r="AE107" s="390"/>
      <c r="AF107" s="389"/>
      <c r="AG107" s="391"/>
      <c r="AH107" s="391"/>
      <c r="AI107" s="395"/>
      <c r="AJ107" s="396"/>
      <c r="AK107" s="408"/>
    </row>
    <row r="108" spans="2:37" s="383" customFormat="1" ht="15.75" customHeight="1">
      <c r="B108" s="399">
        <v>63</v>
      </c>
      <c r="C108" s="400"/>
      <c r="D108" s="400"/>
      <c r="E108" s="385"/>
      <c r="F108" s="400"/>
      <c r="G108" s="403"/>
      <c r="H108" s="386"/>
      <c r="I108" s="403"/>
      <c r="J108" s="404"/>
      <c r="K108" s="401"/>
      <c r="L108" s="404"/>
      <c r="M108" s="405"/>
      <c r="N108" s="405"/>
      <c r="O108" s="405"/>
      <c r="P108" s="406"/>
      <c r="Q108" s="405"/>
      <c r="R108" s="407"/>
      <c r="S108" s="407"/>
      <c r="T108" s="407"/>
      <c r="U108" s="406"/>
      <c r="V108" s="387"/>
      <c r="W108" s="391"/>
      <c r="X108" s="391"/>
      <c r="Y108" s="391"/>
      <c r="Z108" s="390"/>
      <c r="AA108" s="387"/>
      <c r="AB108" s="391"/>
      <c r="AC108" s="391"/>
      <c r="AD108" s="391"/>
      <c r="AE108" s="390"/>
      <c r="AF108" s="389"/>
      <c r="AG108" s="391"/>
      <c r="AH108" s="391"/>
      <c r="AI108" s="395"/>
      <c r="AJ108" s="396"/>
      <c r="AK108" s="408"/>
    </row>
    <row r="109" spans="2:37" ht="15.75" customHeight="1">
      <c r="B109" s="399">
        <v>64</v>
      </c>
      <c r="C109" s="400"/>
      <c r="D109" s="400"/>
      <c r="E109" s="385"/>
      <c r="F109" s="400"/>
      <c r="G109" s="403"/>
      <c r="H109" s="386"/>
      <c r="I109" s="403"/>
      <c r="J109" s="404"/>
      <c r="K109" s="401"/>
      <c r="L109" s="404"/>
      <c r="M109" s="405"/>
      <c r="N109" s="405"/>
      <c r="O109" s="405"/>
      <c r="P109" s="406"/>
      <c r="Q109" s="405"/>
      <c r="R109" s="407"/>
      <c r="S109" s="407"/>
      <c r="T109" s="407"/>
      <c r="U109" s="406"/>
      <c r="V109" s="387"/>
      <c r="W109" s="391"/>
      <c r="X109" s="391"/>
      <c r="Y109" s="391"/>
      <c r="Z109" s="390"/>
      <c r="AA109" s="387"/>
      <c r="AB109" s="391"/>
      <c r="AC109" s="391"/>
      <c r="AD109" s="391"/>
      <c r="AE109" s="390"/>
      <c r="AF109" s="389"/>
      <c r="AG109" s="391"/>
      <c r="AH109" s="391"/>
      <c r="AI109" s="395"/>
      <c r="AJ109" s="396"/>
      <c r="AK109" s="408"/>
    </row>
    <row r="110" spans="2:37" ht="15.75" customHeight="1">
      <c r="B110" s="399">
        <v>65</v>
      </c>
      <c r="C110" s="400"/>
      <c r="D110" s="400"/>
      <c r="E110" s="385"/>
      <c r="F110" s="400"/>
      <c r="G110" s="403"/>
      <c r="H110" s="386"/>
      <c r="I110" s="403"/>
      <c r="J110" s="404"/>
      <c r="K110" s="401"/>
      <c r="L110" s="404"/>
      <c r="M110" s="405"/>
      <c r="N110" s="405"/>
      <c r="O110" s="405"/>
      <c r="P110" s="406"/>
      <c r="Q110" s="405"/>
      <c r="R110" s="407"/>
      <c r="S110" s="407"/>
      <c r="T110" s="407"/>
      <c r="U110" s="406"/>
      <c r="V110" s="387"/>
      <c r="W110" s="391"/>
      <c r="X110" s="391"/>
      <c r="Y110" s="391"/>
      <c r="Z110" s="390"/>
      <c r="AA110" s="387"/>
      <c r="AB110" s="391"/>
      <c r="AC110" s="391"/>
      <c r="AD110" s="391"/>
      <c r="AE110" s="390"/>
      <c r="AF110" s="389"/>
      <c r="AG110" s="391"/>
      <c r="AH110" s="391"/>
      <c r="AI110" s="395"/>
      <c r="AJ110" s="396"/>
      <c r="AK110" s="408"/>
    </row>
    <row r="111" spans="2:37" ht="15.75" customHeight="1">
      <c r="B111" s="399">
        <v>66</v>
      </c>
      <c r="C111" s="400"/>
      <c r="D111" s="400"/>
      <c r="E111" s="385"/>
      <c r="F111" s="400"/>
      <c r="G111" s="403"/>
      <c r="H111" s="386"/>
      <c r="I111" s="403"/>
      <c r="J111" s="404"/>
      <c r="K111" s="401"/>
      <c r="L111" s="404"/>
      <c r="M111" s="405"/>
      <c r="N111" s="405"/>
      <c r="O111" s="405"/>
      <c r="P111" s="406"/>
      <c r="Q111" s="405"/>
      <c r="R111" s="407"/>
      <c r="S111" s="407"/>
      <c r="T111" s="407"/>
      <c r="U111" s="406"/>
      <c r="V111" s="387"/>
      <c r="W111" s="391"/>
      <c r="X111" s="391"/>
      <c r="Y111" s="391"/>
      <c r="Z111" s="390"/>
      <c r="AA111" s="387"/>
      <c r="AB111" s="391"/>
      <c r="AC111" s="391"/>
      <c r="AD111" s="391"/>
      <c r="AE111" s="390"/>
      <c r="AF111" s="389"/>
      <c r="AG111" s="391"/>
      <c r="AH111" s="391"/>
      <c r="AI111" s="395"/>
      <c r="AJ111" s="396"/>
      <c r="AK111" s="408"/>
    </row>
    <row r="112" spans="2:37" ht="15.75" customHeight="1">
      <c r="B112" s="399">
        <v>67</v>
      </c>
      <c r="C112" s="400"/>
      <c r="D112" s="400"/>
      <c r="E112" s="385"/>
      <c r="F112" s="400"/>
      <c r="G112" s="403"/>
      <c r="H112" s="386"/>
      <c r="I112" s="403"/>
      <c r="J112" s="404"/>
      <c r="K112" s="401"/>
      <c r="L112" s="404"/>
      <c r="M112" s="405"/>
      <c r="N112" s="405"/>
      <c r="O112" s="405"/>
      <c r="P112" s="406"/>
      <c r="Q112" s="405"/>
      <c r="R112" s="407"/>
      <c r="S112" s="407"/>
      <c r="T112" s="407"/>
      <c r="U112" s="406"/>
      <c r="V112" s="387"/>
      <c r="W112" s="391"/>
      <c r="X112" s="391"/>
      <c r="Y112" s="391"/>
      <c r="Z112" s="390"/>
      <c r="AA112" s="387"/>
      <c r="AB112" s="391"/>
      <c r="AC112" s="391"/>
      <c r="AD112" s="391"/>
      <c r="AE112" s="390"/>
      <c r="AF112" s="389"/>
      <c r="AG112" s="391"/>
      <c r="AH112" s="391"/>
      <c r="AI112" s="395"/>
      <c r="AJ112" s="396"/>
      <c r="AK112" s="408"/>
    </row>
    <row r="113" spans="2:37" ht="15.75" customHeight="1">
      <c r="B113" s="399">
        <v>68</v>
      </c>
      <c r="C113" s="400"/>
      <c r="D113" s="400"/>
      <c r="E113" s="385"/>
      <c r="F113" s="400"/>
      <c r="G113" s="403"/>
      <c r="H113" s="386"/>
      <c r="I113" s="403"/>
      <c r="J113" s="404"/>
      <c r="K113" s="401"/>
      <c r="L113" s="404"/>
      <c r="M113" s="405"/>
      <c r="N113" s="405"/>
      <c r="O113" s="405"/>
      <c r="P113" s="406"/>
      <c r="Q113" s="405"/>
      <c r="R113" s="407"/>
      <c r="S113" s="407"/>
      <c r="T113" s="407"/>
      <c r="U113" s="406"/>
      <c r="V113" s="387"/>
      <c r="W113" s="391"/>
      <c r="X113" s="391"/>
      <c r="Y113" s="391"/>
      <c r="Z113" s="390"/>
      <c r="AA113" s="387"/>
      <c r="AB113" s="391"/>
      <c r="AC113" s="391"/>
      <c r="AD113" s="391"/>
      <c r="AE113" s="390"/>
      <c r="AF113" s="389"/>
      <c r="AG113" s="391"/>
      <c r="AH113" s="391"/>
      <c r="AI113" s="395"/>
      <c r="AJ113" s="396"/>
      <c r="AK113" s="408"/>
    </row>
    <row r="114" spans="2:37" ht="15.75" customHeight="1">
      <c r="B114" s="399">
        <v>69</v>
      </c>
      <c r="C114" s="400"/>
      <c r="D114" s="400"/>
      <c r="E114" s="385"/>
      <c r="F114" s="400"/>
      <c r="G114" s="403"/>
      <c r="H114" s="386"/>
      <c r="I114" s="403"/>
      <c r="J114" s="404"/>
      <c r="K114" s="401"/>
      <c r="L114" s="404"/>
      <c r="M114" s="405"/>
      <c r="N114" s="405"/>
      <c r="O114" s="405"/>
      <c r="P114" s="406"/>
      <c r="Q114" s="405"/>
      <c r="R114" s="407"/>
      <c r="S114" s="407"/>
      <c r="T114" s="407"/>
      <c r="U114" s="406"/>
      <c r="V114" s="387"/>
      <c r="W114" s="391"/>
      <c r="X114" s="391"/>
      <c r="Y114" s="391"/>
      <c r="Z114" s="390"/>
      <c r="AA114" s="387"/>
      <c r="AB114" s="391"/>
      <c r="AC114" s="391"/>
      <c r="AD114" s="391"/>
      <c r="AE114" s="390"/>
      <c r="AF114" s="389"/>
      <c r="AG114" s="391"/>
      <c r="AH114" s="391"/>
      <c r="AI114" s="395"/>
      <c r="AJ114" s="396"/>
      <c r="AK114" s="408"/>
    </row>
    <row r="115" spans="2:37" ht="15.75" customHeight="1">
      <c r="B115" s="399">
        <v>70</v>
      </c>
      <c r="C115" s="400"/>
      <c r="D115" s="400"/>
      <c r="E115" s="385"/>
      <c r="F115" s="400"/>
      <c r="G115" s="403"/>
      <c r="H115" s="386"/>
      <c r="I115" s="403"/>
      <c r="J115" s="404"/>
      <c r="K115" s="401"/>
      <c r="L115" s="404"/>
      <c r="M115" s="405"/>
      <c r="N115" s="405"/>
      <c r="O115" s="405"/>
      <c r="P115" s="406"/>
      <c r="Q115" s="405"/>
      <c r="R115" s="407"/>
      <c r="S115" s="407"/>
      <c r="T115" s="407"/>
      <c r="U115" s="406"/>
      <c r="V115" s="387"/>
      <c r="W115" s="391"/>
      <c r="X115" s="391"/>
      <c r="Y115" s="391"/>
      <c r="Z115" s="390"/>
      <c r="AA115" s="387"/>
      <c r="AB115" s="391"/>
      <c r="AC115" s="391"/>
      <c r="AD115" s="391"/>
      <c r="AE115" s="390"/>
      <c r="AF115" s="389"/>
      <c r="AG115" s="391"/>
      <c r="AH115" s="391"/>
      <c r="AI115" s="395"/>
      <c r="AJ115" s="396"/>
      <c r="AK115" s="408"/>
    </row>
    <row r="116" spans="2:37" s="383" customFormat="1" ht="15.75" customHeight="1" thickBot="1">
      <c r="B116" s="412"/>
      <c r="C116" s="413" t="s">
        <v>220</v>
      </c>
      <c r="D116" s="414"/>
      <c r="E116" s="414"/>
      <c r="F116" s="414"/>
      <c r="G116" s="414"/>
      <c r="H116" s="414"/>
      <c r="I116" s="415">
        <f t="shared" ref="I116:U116" si="4">SUM(I46:I115)</f>
        <v>319.7</v>
      </c>
      <c r="J116" s="416">
        <f t="shared" si="4"/>
        <v>24.2</v>
      </c>
      <c r="K116" s="417">
        <f t="shared" si="4"/>
        <v>0</v>
      </c>
      <c r="L116" s="418">
        <f t="shared" si="4"/>
        <v>0</v>
      </c>
      <c r="M116" s="419">
        <f t="shared" si="4"/>
        <v>0</v>
      </c>
      <c r="N116" s="419">
        <f t="shared" si="4"/>
        <v>0</v>
      </c>
      <c r="O116" s="419">
        <f t="shared" si="4"/>
        <v>1</v>
      </c>
      <c r="P116" s="420">
        <f t="shared" si="4"/>
        <v>1.5</v>
      </c>
      <c r="Q116" s="421">
        <f t="shared" si="4"/>
        <v>4.8</v>
      </c>
      <c r="R116" s="419">
        <f t="shared" si="4"/>
        <v>4.2000000000000011</v>
      </c>
      <c r="S116" s="422">
        <f t="shared" si="4"/>
        <v>4.3</v>
      </c>
      <c r="T116" s="422">
        <f t="shared" si="4"/>
        <v>3.9</v>
      </c>
      <c r="U116" s="420">
        <f t="shared" si="4"/>
        <v>4.5</v>
      </c>
      <c r="V116" s="423">
        <f>SUM(V46:V115)</f>
        <v>0</v>
      </c>
      <c r="W116" s="423">
        <f t="shared" ref="W116:AH116" si="5">SUM(W46:W115)</f>
        <v>0</v>
      </c>
      <c r="X116" s="423">
        <f t="shared" si="5"/>
        <v>0</v>
      </c>
      <c r="Y116" s="423">
        <f t="shared" si="5"/>
        <v>0</v>
      </c>
      <c r="Z116" s="423">
        <f t="shared" si="5"/>
        <v>0</v>
      </c>
      <c r="AA116" s="423">
        <f t="shared" si="5"/>
        <v>0</v>
      </c>
      <c r="AB116" s="423">
        <f t="shared" si="5"/>
        <v>0</v>
      </c>
      <c r="AC116" s="423">
        <f t="shared" si="5"/>
        <v>0</v>
      </c>
      <c r="AD116" s="423">
        <f t="shared" si="5"/>
        <v>0</v>
      </c>
      <c r="AE116" s="423">
        <f t="shared" si="5"/>
        <v>0</v>
      </c>
      <c r="AF116" s="423">
        <f t="shared" si="5"/>
        <v>0</v>
      </c>
      <c r="AG116" s="423">
        <f t="shared" si="5"/>
        <v>0</v>
      </c>
      <c r="AH116" s="423">
        <f t="shared" si="5"/>
        <v>0</v>
      </c>
      <c r="AI116" s="424"/>
      <c r="AJ116" s="425"/>
      <c r="AK116" s="426"/>
    </row>
    <row r="117" spans="2:37" s="383" customFormat="1"/>
    <row r="118" spans="2:37" s="383" customFormat="1"/>
    <row r="119" spans="2:37" s="383" customFormat="1"/>
    <row r="120" spans="2:37" s="383" customFormat="1"/>
    <row r="121" spans="2:37" s="383" customFormat="1"/>
    <row r="122" spans="2:37" s="383" customFormat="1"/>
    <row r="123" spans="2:37" s="383" customFormat="1"/>
    <row r="124" spans="2:37" s="383" customFormat="1"/>
    <row r="125" spans="2:37" s="383" customFormat="1"/>
    <row r="126" spans="2:37" s="383"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47" t="s">
        <v>94</v>
      </c>
      <c r="F1" s="48" t="s">
        <v>1022</v>
      </c>
    </row>
    <row r="2" spans="1:19">
      <c r="A2" s="47"/>
    </row>
    <row r="3" spans="1:19">
      <c r="A3" s="47" t="s">
        <v>422</v>
      </c>
    </row>
    <row r="6" spans="1:19">
      <c r="B6" s="153" t="s">
        <v>423</v>
      </c>
      <c r="C6" s="331"/>
      <c r="D6" s="331"/>
      <c r="E6" s="331"/>
      <c r="F6" s="331"/>
      <c r="G6" s="331"/>
      <c r="H6" s="331"/>
      <c r="I6" s="331"/>
      <c r="J6" s="331"/>
      <c r="K6" s="331"/>
      <c r="L6" s="331"/>
      <c r="M6" s="331"/>
      <c r="N6" s="331"/>
      <c r="O6" s="331"/>
      <c r="P6" s="331"/>
      <c r="Q6" s="331"/>
      <c r="R6" s="331"/>
      <c r="S6" s="331"/>
    </row>
    <row r="7" spans="1:19" ht="13.5" thickBot="1">
      <c r="B7" s="331"/>
      <c r="C7" s="331"/>
      <c r="D7" s="331"/>
      <c r="E7" s="331"/>
      <c r="F7" s="331"/>
      <c r="G7" s="331"/>
      <c r="H7" s="331"/>
      <c r="I7" s="331"/>
      <c r="J7" s="331"/>
      <c r="K7" s="331"/>
      <c r="L7" s="331"/>
      <c r="M7" s="331"/>
      <c r="N7" s="331"/>
      <c r="O7" s="331"/>
      <c r="P7" s="331"/>
      <c r="Q7" s="331"/>
      <c r="R7" s="331"/>
      <c r="S7" s="331"/>
    </row>
    <row r="8" spans="1:19" ht="15" customHeight="1">
      <c r="B8" s="1263"/>
      <c r="C8" s="1264"/>
      <c r="D8" s="427" t="s">
        <v>424</v>
      </c>
      <c r="E8" s="428"/>
      <c r="F8" s="429"/>
      <c r="G8" s="430" t="s">
        <v>425</v>
      </c>
      <c r="H8" s="428"/>
      <c r="I8" s="429"/>
      <c r="J8" s="331"/>
      <c r="K8" s="331"/>
      <c r="L8" s="331"/>
      <c r="M8" s="331"/>
      <c r="N8" s="331"/>
      <c r="O8" s="331"/>
      <c r="P8" s="331"/>
      <c r="Q8" s="331"/>
      <c r="R8" s="331"/>
      <c r="S8" s="331"/>
    </row>
    <row r="9" spans="1:19" ht="15" customHeight="1">
      <c r="B9" s="1265"/>
      <c r="C9" s="1266"/>
      <c r="D9" s="431" t="s">
        <v>426</v>
      </c>
      <c r="E9" s="432" t="s">
        <v>427</v>
      </c>
      <c r="F9" s="433" t="s">
        <v>245</v>
      </c>
      <c r="G9" s="434" t="s">
        <v>426</v>
      </c>
      <c r="H9" s="432" t="s">
        <v>427</v>
      </c>
      <c r="I9" s="433" t="s">
        <v>245</v>
      </c>
      <c r="J9" s="331"/>
      <c r="K9" s="331"/>
      <c r="L9" s="331"/>
      <c r="M9" s="331"/>
      <c r="N9" s="331"/>
      <c r="O9" s="331"/>
      <c r="P9" s="331"/>
      <c r="Q9" s="331"/>
      <c r="R9" s="331"/>
      <c r="S9" s="331"/>
    </row>
    <row r="10" spans="1:19" ht="15" customHeight="1">
      <c r="B10" s="1267" t="s">
        <v>428</v>
      </c>
      <c r="C10" s="1268"/>
      <c r="D10" s="435">
        <v>127</v>
      </c>
      <c r="E10" s="436">
        <v>172</v>
      </c>
      <c r="F10" s="437">
        <v>207</v>
      </c>
      <c r="G10" s="435">
        <v>127</v>
      </c>
      <c r="H10" s="436">
        <v>172</v>
      </c>
      <c r="I10" s="437">
        <v>207</v>
      </c>
      <c r="J10" s="331"/>
      <c r="K10" s="331"/>
      <c r="L10" s="331"/>
      <c r="M10" s="331"/>
      <c r="N10" s="331"/>
      <c r="O10" s="331"/>
      <c r="P10" s="331"/>
      <c r="Q10" s="331"/>
      <c r="R10" s="331"/>
      <c r="S10" s="331"/>
    </row>
    <row r="11" spans="1:19" ht="27" customHeight="1">
      <c r="B11" s="1269" t="s">
        <v>429</v>
      </c>
      <c r="C11" s="1270"/>
      <c r="D11" s="438">
        <v>4</v>
      </c>
      <c r="E11" s="439">
        <v>9</v>
      </c>
      <c r="F11" s="440">
        <v>4</v>
      </c>
      <c r="G11" s="438">
        <v>4</v>
      </c>
      <c r="H11" s="439">
        <v>9</v>
      </c>
      <c r="I11" s="440">
        <v>4</v>
      </c>
      <c r="J11" s="331"/>
      <c r="K11" s="331"/>
      <c r="L11" s="331"/>
      <c r="M11" s="331"/>
      <c r="N11" s="331"/>
      <c r="O11" s="331"/>
      <c r="P11" s="331"/>
      <c r="Q11" s="331"/>
      <c r="R11" s="331"/>
      <c r="S11" s="331"/>
    </row>
    <row r="12" spans="1:19" ht="30" customHeight="1" thickBot="1">
      <c r="B12" s="1271" t="s">
        <v>430</v>
      </c>
      <c r="C12" s="1272"/>
      <c r="D12" s="441">
        <v>0</v>
      </c>
      <c r="E12" s="442">
        <v>0</v>
      </c>
      <c r="F12" s="443">
        <v>0</v>
      </c>
      <c r="G12" s="441">
        <v>0</v>
      </c>
      <c r="H12" s="442">
        <v>0</v>
      </c>
      <c r="I12" s="443">
        <v>0</v>
      </c>
      <c r="J12" s="331"/>
      <c r="K12" s="331"/>
      <c r="L12" s="331"/>
      <c r="M12" s="331"/>
      <c r="N12" s="331"/>
      <c r="O12" s="331"/>
      <c r="P12" s="331"/>
      <c r="Q12" s="331"/>
      <c r="R12" s="331"/>
      <c r="S12" s="331"/>
    </row>
    <row r="13" spans="1:19">
      <c r="B13" s="331"/>
      <c r="C13" s="331"/>
      <c r="D13" s="331"/>
      <c r="E13" s="331"/>
      <c r="F13" s="331"/>
      <c r="G13" s="331"/>
      <c r="H13" s="331"/>
      <c r="I13" s="331"/>
      <c r="J13" s="331"/>
      <c r="K13" s="331"/>
      <c r="L13" s="331"/>
      <c r="M13" s="331"/>
      <c r="N13" s="331"/>
      <c r="O13" s="331"/>
      <c r="P13" s="331"/>
      <c r="Q13" s="331"/>
      <c r="R13" s="331"/>
      <c r="S13" s="331"/>
    </row>
    <row r="14" spans="1:19">
      <c r="B14" s="153" t="s">
        <v>431</v>
      </c>
      <c r="C14" s="331"/>
      <c r="D14" s="331"/>
      <c r="E14" s="331"/>
      <c r="F14" s="331"/>
      <c r="G14" s="331"/>
      <c r="H14" s="331"/>
      <c r="I14" s="331"/>
      <c r="J14" s="331"/>
      <c r="K14" s="331"/>
      <c r="L14" s="331"/>
      <c r="M14" s="331"/>
      <c r="N14" s="331"/>
      <c r="O14" s="331"/>
      <c r="P14" s="331"/>
      <c r="Q14" s="331"/>
      <c r="R14" s="331"/>
      <c r="S14" s="331"/>
    </row>
    <row r="15" spans="1:19" ht="13.5" thickBot="1">
      <c r="B15" s="331"/>
      <c r="C15" s="331"/>
      <c r="D15" s="331"/>
      <c r="E15" s="331"/>
      <c r="F15" s="331"/>
      <c r="G15" s="331"/>
      <c r="H15" s="331"/>
      <c r="I15" s="331"/>
      <c r="J15" s="331"/>
      <c r="K15" s="331"/>
      <c r="L15" s="331"/>
      <c r="M15" s="331"/>
      <c r="N15" s="331"/>
      <c r="O15" s="331"/>
      <c r="P15" s="331"/>
      <c r="Q15" s="331"/>
      <c r="R15" s="331"/>
      <c r="S15" s="331"/>
    </row>
    <row r="16" spans="1:19">
      <c r="B16" s="1273" t="s">
        <v>432</v>
      </c>
      <c r="C16" s="1274"/>
      <c r="D16" s="430" t="s">
        <v>211</v>
      </c>
      <c r="E16" s="428"/>
      <c r="F16" s="429"/>
      <c r="G16" s="430" t="s">
        <v>212</v>
      </c>
      <c r="H16" s="428"/>
      <c r="I16" s="429"/>
      <c r="J16" s="331"/>
      <c r="K16" s="331"/>
      <c r="L16" s="331"/>
      <c r="M16" s="331"/>
      <c r="N16" s="331"/>
      <c r="O16" s="331"/>
      <c r="P16" s="331"/>
      <c r="Q16" s="331"/>
      <c r="R16" s="331"/>
      <c r="S16" s="331"/>
    </row>
    <row r="17" spans="2:19">
      <c r="B17" s="1275"/>
      <c r="C17" s="1276"/>
      <c r="D17" s="434" t="s">
        <v>426</v>
      </c>
      <c r="E17" s="432" t="s">
        <v>427</v>
      </c>
      <c r="F17" s="433" t="s">
        <v>245</v>
      </c>
      <c r="G17" s="434" t="s">
        <v>426</v>
      </c>
      <c r="H17" s="432" t="s">
        <v>427</v>
      </c>
      <c r="I17" s="433" t="s">
        <v>245</v>
      </c>
      <c r="J17" s="331"/>
      <c r="K17" s="331"/>
      <c r="L17" s="331"/>
      <c r="M17" s="331"/>
      <c r="N17" s="331"/>
      <c r="O17" s="331"/>
      <c r="P17" s="331"/>
      <c r="Q17" s="331"/>
      <c r="R17" s="331"/>
      <c r="S17" s="331"/>
    </row>
    <row r="18" spans="2:19" ht="15" customHeight="1">
      <c r="B18" s="1259" t="s">
        <v>433</v>
      </c>
      <c r="C18" s="1260"/>
      <c r="D18" s="438">
        <v>0</v>
      </c>
      <c r="E18" s="439">
        <v>0</v>
      </c>
      <c r="F18" s="444">
        <v>0</v>
      </c>
      <c r="G18" s="438">
        <v>0</v>
      </c>
      <c r="H18" s="439">
        <v>1</v>
      </c>
      <c r="I18" s="444">
        <v>0</v>
      </c>
      <c r="J18" s="331"/>
      <c r="K18" s="331"/>
      <c r="L18" s="331"/>
      <c r="M18" s="331"/>
      <c r="N18" s="331"/>
      <c r="O18" s="331"/>
      <c r="P18" s="331"/>
      <c r="Q18" s="331"/>
      <c r="R18" s="331"/>
      <c r="S18" s="331"/>
    </row>
    <row r="19" spans="2:19" ht="15" customHeight="1">
      <c r="B19" s="1259" t="s">
        <v>434</v>
      </c>
      <c r="C19" s="1260"/>
      <c r="D19" s="438">
        <v>0</v>
      </c>
      <c r="E19" s="439">
        <v>0</v>
      </c>
      <c r="F19" s="444">
        <v>0</v>
      </c>
      <c r="G19" s="438">
        <v>0</v>
      </c>
      <c r="H19" s="439">
        <v>0</v>
      </c>
      <c r="I19" s="444">
        <v>0</v>
      </c>
      <c r="J19" s="331"/>
      <c r="K19" s="331"/>
      <c r="L19" s="331"/>
      <c r="M19" s="331"/>
      <c r="N19" s="331"/>
      <c r="O19" s="331"/>
      <c r="P19" s="331"/>
      <c r="Q19" s="331"/>
      <c r="R19" s="331"/>
      <c r="S19" s="331"/>
    </row>
    <row r="20" spans="2:19" ht="15" customHeight="1" thickBot="1">
      <c r="B20" s="1261" t="s">
        <v>435</v>
      </c>
      <c r="C20" s="1262"/>
      <c r="D20" s="441">
        <v>0</v>
      </c>
      <c r="E20" s="445">
        <v>0</v>
      </c>
      <c r="F20" s="443">
        <v>0</v>
      </c>
      <c r="G20" s="441">
        <v>0</v>
      </c>
      <c r="H20" s="445">
        <v>0</v>
      </c>
      <c r="I20" s="443">
        <v>0</v>
      </c>
      <c r="J20" s="331"/>
      <c r="K20" s="331"/>
      <c r="L20" s="331"/>
      <c r="M20" s="331"/>
      <c r="N20" s="331"/>
      <c r="O20" s="331"/>
      <c r="P20" s="331"/>
      <c r="Q20" s="331"/>
      <c r="R20" s="331"/>
      <c r="S20" s="331"/>
    </row>
    <row r="21" spans="2:19">
      <c r="B21" s="331"/>
      <c r="C21" s="331"/>
      <c r="D21" s="331"/>
      <c r="E21" s="331"/>
      <c r="F21" s="331"/>
      <c r="G21" s="331"/>
      <c r="H21" s="331"/>
      <c r="I21" s="331"/>
      <c r="J21" s="331"/>
      <c r="K21" s="331"/>
      <c r="L21" s="331"/>
      <c r="M21" s="331"/>
      <c r="N21" s="331"/>
      <c r="O21" s="331"/>
      <c r="P21" s="331"/>
      <c r="Q21" s="331"/>
      <c r="R21" s="331"/>
      <c r="S21" s="331"/>
    </row>
    <row r="22" spans="2:19">
      <c r="B22" s="153" t="s">
        <v>436</v>
      </c>
      <c r="C22" s="331"/>
      <c r="D22" s="331"/>
      <c r="E22" s="331"/>
      <c r="F22" s="331"/>
      <c r="G22" s="331"/>
      <c r="H22" s="331"/>
      <c r="I22" s="331"/>
      <c r="J22" s="331"/>
      <c r="K22" s="331"/>
      <c r="L22" s="331"/>
      <c r="M22" s="331"/>
      <c r="N22" s="331"/>
      <c r="O22" s="331"/>
      <c r="P22" s="331"/>
      <c r="Q22" s="331"/>
      <c r="R22" s="331"/>
      <c r="S22" s="331"/>
    </row>
    <row r="23" spans="2:19" ht="13.5" thickBot="1">
      <c r="B23" s="153"/>
      <c r="C23" s="331"/>
      <c r="D23" s="331"/>
      <c r="E23" s="331"/>
      <c r="F23" s="331"/>
      <c r="G23" s="331"/>
      <c r="H23" s="331"/>
      <c r="I23" s="331"/>
      <c r="J23" s="331"/>
      <c r="K23" s="331"/>
      <c r="L23" s="331"/>
      <c r="M23" s="331"/>
      <c r="N23" s="331"/>
      <c r="O23" s="331"/>
      <c r="P23" s="331"/>
      <c r="Q23" s="331"/>
      <c r="R23" s="331"/>
      <c r="S23" s="331"/>
    </row>
    <row r="24" spans="2:19">
      <c r="B24" s="1248"/>
      <c r="C24" s="109" t="s">
        <v>211</v>
      </c>
      <c r="D24" s="110"/>
      <c r="E24" s="110"/>
      <c r="F24" s="110"/>
      <c r="G24" s="446"/>
      <c r="H24" s="109" t="s">
        <v>212</v>
      </c>
      <c r="I24" s="447"/>
      <c r="J24" s="447"/>
      <c r="K24" s="447"/>
      <c r="L24" s="446"/>
      <c r="M24" s="448"/>
      <c r="N24" s="113" t="s">
        <v>211</v>
      </c>
      <c r="O24" s="114"/>
      <c r="P24" s="115"/>
      <c r="Q24" s="448"/>
      <c r="R24" s="113" t="s">
        <v>212</v>
      </c>
      <c r="S24" s="115"/>
    </row>
    <row r="25" spans="2:19">
      <c r="B25" s="1249"/>
      <c r="C25" s="120" t="s">
        <v>99</v>
      </c>
      <c r="D25" s="121" t="s">
        <v>100</v>
      </c>
      <c r="E25" s="121" t="s">
        <v>101</v>
      </c>
      <c r="F25" s="121" t="s">
        <v>102</v>
      </c>
      <c r="G25" s="122" t="s">
        <v>64</v>
      </c>
      <c r="H25" s="120" t="s">
        <v>213</v>
      </c>
      <c r="I25" s="121" t="s">
        <v>214</v>
      </c>
      <c r="J25" s="121" t="s">
        <v>215</v>
      </c>
      <c r="K25" s="121" t="s">
        <v>216</v>
      </c>
      <c r="L25" s="122" t="s">
        <v>217</v>
      </c>
      <c r="M25" s="448"/>
      <c r="N25" s="120" t="s">
        <v>218</v>
      </c>
      <c r="O25" s="121" t="s">
        <v>219</v>
      </c>
      <c r="P25" s="122" t="s">
        <v>220</v>
      </c>
      <c r="Q25" s="448"/>
      <c r="R25" s="120" t="s">
        <v>219</v>
      </c>
      <c r="S25" s="122" t="s">
        <v>221</v>
      </c>
    </row>
    <row r="26" spans="2:19">
      <c r="B26" s="1250"/>
      <c r="C26" s="306" t="s">
        <v>366</v>
      </c>
      <c r="D26" s="307" t="s">
        <v>366</v>
      </c>
      <c r="E26" s="307" t="s">
        <v>366</v>
      </c>
      <c r="F26" s="307" t="s">
        <v>366</v>
      </c>
      <c r="G26" s="308" t="s">
        <v>366</v>
      </c>
      <c r="H26" s="306" t="s">
        <v>366</v>
      </c>
      <c r="I26" s="307" t="s">
        <v>366</v>
      </c>
      <c r="J26" s="307" t="s">
        <v>366</v>
      </c>
      <c r="K26" s="307" t="s">
        <v>366</v>
      </c>
      <c r="L26" s="308" t="s">
        <v>366</v>
      </c>
      <c r="M26" s="449"/>
      <c r="N26" s="306" t="s">
        <v>366</v>
      </c>
      <c r="O26" s="307" t="s">
        <v>366</v>
      </c>
      <c r="P26" s="308" t="s">
        <v>366</v>
      </c>
      <c r="Q26" s="449"/>
      <c r="R26" s="306" t="s">
        <v>366</v>
      </c>
      <c r="S26" s="308" t="s">
        <v>366</v>
      </c>
    </row>
    <row r="27" spans="2:19">
      <c r="B27" s="450" t="s">
        <v>437</v>
      </c>
      <c r="C27" s="451"/>
      <c r="D27" s="452"/>
      <c r="E27" s="452"/>
      <c r="F27" s="452"/>
      <c r="G27" s="453"/>
      <c r="H27" s="451"/>
      <c r="I27" s="452"/>
      <c r="J27" s="452"/>
      <c r="K27" s="452"/>
      <c r="L27" s="453"/>
      <c r="M27" s="449"/>
      <c r="N27" s="451"/>
      <c r="O27" s="454"/>
      <c r="P27" s="455"/>
      <c r="Q27" s="449"/>
      <c r="R27" s="451"/>
      <c r="S27" s="315"/>
    </row>
    <row r="28" spans="2:19">
      <c r="B28" s="456" t="s">
        <v>438</v>
      </c>
      <c r="C28" s="171">
        <v>0</v>
      </c>
      <c r="D28" s="172">
        <v>0</v>
      </c>
      <c r="E28" s="172">
        <v>0</v>
      </c>
      <c r="F28" s="172">
        <v>0</v>
      </c>
      <c r="G28" s="173">
        <v>0</v>
      </c>
      <c r="H28" s="171">
        <v>0</v>
      </c>
      <c r="I28" s="174">
        <v>0</v>
      </c>
      <c r="J28" s="174">
        <v>0</v>
      </c>
      <c r="K28" s="174">
        <v>0</v>
      </c>
      <c r="L28" s="173">
        <v>0</v>
      </c>
      <c r="M28" s="448"/>
      <c r="N28" s="457">
        <v>0</v>
      </c>
      <c r="O28" s="458">
        <v>0</v>
      </c>
      <c r="P28" s="459">
        <v>0</v>
      </c>
      <c r="Q28" s="448"/>
      <c r="R28" s="457">
        <v>0</v>
      </c>
      <c r="S28" s="132" t="s">
        <v>1024</v>
      </c>
    </row>
    <row r="29" spans="2:19">
      <c r="B29" s="456" t="s">
        <v>245</v>
      </c>
      <c r="C29" s="171">
        <v>0</v>
      </c>
      <c r="D29" s="172">
        <v>0</v>
      </c>
      <c r="E29" s="172">
        <v>0</v>
      </c>
      <c r="F29" s="172">
        <v>0</v>
      </c>
      <c r="G29" s="173">
        <v>0</v>
      </c>
      <c r="H29" s="171">
        <v>0</v>
      </c>
      <c r="I29" s="174">
        <v>0</v>
      </c>
      <c r="J29" s="174">
        <v>0</v>
      </c>
      <c r="K29" s="174">
        <v>0</v>
      </c>
      <c r="L29" s="173">
        <v>0</v>
      </c>
      <c r="M29" s="448"/>
      <c r="N29" s="457">
        <v>0</v>
      </c>
      <c r="O29" s="458">
        <v>0</v>
      </c>
      <c r="P29" s="459">
        <v>0</v>
      </c>
      <c r="Q29" s="448"/>
      <c r="R29" s="457">
        <v>0</v>
      </c>
      <c r="S29" s="132" t="s">
        <v>1024</v>
      </c>
    </row>
    <row r="30" spans="2:19">
      <c r="B30" s="456" t="s">
        <v>439</v>
      </c>
      <c r="C30" s="171">
        <v>0</v>
      </c>
      <c r="D30" s="172">
        <v>0</v>
      </c>
      <c r="E30" s="172">
        <v>0</v>
      </c>
      <c r="F30" s="172">
        <v>0</v>
      </c>
      <c r="G30" s="173">
        <v>0</v>
      </c>
      <c r="H30" s="171">
        <v>0</v>
      </c>
      <c r="I30" s="174">
        <v>0.7</v>
      </c>
      <c r="J30" s="174">
        <v>0</v>
      </c>
      <c r="K30" s="174">
        <v>0</v>
      </c>
      <c r="L30" s="173">
        <v>0</v>
      </c>
      <c r="M30" s="448"/>
      <c r="N30" s="457">
        <v>0</v>
      </c>
      <c r="O30" s="458">
        <v>0</v>
      </c>
      <c r="P30" s="459">
        <v>0</v>
      </c>
      <c r="Q30" s="448"/>
      <c r="R30" s="457">
        <v>0.7</v>
      </c>
      <c r="S30" s="132" t="s">
        <v>1024</v>
      </c>
    </row>
    <row r="31" spans="2:19">
      <c r="B31" s="456" t="s">
        <v>440</v>
      </c>
      <c r="C31" s="171">
        <v>0</v>
      </c>
      <c r="D31" s="172">
        <v>0</v>
      </c>
      <c r="E31" s="172">
        <v>0</v>
      </c>
      <c r="F31" s="172">
        <v>0</v>
      </c>
      <c r="G31" s="173">
        <v>0</v>
      </c>
      <c r="H31" s="171">
        <v>0</v>
      </c>
      <c r="I31" s="174">
        <v>0</v>
      </c>
      <c r="J31" s="174">
        <v>0</v>
      </c>
      <c r="K31" s="174">
        <v>0</v>
      </c>
      <c r="L31" s="173">
        <v>0</v>
      </c>
      <c r="M31" s="448"/>
      <c r="N31" s="457">
        <v>0</v>
      </c>
      <c r="O31" s="458">
        <v>0</v>
      </c>
      <c r="P31" s="459">
        <v>0</v>
      </c>
      <c r="Q31" s="448"/>
      <c r="R31" s="457">
        <v>0</v>
      </c>
      <c r="S31" s="132" t="s">
        <v>1024</v>
      </c>
    </row>
    <row r="32" spans="2:19" ht="13.5" thickBot="1">
      <c r="B32" s="460" t="s">
        <v>441</v>
      </c>
      <c r="C32" s="143">
        <v>0</v>
      </c>
      <c r="D32" s="146">
        <v>0</v>
      </c>
      <c r="E32" s="146">
        <v>0</v>
      </c>
      <c r="F32" s="146">
        <v>0</v>
      </c>
      <c r="G32" s="145">
        <v>0</v>
      </c>
      <c r="H32" s="143">
        <v>0</v>
      </c>
      <c r="I32" s="144">
        <v>0.7</v>
      </c>
      <c r="J32" s="144">
        <v>0</v>
      </c>
      <c r="K32" s="144">
        <v>0</v>
      </c>
      <c r="L32" s="145">
        <v>0</v>
      </c>
      <c r="M32" s="461"/>
      <c r="N32" s="143">
        <v>0</v>
      </c>
      <c r="O32" s="144">
        <v>0</v>
      </c>
      <c r="P32" s="145">
        <v>0</v>
      </c>
      <c r="Q32" s="461"/>
      <c r="R32" s="143">
        <v>0.7</v>
      </c>
      <c r="S32" s="273" t="s">
        <v>1024</v>
      </c>
    </row>
    <row r="33" spans="2:19">
      <c r="B33" s="106"/>
      <c r="C33" s="106"/>
      <c r="D33" s="106"/>
      <c r="E33" s="106"/>
      <c r="F33" s="106"/>
      <c r="G33" s="106"/>
      <c r="H33" s="106"/>
      <c r="I33" s="106"/>
      <c r="J33" s="106"/>
      <c r="K33" s="106"/>
      <c r="L33" s="106"/>
      <c r="M33" s="108"/>
      <c r="N33" s="106"/>
      <c r="O33" s="106"/>
      <c r="P33" s="106"/>
      <c r="Q33" s="108"/>
      <c r="R33" s="106"/>
      <c r="S33" s="106"/>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RowHeight="14.25"/>
  <cols>
    <col min="1" max="1" width="4.28515625" style="575" customWidth="1"/>
    <col min="2" max="2" width="45.85546875" style="577" customWidth="1"/>
    <col min="3" max="3" width="40.28515625" style="577" customWidth="1"/>
    <col min="4" max="8" width="10.28515625" style="577" customWidth="1"/>
    <col min="9" max="13" width="10.28515625" style="578" customWidth="1"/>
    <col min="14" max="14" width="4.140625" style="578" customWidth="1"/>
    <col min="15" max="17" width="13.7109375" style="578" customWidth="1"/>
    <col min="18" max="18" width="4.28515625" style="578" customWidth="1"/>
    <col min="19" max="20" width="11.85546875" style="578" customWidth="1"/>
    <col min="21" max="23" width="9.140625" style="578"/>
    <col min="24" max="16384" width="9.140625" style="577"/>
  </cols>
  <sheetData>
    <row r="1" spans="1:20" s="462" customFormat="1" ht="20.25">
      <c r="A1" s="289" t="s">
        <v>363</v>
      </c>
      <c r="G1" s="289" t="s">
        <v>67</v>
      </c>
    </row>
    <row r="2" spans="1:20" s="462" customFormat="1" ht="20.25">
      <c r="A2" s="463" t="s">
        <v>1025</v>
      </c>
      <c r="B2" s="289"/>
    </row>
    <row r="3" spans="1:20" s="465" customFormat="1" ht="21" thickBot="1">
      <c r="A3" s="464" t="s">
        <v>442</v>
      </c>
    </row>
    <row r="4" spans="1:20" s="467" customFormat="1" ht="12.75">
      <c r="A4" s="466"/>
      <c r="S4" s="448"/>
      <c r="T4" s="448"/>
    </row>
    <row r="5" spans="1:20" s="470" customFormat="1" ht="12.75">
      <c r="A5" s="468"/>
      <c r="B5" s="469" t="s">
        <v>443</v>
      </c>
      <c r="O5" s="471"/>
      <c r="P5" s="471"/>
      <c r="Q5" s="471"/>
      <c r="R5" s="471"/>
      <c r="S5" s="471"/>
      <c r="T5" s="471"/>
    </row>
    <row r="6" spans="1:20" s="474" customFormat="1" ht="13.5" thickBot="1">
      <c r="A6" s="472"/>
      <c r="B6" s="353"/>
      <c r="C6" s="353"/>
      <c r="D6" s="353"/>
      <c r="E6" s="353"/>
      <c r="F6" s="353"/>
      <c r="G6" s="353"/>
      <c r="H6" s="353"/>
      <c r="I6" s="353"/>
      <c r="J6" s="353"/>
      <c r="K6" s="353"/>
      <c r="L6" s="353"/>
      <c r="M6" s="353"/>
      <c r="N6" s="471"/>
      <c r="O6" s="473"/>
      <c r="P6" s="473"/>
      <c r="Q6" s="473"/>
      <c r="R6" s="471"/>
      <c r="S6" s="473"/>
      <c r="T6" s="473"/>
    </row>
    <row r="7" spans="1:20" s="474" customFormat="1" ht="15" customHeight="1">
      <c r="A7" s="472"/>
      <c r="B7" s="1280" t="s">
        <v>444</v>
      </c>
      <c r="C7" s="1281"/>
      <c r="D7" s="475" t="s">
        <v>445</v>
      </c>
      <c r="E7" s="476"/>
      <c r="F7" s="476"/>
      <c r="G7" s="476"/>
      <c r="H7" s="477"/>
      <c r="I7" s="475" t="s">
        <v>446</v>
      </c>
      <c r="J7" s="476"/>
      <c r="K7" s="476"/>
      <c r="L7" s="476"/>
      <c r="M7" s="477"/>
      <c r="N7" s="471"/>
      <c r="O7" s="113" t="s">
        <v>211</v>
      </c>
      <c r="P7" s="114"/>
      <c r="Q7" s="115"/>
      <c r="R7" s="471"/>
      <c r="S7" s="113" t="s">
        <v>212</v>
      </c>
      <c r="T7" s="115"/>
    </row>
    <row r="8" spans="1:20" s="474" customFormat="1" ht="15" customHeight="1">
      <c r="A8" s="472"/>
      <c r="B8" s="1282"/>
      <c r="C8" s="1283"/>
      <c r="D8" s="478" t="s">
        <v>99</v>
      </c>
      <c r="E8" s="479" t="s">
        <v>100</v>
      </c>
      <c r="F8" s="479" t="s">
        <v>101</v>
      </c>
      <c r="G8" s="479" t="s">
        <v>102</v>
      </c>
      <c r="H8" s="480" t="s">
        <v>64</v>
      </c>
      <c r="I8" s="478" t="s">
        <v>213</v>
      </c>
      <c r="J8" s="479" t="s">
        <v>214</v>
      </c>
      <c r="K8" s="479" t="s">
        <v>215</v>
      </c>
      <c r="L8" s="479" t="s">
        <v>216</v>
      </c>
      <c r="M8" s="480" t="s">
        <v>217</v>
      </c>
      <c r="N8" s="471"/>
      <c r="O8" s="120" t="s">
        <v>218</v>
      </c>
      <c r="P8" s="121" t="s">
        <v>219</v>
      </c>
      <c r="Q8" s="122" t="s">
        <v>220</v>
      </c>
      <c r="R8" s="471"/>
      <c r="S8" s="120" t="s">
        <v>219</v>
      </c>
      <c r="T8" s="122" t="s">
        <v>221</v>
      </c>
    </row>
    <row r="9" spans="1:20" s="474" customFormat="1" ht="15" customHeight="1">
      <c r="A9" s="472"/>
      <c r="B9" s="1284"/>
      <c r="C9" s="1285"/>
      <c r="D9" s="478" t="s">
        <v>223</v>
      </c>
      <c r="E9" s="479" t="s">
        <v>223</v>
      </c>
      <c r="F9" s="479" t="s">
        <v>223</v>
      </c>
      <c r="G9" s="479" t="s">
        <v>223</v>
      </c>
      <c r="H9" s="480" t="s">
        <v>223</v>
      </c>
      <c r="I9" s="481" t="s">
        <v>223</v>
      </c>
      <c r="J9" s="479" t="s">
        <v>223</v>
      </c>
      <c r="K9" s="479" t="s">
        <v>223</v>
      </c>
      <c r="L9" s="479" t="s">
        <v>223</v>
      </c>
      <c r="M9" s="480" t="s">
        <v>223</v>
      </c>
      <c r="N9" s="353"/>
      <c r="O9" s="482"/>
      <c r="P9" s="483"/>
      <c r="Q9" s="484"/>
      <c r="R9" s="471"/>
      <c r="S9" s="485"/>
      <c r="T9" s="486"/>
    </row>
    <row r="10" spans="1:20" s="474" customFormat="1" ht="15" customHeight="1">
      <c r="A10" s="472"/>
      <c r="B10" s="1286" t="s">
        <v>447</v>
      </c>
      <c r="C10" s="487" t="s">
        <v>448</v>
      </c>
      <c r="D10" s="488">
        <v>1</v>
      </c>
      <c r="E10" s="489">
        <v>0.9</v>
      </c>
      <c r="F10" s="489">
        <v>1.5</v>
      </c>
      <c r="G10" s="489">
        <v>0.97998063017283144</v>
      </c>
      <c r="H10" s="490">
        <v>0.4485690832677206</v>
      </c>
      <c r="I10" s="488">
        <v>0.82</v>
      </c>
      <c r="J10" s="489">
        <v>0.89</v>
      </c>
      <c r="K10" s="489">
        <v>1</v>
      </c>
      <c r="L10" s="489">
        <v>1</v>
      </c>
      <c r="M10" s="490">
        <v>1</v>
      </c>
      <c r="N10" s="353"/>
      <c r="O10" s="457">
        <f>SUM(D10:G10)</f>
        <v>4.379980630172831</v>
      </c>
      <c r="P10" s="458">
        <f>H10</f>
        <v>0.4485690832677206</v>
      </c>
      <c r="Q10" s="459">
        <f>SUM(D10:H10)</f>
        <v>4.8285497134405517</v>
      </c>
      <c r="R10" s="471"/>
      <c r="S10" s="457">
        <f>SUM(I10:M10)</f>
        <v>4.71</v>
      </c>
      <c r="T10" s="132">
        <f>IF(Q10&lt;&gt;0,(S10-Q10)/Q10,"0")</f>
        <v>-2.4551826216174532E-2</v>
      </c>
    </row>
    <row r="11" spans="1:20" s="474" customFormat="1" ht="15" customHeight="1">
      <c r="A11" s="472"/>
      <c r="B11" s="1287"/>
      <c r="C11" s="491" t="s">
        <v>449</v>
      </c>
      <c r="D11" s="492">
        <v>0.5</v>
      </c>
      <c r="E11" s="493">
        <v>0.7</v>
      </c>
      <c r="F11" s="493">
        <v>0.6</v>
      </c>
      <c r="G11" s="493">
        <v>0.67949511643393978</v>
      </c>
      <c r="H11" s="494">
        <v>0.39907437960130709</v>
      </c>
      <c r="I11" s="492">
        <v>1.04</v>
      </c>
      <c r="J11" s="493">
        <v>1.18</v>
      </c>
      <c r="K11" s="493">
        <v>1.32</v>
      </c>
      <c r="L11" s="493">
        <v>1.47</v>
      </c>
      <c r="M11" s="494">
        <v>1.62</v>
      </c>
      <c r="N11" s="353"/>
      <c r="O11" s="457">
        <f t="shared" ref="O11:O35" si="0">SUM(D11:G11)</f>
        <v>2.4794951164339398</v>
      </c>
      <c r="P11" s="458">
        <f t="shared" ref="P11:P35" si="1">H11</f>
        <v>0.39907437960130709</v>
      </c>
      <c r="Q11" s="459">
        <f>SUM(D11:H11)</f>
        <v>2.8785694960352468</v>
      </c>
      <c r="R11" s="471"/>
      <c r="S11" s="457">
        <f>SUM(I11:M11)</f>
        <v>6.63</v>
      </c>
      <c r="T11" s="132">
        <f>IF(Q11&lt;&gt;0,(S11-Q11)/Q11,"0")</f>
        <v>1.3032273527290996</v>
      </c>
    </row>
    <row r="12" spans="1:20" s="474" customFormat="1" ht="15" customHeight="1">
      <c r="A12" s="472"/>
      <c r="B12" s="1286" t="s">
        <v>450</v>
      </c>
      <c r="C12" s="491" t="s">
        <v>448</v>
      </c>
      <c r="D12" s="492">
        <v>0</v>
      </c>
      <c r="E12" s="493">
        <v>0</v>
      </c>
      <c r="F12" s="493">
        <v>0</v>
      </c>
      <c r="G12" s="493">
        <v>9.4228906747387629E-3</v>
      </c>
      <c r="H12" s="494">
        <v>3.1592364042391595E-2</v>
      </c>
      <c r="I12" s="492">
        <v>0</v>
      </c>
      <c r="J12" s="493">
        <v>0</v>
      </c>
      <c r="K12" s="493">
        <v>0</v>
      </c>
      <c r="L12" s="493">
        <v>0</v>
      </c>
      <c r="M12" s="494">
        <v>0</v>
      </c>
      <c r="N12" s="353"/>
      <c r="O12" s="457">
        <f t="shared" si="0"/>
        <v>9.4228906747387629E-3</v>
      </c>
      <c r="P12" s="458">
        <f t="shared" si="1"/>
        <v>3.1592364042391595E-2</v>
      </c>
      <c r="Q12" s="459">
        <f t="shared" ref="Q12:Q35" si="2">SUM(D12:H12)</f>
        <v>4.1015254717130356E-2</v>
      </c>
      <c r="R12" s="471"/>
      <c r="S12" s="457">
        <f t="shared" ref="S12:S35" si="3">SUM(I12:M12)</f>
        <v>0</v>
      </c>
      <c r="T12" s="132">
        <f t="shared" ref="T12:T35" si="4">IF(Q12&lt;&gt;0,(S12-Q12)/Q12,"0")</f>
        <v>-1</v>
      </c>
    </row>
    <row r="13" spans="1:20" s="474" customFormat="1" ht="15" customHeight="1">
      <c r="A13" s="472"/>
      <c r="B13" s="1287"/>
      <c r="C13" s="491" t="s">
        <v>449</v>
      </c>
      <c r="D13" s="492">
        <v>0</v>
      </c>
      <c r="E13" s="493">
        <v>-0.10413095862701416</v>
      </c>
      <c r="F13" s="493">
        <v>-0.2</v>
      </c>
      <c r="G13" s="493">
        <v>-3.4053020369104861E-2</v>
      </c>
      <c r="H13" s="494">
        <v>-5.3770690340651767E-2</v>
      </c>
      <c r="I13" s="492">
        <v>-0.1</v>
      </c>
      <c r="J13" s="493">
        <v>-0.1</v>
      </c>
      <c r="K13" s="493">
        <v>-0.1</v>
      </c>
      <c r="L13" s="493">
        <v>-0.1</v>
      </c>
      <c r="M13" s="494">
        <v>-0.1</v>
      </c>
      <c r="N13" s="353"/>
      <c r="O13" s="457">
        <f t="shared" si="0"/>
        <v>-0.33818397899611902</v>
      </c>
      <c r="P13" s="458">
        <f t="shared" si="1"/>
        <v>-5.3770690340651767E-2</v>
      </c>
      <c r="Q13" s="459">
        <f t="shared" si="2"/>
        <v>-0.39195466933677081</v>
      </c>
      <c r="R13" s="471"/>
      <c r="S13" s="457">
        <f t="shared" si="3"/>
        <v>-0.5</v>
      </c>
      <c r="T13" s="132">
        <f t="shared" si="4"/>
        <v>0.27565772043500192</v>
      </c>
    </row>
    <row r="14" spans="1:20" s="474" customFormat="1" ht="15" customHeight="1">
      <c r="A14" s="472"/>
      <c r="B14" s="1277" t="s">
        <v>368</v>
      </c>
      <c r="C14" s="491" t="s">
        <v>451</v>
      </c>
      <c r="D14" s="492">
        <v>1.7</v>
      </c>
      <c r="E14" s="493">
        <v>1.7</v>
      </c>
      <c r="F14" s="493">
        <v>2</v>
      </c>
      <c r="G14" s="493">
        <v>1.457407091026262</v>
      </c>
      <c r="H14" s="494">
        <v>1.4107007325510907</v>
      </c>
      <c r="I14" s="492">
        <v>1.61</v>
      </c>
      <c r="J14" s="493">
        <v>1.76</v>
      </c>
      <c r="K14" s="493">
        <v>1.94</v>
      </c>
      <c r="L14" s="493">
        <v>1.94</v>
      </c>
      <c r="M14" s="494">
        <v>1.94</v>
      </c>
      <c r="N14" s="353"/>
      <c r="O14" s="457">
        <f t="shared" si="0"/>
        <v>6.8574070910262623</v>
      </c>
      <c r="P14" s="458">
        <f t="shared" si="1"/>
        <v>1.4107007325510907</v>
      </c>
      <c r="Q14" s="459">
        <f t="shared" si="2"/>
        <v>8.2681078235773526</v>
      </c>
      <c r="R14" s="471"/>
      <c r="S14" s="457">
        <f t="shared" si="3"/>
        <v>9.19</v>
      </c>
      <c r="T14" s="132">
        <f t="shared" si="4"/>
        <v>0.11149977674381281</v>
      </c>
    </row>
    <row r="15" spans="1:20" s="474" customFormat="1" ht="15" customHeight="1">
      <c r="A15" s="472"/>
      <c r="B15" s="1278"/>
      <c r="C15" s="491" t="s">
        <v>452</v>
      </c>
      <c r="D15" s="492">
        <v>0.2</v>
      </c>
      <c r="E15" s="493">
        <v>0.2</v>
      </c>
      <c r="F15" s="493">
        <v>0.3</v>
      </c>
      <c r="G15" s="493">
        <v>0.18008191067278526</v>
      </c>
      <c r="H15" s="494">
        <v>0.22106157602826107</v>
      </c>
      <c r="I15" s="492">
        <v>0.57999999999999996</v>
      </c>
      <c r="J15" s="493">
        <v>0.67</v>
      </c>
      <c r="K15" s="493">
        <v>0.75</v>
      </c>
      <c r="L15" s="493">
        <v>0.83</v>
      </c>
      <c r="M15" s="494">
        <v>0.93</v>
      </c>
      <c r="N15" s="353"/>
      <c r="O15" s="457">
        <f t="shared" si="0"/>
        <v>0.88008191067278518</v>
      </c>
      <c r="P15" s="458">
        <f t="shared" si="1"/>
        <v>0.22106157602826107</v>
      </c>
      <c r="Q15" s="459">
        <f t="shared" si="2"/>
        <v>1.1011434867010463</v>
      </c>
      <c r="R15" s="471"/>
      <c r="S15" s="457">
        <f t="shared" si="3"/>
        <v>3.7600000000000002</v>
      </c>
      <c r="T15" s="132">
        <f t="shared" si="4"/>
        <v>2.4146321940882687</v>
      </c>
    </row>
    <row r="16" spans="1:20" s="474" customFormat="1" ht="15" customHeight="1">
      <c r="A16" s="472"/>
      <c r="B16" s="1279"/>
      <c r="C16" s="495" t="s">
        <v>453</v>
      </c>
      <c r="D16" s="492">
        <v>0.2</v>
      </c>
      <c r="E16" s="493">
        <v>0.1</v>
      </c>
      <c r="F16" s="493">
        <v>0.1</v>
      </c>
      <c r="G16" s="493">
        <v>0.26593491459818286</v>
      </c>
      <c r="H16" s="494">
        <v>0.30855208881402457</v>
      </c>
      <c r="I16" s="492">
        <v>0.47</v>
      </c>
      <c r="J16" s="493">
        <v>0.51</v>
      </c>
      <c r="K16" s="493">
        <v>0.56000000000000005</v>
      </c>
      <c r="L16" s="493">
        <v>0.61</v>
      </c>
      <c r="M16" s="494">
        <v>0.66</v>
      </c>
      <c r="N16" s="353"/>
      <c r="O16" s="457">
        <f t="shared" si="0"/>
        <v>0.66593491459818288</v>
      </c>
      <c r="P16" s="458">
        <f t="shared" si="1"/>
        <v>0.30855208881402457</v>
      </c>
      <c r="Q16" s="459">
        <f t="shared" si="2"/>
        <v>0.97448700341220751</v>
      </c>
      <c r="R16" s="471"/>
      <c r="S16" s="457">
        <f t="shared" si="3"/>
        <v>2.81</v>
      </c>
      <c r="T16" s="132">
        <f t="shared" si="4"/>
        <v>1.8835684726021651</v>
      </c>
    </row>
    <row r="17" spans="1:20" s="474" customFormat="1" ht="15" customHeight="1">
      <c r="A17" s="472"/>
      <c r="B17" s="1277" t="s">
        <v>245</v>
      </c>
      <c r="C17" s="491" t="s">
        <v>454</v>
      </c>
      <c r="D17" s="492">
        <v>1.9</v>
      </c>
      <c r="E17" s="493">
        <v>5.2</v>
      </c>
      <c r="F17" s="493">
        <v>5</v>
      </c>
      <c r="G17" s="493">
        <v>3.4246972663411661</v>
      </c>
      <c r="H17" s="494">
        <v>3.2169433076456775</v>
      </c>
      <c r="I17" s="492">
        <v>5.15</v>
      </c>
      <c r="J17" s="493">
        <v>7.1</v>
      </c>
      <c r="K17" s="493">
        <v>9.07</v>
      </c>
      <c r="L17" s="493">
        <v>9.07</v>
      </c>
      <c r="M17" s="494">
        <v>9.07</v>
      </c>
      <c r="N17" s="353"/>
      <c r="O17" s="457">
        <f t="shared" si="0"/>
        <v>15.524697266341166</v>
      </c>
      <c r="P17" s="458">
        <f t="shared" si="1"/>
        <v>3.2169433076456775</v>
      </c>
      <c r="Q17" s="459">
        <f t="shared" si="2"/>
        <v>18.741640573986842</v>
      </c>
      <c r="R17" s="471"/>
      <c r="S17" s="457">
        <f t="shared" si="3"/>
        <v>39.46</v>
      </c>
      <c r="T17" s="132">
        <f t="shared" si="4"/>
        <v>1.1054720286744788</v>
      </c>
    </row>
    <row r="18" spans="1:20" s="474" customFormat="1" ht="15" customHeight="1">
      <c r="A18" s="472"/>
      <c r="B18" s="1278"/>
      <c r="C18" s="491" t="s">
        <v>115</v>
      </c>
      <c r="D18" s="492">
        <v>0.2</v>
      </c>
      <c r="E18" s="493">
        <v>0.6</v>
      </c>
      <c r="F18" s="493">
        <v>1.1000000000000001</v>
      </c>
      <c r="G18" s="493">
        <v>0.43135899533248562</v>
      </c>
      <c r="H18" s="494">
        <v>0.24747351833206749</v>
      </c>
      <c r="I18" s="492">
        <v>0.43</v>
      </c>
      <c r="J18" s="493">
        <v>0.48</v>
      </c>
      <c r="K18" s="493">
        <v>0.55000000000000004</v>
      </c>
      <c r="L18" s="493">
        <v>0.61</v>
      </c>
      <c r="M18" s="494">
        <v>0.69</v>
      </c>
      <c r="N18" s="353"/>
      <c r="O18" s="457">
        <f t="shared" si="0"/>
        <v>2.3313589953324856</v>
      </c>
      <c r="P18" s="458">
        <f t="shared" si="1"/>
        <v>0.24747351833206749</v>
      </c>
      <c r="Q18" s="459">
        <f t="shared" si="2"/>
        <v>2.5788325136645529</v>
      </c>
      <c r="R18" s="471"/>
      <c r="S18" s="457">
        <f t="shared" si="3"/>
        <v>2.76</v>
      </c>
      <c r="T18" s="132">
        <f t="shared" si="4"/>
        <v>7.0251745848358971E-2</v>
      </c>
    </row>
    <row r="19" spans="1:20" s="474" customFormat="1" ht="15" customHeight="1">
      <c r="A19" s="472"/>
      <c r="B19" s="1278"/>
      <c r="C19" s="495" t="s">
        <v>455</v>
      </c>
      <c r="D19" s="492">
        <v>0</v>
      </c>
      <c r="E19" s="493">
        <v>0</v>
      </c>
      <c r="F19" s="493">
        <v>0</v>
      </c>
      <c r="G19" s="493">
        <v>0</v>
      </c>
      <c r="H19" s="494">
        <v>0</v>
      </c>
      <c r="I19" s="492">
        <v>0.05</v>
      </c>
      <c r="J19" s="493">
        <v>0.05</v>
      </c>
      <c r="K19" s="493">
        <v>0.05</v>
      </c>
      <c r="L19" s="493">
        <v>0.05</v>
      </c>
      <c r="M19" s="494">
        <v>0.05</v>
      </c>
      <c r="N19" s="353"/>
      <c r="O19" s="457">
        <f t="shared" si="0"/>
        <v>0</v>
      </c>
      <c r="P19" s="458">
        <f t="shared" si="1"/>
        <v>0</v>
      </c>
      <c r="Q19" s="459">
        <f t="shared" si="2"/>
        <v>0</v>
      </c>
      <c r="R19" s="471"/>
      <c r="S19" s="457">
        <f t="shared" si="3"/>
        <v>0.25</v>
      </c>
      <c r="T19" s="132" t="str">
        <f t="shared" si="4"/>
        <v>0</v>
      </c>
    </row>
    <row r="20" spans="1:20" s="474" customFormat="1" ht="15" customHeight="1">
      <c r="A20" s="472"/>
      <c r="B20" s="1278"/>
      <c r="C20" s="495" t="s">
        <v>453</v>
      </c>
      <c r="D20" s="492">
        <v>0.9</v>
      </c>
      <c r="E20" s="493">
        <v>1.1000000000000001</v>
      </c>
      <c r="F20" s="493">
        <v>2.6</v>
      </c>
      <c r="G20" s="493">
        <v>1.9861359566643817</v>
      </c>
      <c r="H20" s="494">
        <v>2.5316014385969798</v>
      </c>
      <c r="I20" s="492">
        <v>1.81</v>
      </c>
      <c r="J20" s="493">
        <v>1.88</v>
      </c>
      <c r="K20" s="493">
        <v>1.94</v>
      </c>
      <c r="L20" s="493">
        <v>1.99</v>
      </c>
      <c r="M20" s="494">
        <v>2.04</v>
      </c>
      <c r="N20" s="353"/>
      <c r="O20" s="457">
        <f t="shared" si="0"/>
        <v>6.5861359566643811</v>
      </c>
      <c r="P20" s="458">
        <f t="shared" si="1"/>
        <v>2.5316014385969798</v>
      </c>
      <c r="Q20" s="459">
        <f t="shared" si="2"/>
        <v>9.1177373952613614</v>
      </c>
      <c r="R20" s="471"/>
      <c r="S20" s="457">
        <f t="shared" si="3"/>
        <v>9.66</v>
      </c>
      <c r="T20" s="132">
        <f t="shared" si="4"/>
        <v>5.9473373846066414E-2</v>
      </c>
    </row>
    <row r="21" spans="1:20" s="474" customFormat="1" ht="15" customHeight="1">
      <c r="A21" s="472"/>
      <c r="B21" s="1278"/>
      <c r="C21" s="491" t="s">
        <v>456</v>
      </c>
      <c r="D21" s="492">
        <v>0.1</v>
      </c>
      <c r="E21" s="493">
        <v>0.8</v>
      </c>
      <c r="F21" s="493">
        <v>0.8</v>
      </c>
      <c r="G21" s="493">
        <v>0.48475537582267192</v>
      </c>
      <c r="H21" s="494">
        <v>0.91512547842794323</v>
      </c>
      <c r="I21" s="492">
        <v>1.76</v>
      </c>
      <c r="J21" s="493">
        <v>1.85</v>
      </c>
      <c r="K21" s="493">
        <v>1.93</v>
      </c>
      <c r="L21" s="493">
        <v>2.0099999999999998</v>
      </c>
      <c r="M21" s="494">
        <v>2.08</v>
      </c>
      <c r="N21" s="353"/>
      <c r="O21" s="457">
        <f t="shared" si="0"/>
        <v>2.1847553758226721</v>
      </c>
      <c r="P21" s="458">
        <f t="shared" si="1"/>
        <v>0.91512547842794323</v>
      </c>
      <c r="Q21" s="459">
        <f t="shared" si="2"/>
        <v>3.0998808542506153</v>
      </c>
      <c r="R21" s="471"/>
      <c r="S21" s="457">
        <f t="shared" si="3"/>
        <v>9.629999999999999</v>
      </c>
      <c r="T21" s="132">
        <f t="shared" si="4"/>
        <v>2.1065710112035951</v>
      </c>
    </row>
    <row r="22" spans="1:20" s="474" customFormat="1" ht="15" customHeight="1">
      <c r="A22" s="472"/>
      <c r="B22" s="1279"/>
      <c r="C22" s="491" t="s">
        <v>457</v>
      </c>
      <c r="D22" s="492">
        <v>0.6</v>
      </c>
      <c r="E22" s="493">
        <v>1</v>
      </c>
      <c r="F22" s="493">
        <v>0.8</v>
      </c>
      <c r="G22" s="493">
        <v>0.6470384929987284</v>
      </c>
      <c r="H22" s="494">
        <v>0.48757548505424364</v>
      </c>
      <c r="I22" s="492">
        <v>0.7</v>
      </c>
      <c r="J22" s="493">
        <v>0.7</v>
      </c>
      <c r="K22" s="493">
        <v>0.7</v>
      </c>
      <c r="L22" s="493">
        <v>0.7</v>
      </c>
      <c r="M22" s="494">
        <v>0.7</v>
      </c>
      <c r="N22" s="353"/>
      <c r="O22" s="457">
        <f t="shared" si="0"/>
        <v>3.0470384929987286</v>
      </c>
      <c r="P22" s="458">
        <f t="shared" si="1"/>
        <v>0.48757548505424364</v>
      </c>
      <c r="Q22" s="459">
        <f t="shared" si="2"/>
        <v>3.5346139780529722</v>
      </c>
      <c r="R22" s="471"/>
      <c r="S22" s="457">
        <f t="shared" si="3"/>
        <v>3.5</v>
      </c>
      <c r="T22" s="132">
        <f t="shared" si="4"/>
        <v>-9.7928594941049663E-3</v>
      </c>
    </row>
    <row r="23" spans="1:20" s="474" customFormat="1" ht="15" customHeight="1">
      <c r="A23" s="472"/>
      <c r="B23" s="1277" t="s">
        <v>427</v>
      </c>
      <c r="C23" s="491" t="s">
        <v>454</v>
      </c>
      <c r="D23" s="492">
        <v>0.3</v>
      </c>
      <c r="E23" s="493">
        <v>0.4</v>
      </c>
      <c r="F23" s="493">
        <v>0.9</v>
      </c>
      <c r="G23" s="493">
        <v>2.0772238998535228</v>
      </c>
      <c r="H23" s="494">
        <v>1.2089344640221851</v>
      </c>
      <c r="I23" s="492">
        <v>0.66</v>
      </c>
      <c r="J23" s="493">
        <v>1.08</v>
      </c>
      <c r="K23" s="493">
        <v>1.51</v>
      </c>
      <c r="L23" s="493">
        <v>1.51</v>
      </c>
      <c r="M23" s="494">
        <v>1.52</v>
      </c>
      <c r="N23" s="353"/>
      <c r="O23" s="457">
        <f t="shared" si="0"/>
        <v>3.6772238998535229</v>
      </c>
      <c r="P23" s="458">
        <f t="shared" si="1"/>
        <v>1.2089344640221851</v>
      </c>
      <c r="Q23" s="459">
        <f t="shared" si="2"/>
        <v>4.8861583638757082</v>
      </c>
      <c r="R23" s="471"/>
      <c r="S23" s="457">
        <f t="shared" si="3"/>
        <v>6.2799999999999994</v>
      </c>
      <c r="T23" s="132">
        <f t="shared" si="4"/>
        <v>0.28526329527696559</v>
      </c>
    </row>
    <row r="24" spans="1:20" s="474" customFormat="1" ht="15" customHeight="1">
      <c r="A24" s="472"/>
      <c r="B24" s="1278"/>
      <c r="C24" s="491" t="s">
        <v>115</v>
      </c>
      <c r="D24" s="492">
        <v>0.8</v>
      </c>
      <c r="E24" s="493">
        <v>0.9</v>
      </c>
      <c r="F24" s="493">
        <v>0</v>
      </c>
      <c r="G24" s="493">
        <v>4.7114453373693813E-2</v>
      </c>
      <c r="H24" s="494">
        <v>0.10846711654554447</v>
      </c>
      <c r="I24" s="492">
        <v>0.14000000000000001</v>
      </c>
      <c r="J24" s="493">
        <v>0.17</v>
      </c>
      <c r="K24" s="493">
        <v>0.2</v>
      </c>
      <c r="L24" s="493">
        <v>0.23</v>
      </c>
      <c r="M24" s="494">
        <v>0.26</v>
      </c>
      <c r="N24" s="353"/>
      <c r="O24" s="457">
        <f t="shared" si="0"/>
        <v>1.747114453373694</v>
      </c>
      <c r="P24" s="458">
        <f t="shared" si="1"/>
        <v>0.10846711654554447</v>
      </c>
      <c r="Q24" s="459">
        <f t="shared" si="2"/>
        <v>1.8555815699192384</v>
      </c>
      <c r="R24" s="471"/>
      <c r="S24" s="457">
        <f t="shared" si="3"/>
        <v>1</v>
      </c>
      <c r="T24" s="132">
        <f t="shared" si="4"/>
        <v>-0.46108539974153567</v>
      </c>
    </row>
    <row r="25" spans="1:20" s="474" customFormat="1" ht="15" customHeight="1">
      <c r="A25" s="472"/>
      <c r="B25" s="1278"/>
      <c r="C25" s="491" t="s">
        <v>455</v>
      </c>
      <c r="D25" s="492">
        <v>0</v>
      </c>
      <c r="E25" s="493">
        <v>0</v>
      </c>
      <c r="F25" s="493">
        <v>0</v>
      </c>
      <c r="G25" s="493">
        <v>0</v>
      </c>
      <c r="H25" s="494">
        <v>0</v>
      </c>
      <c r="I25" s="492">
        <v>0.1</v>
      </c>
      <c r="J25" s="493">
        <v>0.1</v>
      </c>
      <c r="K25" s="493">
        <v>0.1</v>
      </c>
      <c r="L25" s="493">
        <v>0.1</v>
      </c>
      <c r="M25" s="494">
        <v>0.1</v>
      </c>
      <c r="N25" s="353"/>
      <c r="O25" s="457">
        <f t="shared" si="0"/>
        <v>0</v>
      </c>
      <c r="P25" s="458">
        <f t="shared" si="1"/>
        <v>0</v>
      </c>
      <c r="Q25" s="459">
        <f t="shared" si="2"/>
        <v>0</v>
      </c>
      <c r="R25" s="471"/>
      <c r="S25" s="457">
        <f t="shared" si="3"/>
        <v>0.5</v>
      </c>
      <c r="T25" s="132" t="str">
        <f t="shared" si="4"/>
        <v>0</v>
      </c>
    </row>
    <row r="26" spans="1:20" s="474" customFormat="1" ht="15" customHeight="1">
      <c r="A26" s="472"/>
      <c r="B26" s="1278"/>
      <c r="C26" s="491" t="s">
        <v>453</v>
      </c>
      <c r="D26" s="492">
        <v>0.5</v>
      </c>
      <c r="E26" s="493">
        <v>1.3</v>
      </c>
      <c r="F26" s="493">
        <v>1.9</v>
      </c>
      <c r="G26" s="493">
        <v>1.0752565247729677</v>
      </c>
      <c r="H26" s="494">
        <v>1.5185396316376227</v>
      </c>
      <c r="I26" s="492">
        <v>0.65</v>
      </c>
      <c r="J26" s="493">
        <v>0.66</v>
      </c>
      <c r="K26" s="493">
        <v>0.67</v>
      </c>
      <c r="L26" s="493">
        <v>0.67</v>
      </c>
      <c r="M26" s="494">
        <v>0.67</v>
      </c>
      <c r="N26" s="353"/>
      <c r="O26" s="457">
        <f t="shared" si="0"/>
        <v>4.7752565247729679</v>
      </c>
      <c r="P26" s="458">
        <f t="shared" si="1"/>
        <v>1.5185396316376227</v>
      </c>
      <c r="Q26" s="459">
        <f t="shared" si="2"/>
        <v>6.2937961564105906</v>
      </c>
      <c r="R26" s="471"/>
      <c r="S26" s="457">
        <f t="shared" si="3"/>
        <v>3.32</v>
      </c>
      <c r="T26" s="132">
        <f t="shared" si="4"/>
        <v>-0.47249642068270825</v>
      </c>
    </row>
    <row r="27" spans="1:20" s="474" customFormat="1" ht="15" customHeight="1">
      <c r="A27" s="472"/>
      <c r="B27" s="1278"/>
      <c r="C27" s="491" t="s">
        <v>456</v>
      </c>
      <c r="D27" s="492">
        <v>0.1</v>
      </c>
      <c r="E27" s="493">
        <v>0.3</v>
      </c>
      <c r="F27" s="493">
        <v>1</v>
      </c>
      <c r="G27" s="493">
        <v>0.62191078453275839</v>
      </c>
      <c r="H27" s="494">
        <v>0.36120602888467729</v>
      </c>
      <c r="I27" s="492">
        <v>1.46</v>
      </c>
      <c r="J27" s="493">
        <v>1.52</v>
      </c>
      <c r="K27" s="493">
        <v>1.59</v>
      </c>
      <c r="L27" s="493">
        <v>1.7</v>
      </c>
      <c r="M27" s="494">
        <v>1.76</v>
      </c>
      <c r="N27" s="353"/>
      <c r="O27" s="457">
        <f t="shared" si="0"/>
        <v>2.0219107845327584</v>
      </c>
      <c r="P27" s="458">
        <f t="shared" si="1"/>
        <v>0.36120602888467729</v>
      </c>
      <c r="Q27" s="459">
        <f t="shared" si="2"/>
        <v>2.3831168134174359</v>
      </c>
      <c r="R27" s="471"/>
      <c r="S27" s="457">
        <f t="shared" si="3"/>
        <v>8.0300000000000011</v>
      </c>
      <c r="T27" s="132">
        <f t="shared" si="4"/>
        <v>2.369536883290595</v>
      </c>
    </row>
    <row r="28" spans="1:20" s="474" customFormat="1" ht="15" customHeight="1">
      <c r="A28" s="472"/>
      <c r="B28" s="1279"/>
      <c r="C28" s="495" t="s">
        <v>457</v>
      </c>
      <c r="D28" s="492">
        <v>0.4</v>
      </c>
      <c r="E28" s="493">
        <v>0.1</v>
      </c>
      <c r="F28" s="493">
        <v>0.3</v>
      </c>
      <c r="G28" s="493">
        <v>0.1382023965628352</v>
      </c>
      <c r="H28" s="494">
        <v>0.21272191788543676</v>
      </c>
      <c r="I28" s="492">
        <v>0.48</v>
      </c>
      <c r="J28" s="493">
        <v>0.48</v>
      </c>
      <c r="K28" s="493">
        <v>0.48</v>
      </c>
      <c r="L28" s="493">
        <v>0.48</v>
      </c>
      <c r="M28" s="494">
        <v>0.48</v>
      </c>
      <c r="N28" s="353"/>
      <c r="O28" s="457">
        <f t="shared" si="0"/>
        <v>0.93820239656283522</v>
      </c>
      <c r="P28" s="458">
        <f t="shared" si="1"/>
        <v>0.21272191788543676</v>
      </c>
      <c r="Q28" s="459">
        <f t="shared" si="2"/>
        <v>1.1509243144482719</v>
      </c>
      <c r="R28" s="471"/>
      <c r="S28" s="457">
        <f t="shared" si="3"/>
        <v>2.4</v>
      </c>
      <c r="T28" s="132">
        <f t="shared" si="4"/>
        <v>1.0852804740253557</v>
      </c>
    </row>
    <row r="29" spans="1:20" s="474" customFormat="1" ht="15" customHeight="1">
      <c r="A29" s="472"/>
      <c r="B29" s="1277" t="s">
        <v>426</v>
      </c>
      <c r="C29" s="491" t="s">
        <v>454</v>
      </c>
      <c r="D29" s="492">
        <v>0.5</v>
      </c>
      <c r="E29" s="493">
        <v>1.3</v>
      </c>
      <c r="F29" s="493">
        <v>1.1000000000000001</v>
      </c>
      <c r="G29" s="493">
        <v>0.88575172342544373</v>
      </c>
      <c r="H29" s="494">
        <v>0.3338259800479379</v>
      </c>
      <c r="I29" s="492">
        <v>0.6</v>
      </c>
      <c r="J29" s="493">
        <v>0.77</v>
      </c>
      <c r="K29" s="493">
        <v>0.96</v>
      </c>
      <c r="L29" s="493">
        <v>0.98</v>
      </c>
      <c r="M29" s="494">
        <v>1</v>
      </c>
      <c r="N29" s="353"/>
      <c r="O29" s="457">
        <f t="shared" si="0"/>
        <v>3.7857517234254443</v>
      </c>
      <c r="P29" s="458">
        <f t="shared" si="1"/>
        <v>0.3338259800479379</v>
      </c>
      <c r="Q29" s="459">
        <f t="shared" si="2"/>
        <v>4.1195777034733823</v>
      </c>
      <c r="R29" s="471"/>
      <c r="S29" s="457">
        <f t="shared" si="3"/>
        <v>4.3100000000000005</v>
      </c>
      <c r="T29" s="132">
        <f t="shared" si="4"/>
        <v>4.6223741905891354E-2</v>
      </c>
    </row>
    <row r="30" spans="1:20" s="474" customFormat="1" ht="15" customHeight="1">
      <c r="A30" s="472"/>
      <c r="B30" s="1278"/>
      <c r="C30" s="491" t="s">
        <v>115</v>
      </c>
      <c r="D30" s="492">
        <v>0</v>
      </c>
      <c r="E30" s="493">
        <v>0</v>
      </c>
      <c r="F30" s="493">
        <v>0.4</v>
      </c>
      <c r="G30" s="493">
        <v>0.13087348159359394</v>
      </c>
      <c r="H30" s="494">
        <v>0.16217413541761019</v>
      </c>
      <c r="I30" s="492">
        <v>0.36</v>
      </c>
      <c r="J30" s="493">
        <v>0.48</v>
      </c>
      <c r="K30" s="493">
        <v>0.6</v>
      </c>
      <c r="L30" s="493">
        <v>0.6</v>
      </c>
      <c r="M30" s="494">
        <v>0.71</v>
      </c>
      <c r="N30" s="353"/>
      <c r="O30" s="457">
        <f t="shared" si="0"/>
        <v>0.53087348159359393</v>
      </c>
      <c r="P30" s="458">
        <f t="shared" si="1"/>
        <v>0.16217413541761019</v>
      </c>
      <c r="Q30" s="459">
        <f t="shared" si="2"/>
        <v>0.6930476170112041</v>
      </c>
      <c r="R30" s="471"/>
      <c r="S30" s="457">
        <f t="shared" si="3"/>
        <v>2.75</v>
      </c>
      <c r="T30" s="132">
        <f t="shared" si="4"/>
        <v>2.9679813226391087</v>
      </c>
    </row>
    <row r="31" spans="1:20" s="474" customFormat="1" ht="15" customHeight="1">
      <c r="A31" s="472"/>
      <c r="B31" s="1278"/>
      <c r="C31" s="495" t="s">
        <v>458</v>
      </c>
      <c r="D31" s="492">
        <v>0</v>
      </c>
      <c r="E31" s="493">
        <v>0</v>
      </c>
      <c r="F31" s="493">
        <v>0</v>
      </c>
      <c r="G31" s="493">
        <v>0</v>
      </c>
      <c r="H31" s="494">
        <v>0</v>
      </c>
      <c r="I31" s="492">
        <v>0</v>
      </c>
      <c r="J31" s="493">
        <v>0</v>
      </c>
      <c r="K31" s="493">
        <v>0</v>
      </c>
      <c r="L31" s="493">
        <v>0</v>
      </c>
      <c r="M31" s="494">
        <v>0</v>
      </c>
      <c r="N31" s="353"/>
      <c r="O31" s="457">
        <f t="shared" si="0"/>
        <v>0</v>
      </c>
      <c r="P31" s="458">
        <f t="shared" si="1"/>
        <v>0</v>
      </c>
      <c r="Q31" s="459">
        <f t="shared" si="2"/>
        <v>0</v>
      </c>
      <c r="R31" s="471"/>
      <c r="S31" s="457">
        <f t="shared" si="3"/>
        <v>0</v>
      </c>
      <c r="T31" s="132" t="str">
        <f t="shared" si="4"/>
        <v>0</v>
      </c>
    </row>
    <row r="32" spans="1:20" s="474" customFormat="1" ht="15" customHeight="1">
      <c r="A32" s="472"/>
      <c r="B32" s="1278"/>
      <c r="C32" s="495" t="s">
        <v>453</v>
      </c>
      <c r="D32" s="492">
        <v>1</v>
      </c>
      <c r="E32" s="493">
        <v>1.8</v>
      </c>
      <c r="F32" s="493">
        <v>0.1</v>
      </c>
      <c r="G32" s="493">
        <v>0.55699753766233584</v>
      </c>
      <c r="H32" s="494">
        <v>0.13584716538228386</v>
      </c>
      <c r="I32" s="492">
        <v>0.16</v>
      </c>
      <c r="J32" s="493">
        <v>0.17</v>
      </c>
      <c r="K32" s="493">
        <v>0.18</v>
      </c>
      <c r="L32" s="493">
        <v>0.2</v>
      </c>
      <c r="M32" s="494">
        <v>0.21</v>
      </c>
      <c r="N32" s="353"/>
      <c r="O32" s="457">
        <f t="shared" si="0"/>
        <v>3.4569975376623359</v>
      </c>
      <c r="P32" s="458">
        <f t="shared" si="1"/>
        <v>0.13584716538228386</v>
      </c>
      <c r="Q32" s="459">
        <f t="shared" si="2"/>
        <v>3.5928447030446198</v>
      </c>
      <c r="R32" s="471"/>
      <c r="S32" s="457">
        <f t="shared" si="3"/>
        <v>0.91999999999999993</v>
      </c>
      <c r="T32" s="132">
        <f t="shared" si="4"/>
        <v>-0.74393549511884527</v>
      </c>
    </row>
    <row r="33" spans="1:20" s="474" customFormat="1" ht="15" customHeight="1">
      <c r="A33" s="472"/>
      <c r="B33" s="1278"/>
      <c r="C33" s="495" t="s">
        <v>456</v>
      </c>
      <c r="D33" s="492">
        <v>0.1</v>
      </c>
      <c r="E33" s="493">
        <v>0.6</v>
      </c>
      <c r="F33" s="493">
        <v>0.8</v>
      </c>
      <c r="G33" s="493">
        <v>1.0417529134850076</v>
      </c>
      <c r="H33" s="494">
        <v>0</v>
      </c>
      <c r="I33" s="492">
        <v>2.29</v>
      </c>
      <c r="J33" s="493">
        <v>2.29</v>
      </c>
      <c r="K33" s="493">
        <v>2.29</v>
      </c>
      <c r="L33" s="493">
        <v>2.14</v>
      </c>
      <c r="M33" s="494">
        <v>2.14</v>
      </c>
      <c r="N33" s="353"/>
      <c r="O33" s="457">
        <f t="shared" si="0"/>
        <v>2.5417529134850074</v>
      </c>
      <c r="P33" s="458">
        <f t="shared" si="1"/>
        <v>0</v>
      </c>
      <c r="Q33" s="459">
        <f t="shared" si="2"/>
        <v>2.5417529134850074</v>
      </c>
      <c r="R33" s="471"/>
      <c r="S33" s="457">
        <f t="shared" si="3"/>
        <v>11.15</v>
      </c>
      <c r="T33" s="132">
        <f t="shared" si="4"/>
        <v>3.3867363900105425</v>
      </c>
    </row>
    <row r="34" spans="1:20" s="474" customFormat="1" ht="15" customHeight="1">
      <c r="A34" s="472"/>
      <c r="B34" s="1279"/>
      <c r="C34" s="495" t="s">
        <v>457</v>
      </c>
      <c r="D34" s="492">
        <v>0.2</v>
      </c>
      <c r="E34" s="493">
        <v>0.2</v>
      </c>
      <c r="F34" s="493">
        <v>0.9</v>
      </c>
      <c r="G34" s="493">
        <v>0.23661925472121784</v>
      </c>
      <c r="H34" s="494">
        <v>0.1937664994600018</v>
      </c>
      <c r="I34" s="492">
        <v>0.21</v>
      </c>
      <c r="J34" s="493">
        <v>0.21</v>
      </c>
      <c r="K34" s="493">
        <v>0.21</v>
      </c>
      <c r="L34" s="493">
        <v>0.21</v>
      </c>
      <c r="M34" s="494">
        <v>0.21</v>
      </c>
      <c r="N34" s="353"/>
      <c r="O34" s="457">
        <f t="shared" si="0"/>
        <v>1.5366192547212179</v>
      </c>
      <c r="P34" s="458">
        <f t="shared" si="1"/>
        <v>0.1937664994600018</v>
      </c>
      <c r="Q34" s="459">
        <f t="shared" si="2"/>
        <v>1.7303857541812198</v>
      </c>
      <c r="R34" s="471"/>
      <c r="S34" s="457">
        <f t="shared" si="3"/>
        <v>1.05</v>
      </c>
      <c r="T34" s="132">
        <f t="shared" si="4"/>
        <v>-0.39319888789951535</v>
      </c>
    </row>
    <row r="35" spans="1:20" s="474" customFormat="1" ht="15" customHeight="1" thickBot="1">
      <c r="A35" s="472"/>
      <c r="B35" s="496" t="s">
        <v>459</v>
      </c>
      <c r="C35" s="497"/>
      <c r="D35" s="498">
        <v>11.2</v>
      </c>
      <c r="E35" s="499">
        <v>19.095869041372989</v>
      </c>
      <c r="F35" s="499">
        <v>22</v>
      </c>
      <c r="G35" s="499">
        <v>17.323958590352451</v>
      </c>
      <c r="H35" s="500">
        <v>14.399981701304355</v>
      </c>
      <c r="I35" s="498">
        <v>21.43</v>
      </c>
      <c r="J35" s="499">
        <v>24.9</v>
      </c>
      <c r="K35" s="499">
        <v>28.5</v>
      </c>
      <c r="L35" s="499">
        <v>29</v>
      </c>
      <c r="M35" s="500">
        <v>29.74</v>
      </c>
      <c r="N35" s="353"/>
      <c r="O35" s="501">
        <f t="shared" si="0"/>
        <v>69.619827631725443</v>
      </c>
      <c r="P35" s="502">
        <f t="shared" si="1"/>
        <v>14.399981701304355</v>
      </c>
      <c r="Q35" s="503">
        <f t="shared" si="2"/>
        <v>84.019809333029798</v>
      </c>
      <c r="R35" s="471"/>
      <c r="S35" s="501">
        <f t="shared" si="3"/>
        <v>133.57</v>
      </c>
      <c r="T35" s="150">
        <f t="shared" si="4"/>
        <v>0.58974414558080968</v>
      </c>
    </row>
    <row r="36" spans="1:20" s="474" customFormat="1">
      <c r="A36" s="472"/>
      <c r="B36" s="504"/>
      <c r="C36" s="504"/>
      <c r="D36" s="505"/>
      <c r="E36" s="505"/>
      <c r="F36" s="505"/>
      <c r="G36" s="505"/>
      <c r="H36" s="505"/>
      <c r="I36" s="505"/>
      <c r="J36" s="505"/>
      <c r="K36" s="505"/>
      <c r="L36" s="505"/>
      <c r="M36" s="505"/>
      <c r="N36" s="353"/>
      <c r="O36" s="353"/>
      <c r="P36" s="353"/>
      <c r="Q36" s="353"/>
    </row>
    <row r="37" spans="1:20" s="474" customFormat="1">
      <c r="A37" s="472"/>
      <c r="B37" s="353"/>
      <c r="C37" s="353"/>
      <c r="D37" s="506"/>
      <c r="E37" s="506"/>
      <c r="F37" s="506"/>
      <c r="G37" s="506"/>
      <c r="H37" s="506"/>
      <c r="I37" s="506"/>
      <c r="J37" s="506"/>
      <c r="K37" s="506"/>
      <c r="L37" s="506"/>
      <c r="M37" s="506"/>
      <c r="N37" s="353"/>
      <c r="O37" s="353"/>
      <c r="P37" s="353"/>
      <c r="Q37" s="353"/>
    </row>
    <row r="38" spans="1:20" s="474" customFormat="1" ht="15" customHeight="1">
      <c r="A38" s="472"/>
      <c r="B38" s="469" t="s">
        <v>460</v>
      </c>
      <c r="C38" s="353"/>
      <c r="D38" s="506"/>
      <c r="E38" s="506"/>
      <c r="F38" s="506"/>
      <c r="G38" s="506"/>
      <c r="H38" s="506"/>
      <c r="I38" s="506"/>
      <c r="J38" s="506"/>
      <c r="K38" s="506"/>
      <c r="L38" s="506"/>
      <c r="M38" s="506"/>
      <c r="O38" s="353"/>
      <c r="P38" s="353"/>
      <c r="Q38" s="353"/>
    </row>
    <row r="39" spans="1:20" s="474" customFormat="1" ht="15" thickBot="1">
      <c r="A39" s="472"/>
      <c r="B39" s="353"/>
      <c r="C39" s="353"/>
      <c r="D39" s="506"/>
      <c r="E39" s="506"/>
      <c r="F39" s="506"/>
      <c r="G39" s="506"/>
      <c r="H39" s="506"/>
      <c r="I39" s="506"/>
      <c r="J39" s="506"/>
      <c r="K39" s="506"/>
      <c r="L39" s="506"/>
      <c r="M39" s="506"/>
      <c r="N39" s="471"/>
      <c r="O39" s="353"/>
      <c r="P39" s="353"/>
      <c r="Q39" s="353"/>
    </row>
    <row r="40" spans="1:20" s="474" customFormat="1" ht="15" customHeight="1">
      <c r="A40" s="472"/>
      <c r="B40" s="1280" t="s">
        <v>444</v>
      </c>
      <c r="C40" s="1281"/>
      <c r="D40" s="507" t="s">
        <v>445</v>
      </c>
      <c r="E40" s="507"/>
      <c r="F40" s="507"/>
      <c r="G40" s="507"/>
      <c r="H40" s="508"/>
      <c r="I40" s="509" t="s">
        <v>446</v>
      </c>
      <c r="J40" s="507"/>
      <c r="K40" s="507"/>
      <c r="L40" s="507"/>
      <c r="M40" s="508"/>
      <c r="N40" s="471"/>
      <c r="O40" s="113" t="s">
        <v>211</v>
      </c>
      <c r="P40" s="114"/>
      <c r="Q40" s="115"/>
      <c r="R40" s="471"/>
      <c r="S40" s="113" t="s">
        <v>212</v>
      </c>
      <c r="T40" s="115"/>
    </row>
    <row r="41" spans="1:20" s="474" customFormat="1" ht="15" customHeight="1">
      <c r="A41" s="472"/>
      <c r="B41" s="1282"/>
      <c r="C41" s="1283"/>
      <c r="D41" s="510" t="s">
        <v>99</v>
      </c>
      <c r="E41" s="511" t="s">
        <v>100</v>
      </c>
      <c r="F41" s="511" t="s">
        <v>101</v>
      </c>
      <c r="G41" s="511" t="s">
        <v>102</v>
      </c>
      <c r="H41" s="512" t="s">
        <v>64</v>
      </c>
      <c r="I41" s="513" t="s">
        <v>213</v>
      </c>
      <c r="J41" s="511" t="s">
        <v>214</v>
      </c>
      <c r="K41" s="511" t="s">
        <v>215</v>
      </c>
      <c r="L41" s="511" t="s">
        <v>216</v>
      </c>
      <c r="M41" s="512" t="s">
        <v>217</v>
      </c>
      <c r="N41" s="471"/>
      <c r="O41" s="120" t="s">
        <v>218</v>
      </c>
      <c r="P41" s="121" t="s">
        <v>219</v>
      </c>
      <c r="Q41" s="122" t="s">
        <v>220</v>
      </c>
      <c r="R41" s="471"/>
      <c r="S41" s="120" t="s">
        <v>219</v>
      </c>
      <c r="T41" s="122" t="s">
        <v>221</v>
      </c>
    </row>
    <row r="42" spans="1:20" s="474" customFormat="1" ht="15" customHeight="1">
      <c r="A42" s="472"/>
      <c r="B42" s="1284"/>
      <c r="C42" s="1285"/>
      <c r="D42" s="510" t="s">
        <v>223</v>
      </c>
      <c r="E42" s="511" t="s">
        <v>223</v>
      </c>
      <c r="F42" s="511" t="s">
        <v>223</v>
      </c>
      <c r="G42" s="511" t="s">
        <v>223</v>
      </c>
      <c r="H42" s="512" t="s">
        <v>223</v>
      </c>
      <c r="I42" s="510" t="s">
        <v>223</v>
      </c>
      <c r="J42" s="511" t="s">
        <v>223</v>
      </c>
      <c r="K42" s="511" t="s">
        <v>223</v>
      </c>
      <c r="L42" s="511" t="s">
        <v>223</v>
      </c>
      <c r="M42" s="512" t="s">
        <v>223</v>
      </c>
      <c r="N42" s="353"/>
      <c r="O42" s="482"/>
      <c r="P42" s="483"/>
      <c r="Q42" s="484"/>
      <c r="R42" s="471"/>
      <c r="S42" s="485"/>
      <c r="T42" s="486"/>
    </row>
    <row r="43" spans="1:20" s="474" customFormat="1" ht="15" customHeight="1">
      <c r="A43" s="472"/>
      <c r="B43" s="1286" t="s">
        <v>447</v>
      </c>
      <c r="C43" s="487" t="s">
        <v>448</v>
      </c>
      <c r="D43" s="514">
        <v>1</v>
      </c>
      <c r="E43" s="514">
        <v>0.9</v>
      </c>
      <c r="F43" s="514">
        <v>1.5</v>
      </c>
      <c r="G43" s="514">
        <v>0.97998063017283144</v>
      </c>
      <c r="H43" s="515">
        <v>0.4485690832677206</v>
      </c>
      <c r="I43" s="516">
        <v>0.82</v>
      </c>
      <c r="J43" s="517">
        <v>0.89</v>
      </c>
      <c r="K43" s="517">
        <v>1</v>
      </c>
      <c r="L43" s="517">
        <v>1</v>
      </c>
      <c r="M43" s="518">
        <v>1</v>
      </c>
      <c r="N43" s="353"/>
      <c r="O43" s="457">
        <f t="shared" ref="O43:O68" si="5">SUM(D43:G43)</f>
        <v>4.379980630172831</v>
      </c>
      <c r="P43" s="458">
        <f t="shared" ref="P43:P68" si="6">H43</f>
        <v>0.4485690832677206</v>
      </c>
      <c r="Q43" s="459">
        <f t="shared" ref="Q43:Q68" si="7">SUM(D43:H43)</f>
        <v>4.8285497134405517</v>
      </c>
      <c r="R43" s="471"/>
      <c r="S43" s="457">
        <f t="shared" ref="S43:S68" si="8">SUM(I43:M43)</f>
        <v>4.71</v>
      </c>
      <c r="T43" s="132">
        <f t="shared" ref="T43:T68" si="9">IF(Q43&lt;&gt;0,(S43-Q43)/Q43,"0")</f>
        <v>-2.4551826216174532E-2</v>
      </c>
    </row>
    <row r="44" spans="1:20" s="474" customFormat="1" ht="15" customHeight="1">
      <c r="A44" s="472"/>
      <c r="B44" s="1287"/>
      <c r="C44" s="491" t="s">
        <v>449</v>
      </c>
      <c r="D44" s="519">
        <v>0.5</v>
      </c>
      <c r="E44" s="519">
        <v>0.7</v>
      </c>
      <c r="F44" s="519">
        <v>0.6</v>
      </c>
      <c r="G44" s="519">
        <v>0.67949511643393978</v>
      </c>
      <c r="H44" s="520">
        <v>0.39907437960130709</v>
      </c>
      <c r="I44" s="521">
        <v>1.04</v>
      </c>
      <c r="J44" s="522">
        <v>1.18</v>
      </c>
      <c r="K44" s="522">
        <v>1.32</v>
      </c>
      <c r="L44" s="522">
        <v>1.47</v>
      </c>
      <c r="M44" s="523">
        <v>1.62</v>
      </c>
      <c r="N44" s="353"/>
      <c r="O44" s="457">
        <f t="shared" si="5"/>
        <v>2.4794951164339398</v>
      </c>
      <c r="P44" s="458">
        <f t="shared" si="6"/>
        <v>0.39907437960130709</v>
      </c>
      <c r="Q44" s="459">
        <f t="shared" si="7"/>
        <v>2.8785694960352468</v>
      </c>
      <c r="R44" s="471"/>
      <c r="S44" s="457">
        <f t="shared" si="8"/>
        <v>6.63</v>
      </c>
      <c r="T44" s="132">
        <f t="shared" si="9"/>
        <v>1.3032273527290996</v>
      </c>
    </row>
    <row r="45" spans="1:20" s="474" customFormat="1" ht="15" customHeight="1">
      <c r="A45" s="472"/>
      <c r="B45" s="1286" t="s">
        <v>450</v>
      </c>
      <c r="C45" s="491" t="s">
        <v>448</v>
      </c>
      <c r="D45" s="519">
        <v>0</v>
      </c>
      <c r="E45" s="519">
        <v>0</v>
      </c>
      <c r="F45" s="519">
        <v>0</v>
      </c>
      <c r="G45" s="519">
        <v>9.4228906747387629E-3</v>
      </c>
      <c r="H45" s="520">
        <v>3.1592364042391595E-2</v>
      </c>
      <c r="I45" s="521">
        <v>0</v>
      </c>
      <c r="J45" s="522">
        <v>0</v>
      </c>
      <c r="K45" s="522">
        <v>0</v>
      </c>
      <c r="L45" s="522">
        <v>0</v>
      </c>
      <c r="M45" s="523">
        <v>0</v>
      </c>
      <c r="N45" s="353"/>
      <c r="O45" s="457">
        <f t="shared" si="5"/>
        <v>9.4228906747387629E-3</v>
      </c>
      <c r="P45" s="458">
        <f t="shared" si="6"/>
        <v>3.1592364042391595E-2</v>
      </c>
      <c r="Q45" s="459">
        <f t="shared" si="7"/>
        <v>4.1015254717130356E-2</v>
      </c>
      <c r="R45" s="471"/>
      <c r="S45" s="457">
        <f t="shared" si="8"/>
        <v>0</v>
      </c>
      <c r="T45" s="132">
        <f t="shared" si="9"/>
        <v>-1</v>
      </c>
    </row>
    <row r="46" spans="1:20" s="474" customFormat="1" ht="15" customHeight="1">
      <c r="A46" s="472"/>
      <c r="B46" s="1287"/>
      <c r="C46" s="491" t="s">
        <v>449</v>
      </c>
      <c r="D46" s="519">
        <v>0</v>
      </c>
      <c r="E46" s="522">
        <v>-0.10413095862701416</v>
      </c>
      <c r="F46" s="522">
        <v>-0.2</v>
      </c>
      <c r="G46" s="522">
        <v>-3.4053020369104861E-2</v>
      </c>
      <c r="H46" s="523">
        <v>-5.3770690340651767E-2</v>
      </c>
      <c r="I46" s="521">
        <v>-0.1</v>
      </c>
      <c r="J46" s="522">
        <v>-0.1</v>
      </c>
      <c r="K46" s="522">
        <v>-0.1</v>
      </c>
      <c r="L46" s="522">
        <v>-0.1</v>
      </c>
      <c r="M46" s="523">
        <v>-0.1</v>
      </c>
      <c r="N46" s="353"/>
      <c r="O46" s="457">
        <f t="shared" si="5"/>
        <v>-0.33818397899611902</v>
      </c>
      <c r="P46" s="458">
        <f t="shared" si="6"/>
        <v>-5.3770690340651767E-2</v>
      </c>
      <c r="Q46" s="459">
        <f t="shared" si="7"/>
        <v>-0.39195466933677081</v>
      </c>
      <c r="R46" s="471"/>
      <c r="S46" s="457">
        <f t="shared" si="8"/>
        <v>-0.5</v>
      </c>
      <c r="T46" s="132">
        <f t="shared" si="9"/>
        <v>0.27565772043500192</v>
      </c>
    </row>
    <row r="47" spans="1:20" s="474" customFormat="1" ht="15" customHeight="1">
      <c r="A47" s="472"/>
      <c r="B47" s="1277" t="s">
        <v>368</v>
      </c>
      <c r="C47" s="491" t="s">
        <v>451</v>
      </c>
      <c r="D47" s="524">
        <v>1.7</v>
      </c>
      <c r="E47" s="525">
        <v>1.7</v>
      </c>
      <c r="F47" s="525">
        <v>2</v>
      </c>
      <c r="G47" s="525">
        <v>1.457407091026262</v>
      </c>
      <c r="H47" s="526">
        <v>1.4107007325510907</v>
      </c>
      <c r="I47" s="527">
        <v>1.61</v>
      </c>
      <c r="J47" s="525">
        <v>1.76</v>
      </c>
      <c r="K47" s="525">
        <v>1.94</v>
      </c>
      <c r="L47" s="525">
        <v>1.94</v>
      </c>
      <c r="M47" s="526">
        <v>1.94</v>
      </c>
      <c r="N47" s="353"/>
      <c r="O47" s="457">
        <f t="shared" si="5"/>
        <v>6.8574070910262623</v>
      </c>
      <c r="P47" s="458">
        <f t="shared" si="6"/>
        <v>1.4107007325510907</v>
      </c>
      <c r="Q47" s="459">
        <f t="shared" si="7"/>
        <v>8.2681078235773526</v>
      </c>
      <c r="R47" s="471"/>
      <c r="S47" s="457">
        <f t="shared" si="8"/>
        <v>9.19</v>
      </c>
      <c r="T47" s="132">
        <f t="shared" si="9"/>
        <v>0.11149977674381281</v>
      </c>
    </row>
    <row r="48" spans="1:20" s="474" customFormat="1" ht="15" customHeight="1">
      <c r="A48" s="472"/>
      <c r="B48" s="1278"/>
      <c r="C48" s="491" t="s">
        <v>452</v>
      </c>
      <c r="D48" s="519">
        <v>0.2</v>
      </c>
      <c r="E48" s="522">
        <v>0.2</v>
      </c>
      <c r="F48" s="522">
        <v>0.2</v>
      </c>
      <c r="G48" s="522">
        <v>8.008191067278525E-2</v>
      </c>
      <c r="H48" s="523">
        <v>0.12106157602826106</v>
      </c>
      <c r="I48" s="521">
        <v>0.48</v>
      </c>
      <c r="J48" s="522">
        <v>0.56999999999999995</v>
      </c>
      <c r="K48" s="522">
        <v>0.65</v>
      </c>
      <c r="L48" s="522">
        <v>0.73</v>
      </c>
      <c r="M48" s="523">
        <v>0.83</v>
      </c>
      <c r="N48" s="528"/>
      <c r="O48" s="457">
        <f t="shared" si="5"/>
        <v>0.68008191067278534</v>
      </c>
      <c r="P48" s="458">
        <f t="shared" si="6"/>
        <v>0.12106157602826106</v>
      </c>
      <c r="Q48" s="459">
        <f t="shared" si="7"/>
        <v>0.8011434867010464</v>
      </c>
      <c r="R48" s="471"/>
      <c r="S48" s="457">
        <f t="shared" si="8"/>
        <v>3.26</v>
      </c>
      <c r="T48" s="132">
        <f t="shared" si="9"/>
        <v>3.0691836782247934</v>
      </c>
    </row>
    <row r="49" spans="1:20" s="474" customFormat="1" ht="15" customHeight="1">
      <c r="A49" s="472"/>
      <c r="B49" s="1279"/>
      <c r="C49" s="495" t="s">
        <v>453</v>
      </c>
      <c r="D49" s="519">
        <v>0.2</v>
      </c>
      <c r="E49" s="522">
        <v>0.1</v>
      </c>
      <c r="F49" s="522">
        <v>0.1</v>
      </c>
      <c r="G49" s="522">
        <v>0.26593491459818286</v>
      </c>
      <c r="H49" s="523">
        <v>0.30855208881402457</v>
      </c>
      <c r="I49" s="521">
        <v>0.47</v>
      </c>
      <c r="J49" s="522">
        <v>0.51</v>
      </c>
      <c r="K49" s="522">
        <v>0.56000000000000005</v>
      </c>
      <c r="L49" s="522">
        <v>0.61</v>
      </c>
      <c r="M49" s="523">
        <v>0.66</v>
      </c>
      <c r="N49" s="528"/>
      <c r="O49" s="457">
        <f t="shared" si="5"/>
        <v>0.66593491459818288</v>
      </c>
      <c r="P49" s="458">
        <f t="shared" si="6"/>
        <v>0.30855208881402457</v>
      </c>
      <c r="Q49" s="459">
        <f t="shared" si="7"/>
        <v>0.97448700341220751</v>
      </c>
      <c r="R49" s="471"/>
      <c r="S49" s="457">
        <f t="shared" si="8"/>
        <v>2.81</v>
      </c>
      <c r="T49" s="132">
        <f t="shared" si="9"/>
        <v>1.8835684726021651</v>
      </c>
    </row>
    <row r="50" spans="1:20" s="474" customFormat="1" ht="15" customHeight="1">
      <c r="A50" s="472"/>
      <c r="B50" s="1277" t="s">
        <v>245</v>
      </c>
      <c r="C50" s="491" t="s">
        <v>454</v>
      </c>
      <c r="D50" s="524">
        <v>1.9</v>
      </c>
      <c r="E50" s="525">
        <v>5.2</v>
      </c>
      <c r="F50" s="525">
        <v>5</v>
      </c>
      <c r="G50" s="525">
        <v>3.4246972663411661</v>
      </c>
      <c r="H50" s="526">
        <v>3.2169433076456775</v>
      </c>
      <c r="I50" s="527">
        <v>5.15</v>
      </c>
      <c r="J50" s="525">
        <v>7.1</v>
      </c>
      <c r="K50" s="525">
        <v>9.07</v>
      </c>
      <c r="L50" s="525">
        <v>9.07</v>
      </c>
      <c r="M50" s="526">
        <v>9.07</v>
      </c>
      <c r="N50" s="353"/>
      <c r="O50" s="457">
        <f t="shared" si="5"/>
        <v>15.524697266341166</v>
      </c>
      <c r="P50" s="458">
        <f t="shared" si="6"/>
        <v>3.2169433076456775</v>
      </c>
      <c r="Q50" s="459">
        <f t="shared" si="7"/>
        <v>18.741640573986842</v>
      </c>
      <c r="R50" s="471"/>
      <c r="S50" s="457">
        <f t="shared" si="8"/>
        <v>39.46</v>
      </c>
      <c r="T50" s="132">
        <f t="shared" si="9"/>
        <v>1.1054720286744788</v>
      </c>
    </row>
    <row r="51" spans="1:20" s="474" customFormat="1" ht="15" customHeight="1">
      <c r="A51" s="472"/>
      <c r="B51" s="1278"/>
      <c r="C51" s="491" t="s">
        <v>115</v>
      </c>
      <c r="D51" s="519">
        <v>0.2</v>
      </c>
      <c r="E51" s="522">
        <v>0.6</v>
      </c>
      <c r="F51" s="522">
        <v>1.1000000000000001</v>
      </c>
      <c r="G51" s="522">
        <v>0.43135899533248562</v>
      </c>
      <c r="H51" s="523">
        <v>0.24747351833206749</v>
      </c>
      <c r="I51" s="521">
        <v>0.43</v>
      </c>
      <c r="J51" s="522">
        <v>0.48</v>
      </c>
      <c r="K51" s="522">
        <v>0.55000000000000004</v>
      </c>
      <c r="L51" s="522">
        <v>0.61</v>
      </c>
      <c r="M51" s="523">
        <v>0.69</v>
      </c>
      <c r="N51" s="353"/>
      <c r="O51" s="457">
        <f t="shared" si="5"/>
        <v>2.3313589953324856</v>
      </c>
      <c r="P51" s="458">
        <f t="shared" si="6"/>
        <v>0.24747351833206749</v>
      </c>
      <c r="Q51" s="459">
        <f t="shared" si="7"/>
        <v>2.5788325136645529</v>
      </c>
      <c r="R51" s="471"/>
      <c r="S51" s="457">
        <f t="shared" si="8"/>
        <v>2.76</v>
      </c>
      <c r="T51" s="132">
        <f t="shared" si="9"/>
        <v>7.0251745848358971E-2</v>
      </c>
    </row>
    <row r="52" spans="1:20" s="474" customFormat="1" ht="15" customHeight="1">
      <c r="A52" s="472"/>
      <c r="B52" s="1278"/>
      <c r="C52" s="495" t="s">
        <v>455</v>
      </c>
      <c r="D52" s="519">
        <v>0</v>
      </c>
      <c r="E52" s="522">
        <v>0</v>
      </c>
      <c r="F52" s="522">
        <v>0</v>
      </c>
      <c r="G52" s="522">
        <v>0</v>
      </c>
      <c r="H52" s="523">
        <v>0</v>
      </c>
      <c r="I52" s="521">
        <v>0</v>
      </c>
      <c r="J52" s="522">
        <v>0</v>
      </c>
      <c r="K52" s="522">
        <v>0</v>
      </c>
      <c r="L52" s="522">
        <v>0</v>
      </c>
      <c r="M52" s="523">
        <v>0</v>
      </c>
      <c r="N52" s="353"/>
      <c r="O52" s="457">
        <f t="shared" si="5"/>
        <v>0</v>
      </c>
      <c r="P52" s="458">
        <f t="shared" si="6"/>
        <v>0</v>
      </c>
      <c r="Q52" s="459">
        <f t="shared" si="7"/>
        <v>0</v>
      </c>
      <c r="R52" s="471"/>
      <c r="S52" s="457">
        <f t="shared" si="8"/>
        <v>0</v>
      </c>
      <c r="T52" s="132" t="str">
        <f t="shared" si="9"/>
        <v>0</v>
      </c>
    </row>
    <row r="53" spans="1:20" s="474" customFormat="1" ht="15" customHeight="1">
      <c r="A53" s="472"/>
      <c r="B53" s="1278"/>
      <c r="C53" s="495" t="s">
        <v>453</v>
      </c>
      <c r="D53" s="519">
        <v>0.9</v>
      </c>
      <c r="E53" s="522">
        <v>1.1000000000000001</v>
      </c>
      <c r="F53" s="522">
        <v>2.5</v>
      </c>
      <c r="G53" s="522">
        <v>1.8861359566643816</v>
      </c>
      <c r="H53" s="523">
        <v>2.4316014385969797</v>
      </c>
      <c r="I53" s="521">
        <v>1.71</v>
      </c>
      <c r="J53" s="522">
        <v>1.78</v>
      </c>
      <c r="K53" s="522">
        <v>1.84</v>
      </c>
      <c r="L53" s="522">
        <v>1.89</v>
      </c>
      <c r="M53" s="523">
        <v>1.94</v>
      </c>
      <c r="N53" s="353"/>
      <c r="O53" s="457">
        <f t="shared" si="5"/>
        <v>6.3861359566643818</v>
      </c>
      <c r="P53" s="458">
        <f t="shared" si="6"/>
        <v>2.4316014385969797</v>
      </c>
      <c r="Q53" s="459">
        <f t="shared" si="7"/>
        <v>8.8177373952613607</v>
      </c>
      <c r="R53" s="471"/>
      <c r="S53" s="457">
        <f t="shared" si="8"/>
        <v>9.16</v>
      </c>
      <c r="T53" s="132">
        <f t="shared" si="9"/>
        <v>3.8815241302442377E-2</v>
      </c>
    </row>
    <row r="54" spans="1:20" s="474" customFormat="1" ht="15" customHeight="1">
      <c r="A54" s="472"/>
      <c r="B54" s="1278"/>
      <c r="C54" s="491" t="s">
        <v>456</v>
      </c>
      <c r="D54" s="519">
        <v>0.1</v>
      </c>
      <c r="E54" s="522">
        <v>0.8</v>
      </c>
      <c r="F54" s="522">
        <v>0.7</v>
      </c>
      <c r="G54" s="522">
        <v>0.38475537582267194</v>
      </c>
      <c r="H54" s="523">
        <v>0.81512547842794325</v>
      </c>
      <c r="I54" s="521">
        <v>1.66</v>
      </c>
      <c r="J54" s="522">
        <v>1.75</v>
      </c>
      <c r="K54" s="522">
        <v>1.83</v>
      </c>
      <c r="L54" s="522">
        <v>1.91</v>
      </c>
      <c r="M54" s="523">
        <v>1.98</v>
      </c>
      <c r="N54" s="353"/>
      <c r="O54" s="457">
        <f t="shared" si="5"/>
        <v>1.9847553758226719</v>
      </c>
      <c r="P54" s="458">
        <f t="shared" si="6"/>
        <v>0.81512547842794325</v>
      </c>
      <c r="Q54" s="459">
        <f t="shared" si="7"/>
        <v>2.7998808542506151</v>
      </c>
      <c r="R54" s="471"/>
      <c r="S54" s="457">
        <f t="shared" si="8"/>
        <v>9.1300000000000008</v>
      </c>
      <c r="T54" s="132">
        <f t="shared" si="9"/>
        <v>2.2608530417068891</v>
      </c>
    </row>
    <row r="55" spans="1:20" s="474" customFormat="1" ht="15" customHeight="1">
      <c r="A55" s="472"/>
      <c r="B55" s="1279"/>
      <c r="C55" s="491" t="s">
        <v>457</v>
      </c>
      <c r="D55" s="519">
        <v>0.6</v>
      </c>
      <c r="E55" s="522">
        <v>1</v>
      </c>
      <c r="F55" s="522">
        <v>0.8</v>
      </c>
      <c r="G55" s="522">
        <v>0.6470384929987284</v>
      </c>
      <c r="H55" s="523">
        <v>0.48757548505424364</v>
      </c>
      <c r="I55" s="521">
        <v>0.7</v>
      </c>
      <c r="J55" s="522">
        <v>0.7</v>
      </c>
      <c r="K55" s="522">
        <v>0.7</v>
      </c>
      <c r="L55" s="522">
        <v>0.7</v>
      </c>
      <c r="M55" s="523">
        <v>0.7</v>
      </c>
      <c r="N55" s="353"/>
      <c r="O55" s="457">
        <f t="shared" si="5"/>
        <v>3.0470384929987286</v>
      </c>
      <c r="P55" s="458">
        <f t="shared" si="6"/>
        <v>0.48757548505424364</v>
      </c>
      <c r="Q55" s="459">
        <f t="shared" si="7"/>
        <v>3.5346139780529722</v>
      </c>
      <c r="R55" s="471"/>
      <c r="S55" s="457">
        <f t="shared" si="8"/>
        <v>3.5</v>
      </c>
      <c r="T55" s="132">
        <f t="shared" si="9"/>
        <v>-9.7928594941049663E-3</v>
      </c>
    </row>
    <row r="56" spans="1:20" s="474" customFormat="1" ht="15" customHeight="1">
      <c r="A56" s="472"/>
      <c r="B56" s="1277" t="s">
        <v>427</v>
      </c>
      <c r="C56" s="491" t="s">
        <v>454</v>
      </c>
      <c r="D56" s="524">
        <v>0.3</v>
      </c>
      <c r="E56" s="525">
        <v>0.4</v>
      </c>
      <c r="F56" s="525">
        <v>0.9</v>
      </c>
      <c r="G56" s="525">
        <v>2.0772238998535228</v>
      </c>
      <c r="H56" s="526">
        <v>1.2089344640221851</v>
      </c>
      <c r="I56" s="527">
        <v>0.66</v>
      </c>
      <c r="J56" s="525">
        <v>1.08</v>
      </c>
      <c r="K56" s="525">
        <v>1.51</v>
      </c>
      <c r="L56" s="525">
        <v>1.51</v>
      </c>
      <c r="M56" s="526">
        <v>1.52</v>
      </c>
      <c r="N56" s="353"/>
      <c r="O56" s="457">
        <f t="shared" si="5"/>
        <v>3.6772238998535229</v>
      </c>
      <c r="P56" s="458">
        <f t="shared" si="6"/>
        <v>1.2089344640221851</v>
      </c>
      <c r="Q56" s="459">
        <f t="shared" si="7"/>
        <v>4.8861583638757082</v>
      </c>
      <c r="R56" s="471"/>
      <c r="S56" s="457">
        <f t="shared" si="8"/>
        <v>6.2799999999999994</v>
      </c>
      <c r="T56" s="132">
        <f t="shared" si="9"/>
        <v>0.28526329527696559</v>
      </c>
    </row>
    <row r="57" spans="1:20" s="474" customFormat="1" ht="15" customHeight="1">
      <c r="A57" s="472"/>
      <c r="B57" s="1278"/>
      <c r="C57" s="491" t="s">
        <v>115</v>
      </c>
      <c r="D57" s="519">
        <v>0.8</v>
      </c>
      <c r="E57" s="522">
        <v>0.9</v>
      </c>
      <c r="F57" s="522">
        <v>0</v>
      </c>
      <c r="G57" s="522">
        <v>4.7114453373693813E-2</v>
      </c>
      <c r="H57" s="523">
        <v>0.10846711654554447</v>
      </c>
      <c r="I57" s="521">
        <v>0.14000000000000001</v>
      </c>
      <c r="J57" s="522">
        <v>0.17</v>
      </c>
      <c r="K57" s="522">
        <v>0.2</v>
      </c>
      <c r="L57" s="522">
        <v>0.23</v>
      </c>
      <c r="M57" s="523">
        <v>0.26</v>
      </c>
      <c r="N57" s="353"/>
      <c r="O57" s="457">
        <f t="shared" si="5"/>
        <v>1.747114453373694</v>
      </c>
      <c r="P57" s="458">
        <f t="shared" si="6"/>
        <v>0.10846711654554447</v>
      </c>
      <c r="Q57" s="459">
        <f t="shared" si="7"/>
        <v>1.8555815699192384</v>
      </c>
      <c r="R57" s="471"/>
      <c r="S57" s="457">
        <f t="shared" si="8"/>
        <v>1</v>
      </c>
      <c r="T57" s="132">
        <f t="shared" si="9"/>
        <v>-0.46108539974153567</v>
      </c>
    </row>
    <row r="58" spans="1:20" s="474" customFormat="1" ht="15" customHeight="1">
      <c r="A58" s="472"/>
      <c r="B58" s="1278"/>
      <c r="C58" s="491" t="s">
        <v>455</v>
      </c>
      <c r="D58" s="519">
        <v>0</v>
      </c>
      <c r="E58" s="522">
        <v>0</v>
      </c>
      <c r="F58" s="522">
        <v>0</v>
      </c>
      <c r="G58" s="522">
        <v>0</v>
      </c>
      <c r="H58" s="523">
        <v>0</v>
      </c>
      <c r="I58" s="521">
        <v>0</v>
      </c>
      <c r="J58" s="522">
        <v>0</v>
      </c>
      <c r="K58" s="522">
        <v>0</v>
      </c>
      <c r="L58" s="522">
        <v>0</v>
      </c>
      <c r="M58" s="523">
        <v>0</v>
      </c>
      <c r="N58" s="353"/>
      <c r="O58" s="457">
        <f t="shared" si="5"/>
        <v>0</v>
      </c>
      <c r="P58" s="458">
        <f t="shared" si="6"/>
        <v>0</v>
      </c>
      <c r="Q58" s="459">
        <f t="shared" si="7"/>
        <v>0</v>
      </c>
      <c r="R58" s="471"/>
      <c r="S58" s="457">
        <f t="shared" si="8"/>
        <v>0</v>
      </c>
      <c r="T58" s="132" t="str">
        <f t="shared" si="9"/>
        <v>0</v>
      </c>
    </row>
    <row r="59" spans="1:20" s="474" customFormat="1" ht="15" customHeight="1">
      <c r="A59" s="472"/>
      <c r="B59" s="1278"/>
      <c r="C59" s="491" t="s">
        <v>453</v>
      </c>
      <c r="D59" s="519">
        <v>0.5</v>
      </c>
      <c r="E59" s="522">
        <v>1.3</v>
      </c>
      <c r="F59" s="522">
        <v>1.9</v>
      </c>
      <c r="G59" s="522">
        <v>1.0752565247729677</v>
      </c>
      <c r="H59" s="523">
        <v>1.5185396316376227</v>
      </c>
      <c r="I59" s="521">
        <v>0.65</v>
      </c>
      <c r="J59" s="522">
        <v>0.66</v>
      </c>
      <c r="K59" s="522">
        <v>0.67</v>
      </c>
      <c r="L59" s="522">
        <v>0.67</v>
      </c>
      <c r="M59" s="523">
        <v>0.67</v>
      </c>
      <c r="N59" s="353"/>
      <c r="O59" s="457">
        <f t="shared" si="5"/>
        <v>4.7752565247729679</v>
      </c>
      <c r="P59" s="458">
        <f t="shared" si="6"/>
        <v>1.5185396316376227</v>
      </c>
      <c r="Q59" s="459">
        <f t="shared" si="7"/>
        <v>6.2937961564105906</v>
      </c>
      <c r="R59" s="471"/>
      <c r="S59" s="457">
        <f t="shared" si="8"/>
        <v>3.32</v>
      </c>
      <c r="T59" s="132">
        <f t="shared" si="9"/>
        <v>-0.47249642068270825</v>
      </c>
    </row>
    <row r="60" spans="1:20" s="474" customFormat="1" ht="15" customHeight="1">
      <c r="A60" s="472"/>
      <c r="B60" s="1278"/>
      <c r="C60" s="491" t="s">
        <v>456</v>
      </c>
      <c r="D60" s="519">
        <v>0.1</v>
      </c>
      <c r="E60" s="522">
        <v>0.3</v>
      </c>
      <c r="F60" s="522">
        <v>0.8</v>
      </c>
      <c r="G60" s="522">
        <v>0.42191078453275838</v>
      </c>
      <c r="H60" s="523">
        <v>0.16120602888467728</v>
      </c>
      <c r="I60" s="521">
        <v>1.26</v>
      </c>
      <c r="J60" s="522">
        <v>1.32</v>
      </c>
      <c r="K60" s="522">
        <v>1.39</v>
      </c>
      <c r="L60" s="522">
        <v>1.5</v>
      </c>
      <c r="M60" s="523">
        <v>1.56</v>
      </c>
      <c r="N60" s="353"/>
      <c r="O60" s="457">
        <f t="shared" si="5"/>
        <v>1.6219107845327585</v>
      </c>
      <c r="P60" s="458">
        <f t="shared" si="6"/>
        <v>0.16120602888467728</v>
      </c>
      <c r="Q60" s="459">
        <f t="shared" si="7"/>
        <v>1.7831168134174358</v>
      </c>
      <c r="R60" s="471"/>
      <c r="S60" s="457">
        <f t="shared" si="8"/>
        <v>7.0299999999999994</v>
      </c>
      <c r="T60" s="132">
        <f t="shared" si="9"/>
        <v>2.9425347498836265</v>
      </c>
    </row>
    <row r="61" spans="1:20" s="474" customFormat="1" ht="15" customHeight="1">
      <c r="A61" s="472"/>
      <c r="B61" s="1279"/>
      <c r="C61" s="495" t="s">
        <v>457</v>
      </c>
      <c r="D61" s="519">
        <v>0.4</v>
      </c>
      <c r="E61" s="522">
        <v>0.1</v>
      </c>
      <c r="F61" s="522">
        <v>0.3</v>
      </c>
      <c r="G61" s="522">
        <v>0.1382023965628352</v>
      </c>
      <c r="H61" s="523">
        <v>0.21272191788543676</v>
      </c>
      <c r="I61" s="521">
        <v>0.48</v>
      </c>
      <c r="J61" s="522">
        <v>0.48</v>
      </c>
      <c r="K61" s="522">
        <v>0.48</v>
      </c>
      <c r="L61" s="522">
        <v>0.48</v>
      </c>
      <c r="M61" s="523">
        <v>0.48</v>
      </c>
      <c r="N61" s="353"/>
      <c r="O61" s="457">
        <f t="shared" si="5"/>
        <v>0.93820239656283522</v>
      </c>
      <c r="P61" s="458">
        <f t="shared" si="6"/>
        <v>0.21272191788543676</v>
      </c>
      <c r="Q61" s="459">
        <f t="shared" si="7"/>
        <v>1.1509243144482719</v>
      </c>
      <c r="R61" s="471"/>
      <c r="S61" s="457">
        <f t="shared" si="8"/>
        <v>2.4</v>
      </c>
      <c r="T61" s="132">
        <f t="shared" si="9"/>
        <v>1.0852804740253557</v>
      </c>
    </row>
    <row r="62" spans="1:20" s="474" customFormat="1" ht="15" customHeight="1">
      <c r="A62" s="472"/>
      <c r="B62" s="1277" t="s">
        <v>426</v>
      </c>
      <c r="C62" s="491" t="s">
        <v>454</v>
      </c>
      <c r="D62" s="524">
        <v>0.5</v>
      </c>
      <c r="E62" s="525">
        <v>1.3</v>
      </c>
      <c r="F62" s="525">
        <v>1.1000000000000001</v>
      </c>
      <c r="G62" s="525">
        <v>0.88575172342544373</v>
      </c>
      <c r="H62" s="526">
        <v>0.3338259800479379</v>
      </c>
      <c r="I62" s="527">
        <v>0.6</v>
      </c>
      <c r="J62" s="525">
        <v>0.77</v>
      </c>
      <c r="K62" s="525">
        <v>0.96</v>
      </c>
      <c r="L62" s="525">
        <v>0.98</v>
      </c>
      <c r="M62" s="526">
        <v>1</v>
      </c>
      <c r="N62" s="353"/>
      <c r="O62" s="457">
        <f t="shared" si="5"/>
        <v>3.7857517234254443</v>
      </c>
      <c r="P62" s="458">
        <f t="shared" si="6"/>
        <v>0.3338259800479379</v>
      </c>
      <c r="Q62" s="459">
        <f t="shared" si="7"/>
        <v>4.1195777034733823</v>
      </c>
      <c r="R62" s="471"/>
      <c r="S62" s="457">
        <f t="shared" si="8"/>
        <v>4.3100000000000005</v>
      </c>
      <c r="T62" s="132">
        <f t="shared" si="9"/>
        <v>4.6223741905891354E-2</v>
      </c>
    </row>
    <row r="63" spans="1:20" s="474" customFormat="1" ht="15" customHeight="1">
      <c r="A63" s="472"/>
      <c r="B63" s="1278"/>
      <c r="C63" s="491" t="s">
        <v>115</v>
      </c>
      <c r="D63" s="519">
        <v>0</v>
      </c>
      <c r="E63" s="522">
        <v>0</v>
      </c>
      <c r="F63" s="522">
        <v>0.4</v>
      </c>
      <c r="G63" s="522">
        <v>0.13087348159359394</v>
      </c>
      <c r="H63" s="523">
        <v>0.16217413541761019</v>
      </c>
      <c r="I63" s="521">
        <v>0.36</v>
      </c>
      <c r="J63" s="522">
        <v>0.48</v>
      </c>
      <c r="K63" s="522">
        <v>0.6</v>
      </c>
      <c r="L63" s="522">
        <v>0.6</v>
      </c>
      <c r="M63" s="523">
        <v>0.71</v>
      </c>
      <c r="N63" s="353"/>
      <c r="O63" s="457">
        <f t="shared" si="5"/>
        <v>0.53087348159359393</v>
      </c>
      <c r="P63" s="458">
        <f t="shared" si="6"/>
        <v>0.16217413541761019</v>
      </c>
      <c r="Q63" s="459">
        <f t="shared" si="7"/>
        <v>0.6930476170112041</v>
      </c>
      <c r="R63" s="471"/>
      <c r="S63" s="457">
        <f t="shared" si="8"/>
        <v>2.75</v>
      </c>
      <c r="T63" s="132">
        <f t="shared" si="9"/>
        <v>2.9679813226391087</v>
      </c>
    </row>
    <row r="64" spans="1:20" s="474" customFormat="1" ht="15" customHeight="1">
      <c r="A64" s="472"/>
      <c r="B64" s="1278"/>
      <c r="C64" s="495" t="s">
        <v>458</v>
      </c>
      <c r="D64" s="519">
        <v>0</v>
      </c>
      <c r="E64" s="522">
        <v>0</v>
      </c>
      <c r="F64" s="522">
        <v>0</v>
      </c>
      <c r="G64" s="522">
        <v>0</v>
      </c>
      <c r="H64" s="523">
        <v>0</v>
      </c>
      <c r="I64" s="521">
        <v>0</v>
      </c>
      <c r="J64" s="522">
        <v>0</v>
      </c>
      <c r="K64" s="522">
        <v>0</v>
      </c>
      <c r="L64" s="522">
        <v>0</v>
      </c>
      <c r="M64" s="523">
        <v>0</v>
      </c>
      <c r="N64" s="353"/>
      <c r="O64" s="457">
        <f t="shared" si="5"/>
        <v>0</v>
      </c>
      <c r="P64" s="458">
        <f t="shared" si="6"/>
        <v>0</v>
      </c>
      <c r="Q64" s="459">
        <f t="shared" si="7"/>
        <v>0</v>
      </c>
      <c r="R64" s="471"/>
      <c r="S64" s="457">
        <f t="shared" si="8"/>
        <v>0</v>
      </c>
      <c r="T64" s="132" t="str">
        <f t="shared" si="9"/>
        <v>0</v>
      </c>
    </row>
    <row r="65" spans="1:20" s="474" customFormat="1" ht="15" customHeight="1">
      <c r="A65" s="472"/>
      <c r="B65" s="1278"/>
      <c r="C65" s="495" t="s">
        <v>453</v>
      </c>
      <c r="D65" s="519">
        <v>1</v>
      </c>
      <c r="E65" s="522">
        <v>1.8</v>
      </c>
      <c r="F65" s="522">
        <v>0.1</v>
      </c>
      <c r="G65" s="522">
        <v>0.55699753766233584</v>
      </c>
      <c r="H65" s="523">
        <v>0.13584716538228386</v>
      </c>
      <c r="I65" s="521">
        <v>0.16</v>
      </c>
      <c r="J65" s="522">
        <v>0.17</v>
      </c>
      <c r="K65" s="522">
        <v>0.18</v>
      </c>
      <c r="L65" s="522">
        <v>0.2</v>
      </c>
      <c r="M65" s="523">
        <v>0.21</v>
      </c>
      <c r="N65" s="353"/>
      <c r="O65" s="457">
        <f t="shared" si="5"/>
        <v>3.4569975376623359</v>
      </c>
      <c r="P65" s="458">
        <f t="shared" si="6"/>
        <v>0.13584716538228386</v>
      </c>
      <c r="Q65" s="459">
        <f t="shared" si="7"/>
        <v>3.5928447030446198</v>
      </c>
      <c r="R65" s="471"/>
      <c r="S65" s="457">
        <f t="shared" si="8"/>
        <v>0.91999999999999993</v>
      </c>
      <c r="T65" s="132">
        <f t="shared" si="9"/>
        <v>-0.74393549511884527</v>
      </c>
    </row>
    <row r="66" spans="1:20" s="474" customFormat="1" ht="15" customHeight="1">
      <c r="A66" s="472"/>
      <c r="B66" s="1278"/>
      <c r="C66" s="495" t="s">
        <v>456</v>
      </c>
      <c r="D66" s="519">
        <v>0.1</v>
      </c>
      <c r="E66" s="522">
        <v>0.6</v>
      </c>
      <c r="F66" s="522">
        <v>0.8</v>
      </c>
      <c r="G66" s="522">
        <v>1.0417529134850076</v>
      </c>
      <c r="H66" s="523">
        <v>0</v>
      </c>
      <c r="I66" s="521">
        <v>2.29</v>
      </c>
      <c r="J66" s="522">
        <v>2.29</v>
      </c>
      <c r="K66" s="522">
        <v>2.29</v>
      </c>
      <c r="L66" s="522">
        <v>2.14</v>
      </c>
      <c r="M66" s="523">
        <v>2.14</v>
      </c>
      <c r="N66" s="353"/>
      <c r="O66" s="457">
        <f t="shared" si="5"/>
        <v>2.5417529134850074</v>
      </c>
      <c r="P66" s="458">
        <f t="shared" si="6"/>
        <v>0</v>
      </c>
      <c r="Q66" s="459">
        <f t="shared" si="7"/>
        <v>2.5417529134850074</v>
      </c>
      <c r="R66" s="471"/>
      <c r="S66" s="457">
        <f t="shared" si="8"/>
        <v>11.15</v>
      </c>
      <c r="T66" s="132">
        <f t="shared" si="9"/>
        <v>3.3867363900105425</v>
      </c>
    </row>
    <row r="67" spans="1:20" s="474" customFormat="1" ht="15" customHeight="1" thickBot="1">
      <c r="A67" s="472"/>
      <c r="B67" s="1291"/>
      <c r="C67" s="529" t="s">
        <v>457</v>
      </c>
      <c r="D67" s="530">
        <v>0.2</v>
      </c>
      <c r="E67" s="531">
        <v>0.2</v>
      </c>
      <c r="F67" s="531">
        <v>0.9</v>
      </c>
      <c r="G67" s="531">
        <v>0.23661925472121784</v>
      </c>
      <c r="H67" s="532">
        <v>0.1937664994600018</v>
      </c>
      <c r="I67" s="533">
        <v>0.21</v>
      </c>
      <c r="J67" s="531">
        <v>0.21</v>
      </c>
      <c r="K67" s="531">
        <v>0.21</v>
      </c>
      <c r="L67" s="531">
        <v>0.21</v>
      </c>
      <c r="M67" s="532">
        <v>0.21</v>
      </c>
      <c r="N67" s="353"/>
      <c r="O67" s="457">
        <f t="shared" si="5"/>
        <v>1.5366192547212179</v>
      </c>
      <c r="P67" s="458">
        <f t="shared" si="6"/>
        <v>0.1937664994600018</v>
      </c>
      <c r="Q67" s="459">
        <f t="shared" si="7"/>
        <v>1.7303857541812198</v>
      </c>
      <c r="R67" s="471"/>
      <c r="S67" s="457">
        <f t="shared" si="8"/>
        <v>1.05</v>
      </c>
      <c r="T67" s="132">
        <f t="shared" si="9"/>
        <v>-0.39319888789951535</v>
      </c>
    </row>
    <row r="68" spans="1:20" s="474" customFormat="1" ht="15" customHeight="1" thickBot="1">
      <c r="A68" s="472"/>
      <c r="B68" s="534" t="s">
        <v>461</v>
      </c>
      <c r="C68" s="535"/>
      <c r="D68" s="536">
        <v>11.2</v>
      </c>
      <c r="E68" s="537">
        <v>19.095869041372989</v>
      </c>
      <c r="F68" s="537">
        <v>21.5</v>
      </c>
      <c r="G68" s="537">
        <v>16.823958590352451</v>
      </c>
      <c r="H68" s="538">
        <v>13.899981701304355</v>
      </c>
      <c r="I68" s="539">
        <v>20.78</v>
      </c>
      <c r="J68" s="537">
        <v>24.25</v>
      </c>
      <c r="K68" s="537">
        <v>27.85</v>
      </c>
      <c r="L68" s="537">
        <v>28.35</v>
      </c>
      <c r="M68" s="538">
        <v>29.09</v>
      </c>
      <c r="N68" s="353"/>
      <c r="O68" s="501">
        <f t="shared" si="5"/>
        <v>68.619827631725443</v>
      </c>
      <c r="P68" s="502">
        <f t="shared" si="6"/>
        <v>13.899981701304355</v>
      </c>
      <c r="Q68" s="503">
        <f t="shared" si="7"/>
        <v>82.519809333029798</v>
      </c>
      <c r="R68" s="471"/>
      <c r="S68" s="501">
        <f t="shared" si="8"/>
        <v>130.32</v>
      </c>
      <c r="T68" s="150">
        <f t="shared" si="9"/>
        <v>0.57925716325955501</v>
      </c>
    </row>
    <row r="69" spans="1:20" s="474" customFormat="1" ht="12.75">
      <c r="A69" s="472"/>
      <c r="B69" s="504"/>
      <c r="C69" s="504"/>
      <c r="D69" s="108"/>
      <c r="E69" s="108"/>
      <c r="F69" s="108"/>
      <c r="G69" s="108"/>
      <c r="H69" s="108"/>
      <c r="I69" s="108"/>
      <c r="J69" s="108"/>
      <c r="K69" s="108"/>
      <c r="L69" s="108"/>
      <c r="M69" s="108"/>
      <c r="N69" s="353"/>
      <c r="O69" s="353"/>
      <c r="P69" s="353"/>
      <c r="Q69" s="353"/>
    </row>
    <row r="70" spans="1:20" s="474" customFormat="1">
      <c r="A70" s="472"/>
      <c r="B70" s="353"/>
      <c r="C70" s="353"/>
      <c r="D70" s="506"/>
      <c r="E70" s="506"/>
      <c r="F70" s="506"/>
      <c r="G70" s="506"/>
      <c r="H70" s="506"/>
      <c r="I70" s="506"/>
      <c r="J70" s="506"/>
      <c r="K70" s="506"/>
      <c r="L70" s="506"/>
      <c r="M70" s="506"/>
      <c r="N70" s="353"/>
      <c r="O70" s="353"/>
      <c r="P70" s="353"/>
      <c r="Q70" s="353"/>
    </row>
    <row r="71" spans="1:20" s="474" customFormat="1">
      <c r="A71" s="472"/>
      <c r="B71" s="469" t="s">
        <v>462</v>
      </c>
      <c r="C71" s="353"/>
      <c r="D71" s="506"/>
      <c r="E71" s="506"/>
      <c r="F71" s="506"/>
      <c r="G71" s="506"/>
      <c r="H71" s="506"/>
      <c r="I71" s="506"/>
      <c r="J71" s="506"/>
      <c r="K71" s="506"/>
      <c r="L71" s="506"/>
      <c r="M71" s="506"/>
      <c r="N71" s="471"/>
      <c r="O71" s="353"/>
      <c r="P71" s="353"/>
      <c r="Q71" s="353"/>
    </row>
    <row r="72" spans="1:20" s="474" customFormat="1" ht="15" thickBot="1">
      <c r="A72" s="472"/>
      <c r="B72" s="353"/>
      <c r="C72" s="353"/>
      <c r="D72" s="506"/>
      <c r="E72" s="506"/>
      <c r="F72" s="506"/>
      <c r="G72" s="506"/>
      <c r="H72" s="506"/>
      <c r="I72" s="506"/>
      <c r="J72" s="506"/>
      <c r="K72" s="506"/>
      <c r="L72" s="506"/>
      <c r="M72" s="506"/>
      <c r="N72" s="471"/>
      <c r="O72" s="353"/>
      <c r="P72" s="353"/>
      <c r="Q72" s="353"/>
    </row>
    <row r="73" spans="1:20" s="474" customFormat="1" ht="15">
      <c r="A73" s="472"/>
      <c r="B73" s="1280" t="s">
        <v>444</v>
      </c>
      <c r="C73" s="1281"/>
      <c r="D73" s="507" t="s">
        <v>445</v>
      </c>
      <c r="E73" s="507"/>
      <c r="F73" s="507"/>
      <c r="G73" s="507"/>
      <c r="H73" s="508"/>
      <c r="I73" s="509" t="s">
        <v>446</v>
      </c>
      <c r="J73" s="507"/>
      <c r="K73" s="507"/>
      <c r="L73" s="507"/>
      <c r="M73" s="508"/>
      <c r="N73" s="471"/>
      <c r="O73" s="113" t="s">
        <v>211</v>
      </c>
      <c r="P73" s="114"/>
      <c r="Q73" s="115"/>
      <c r="R73" s="471"/>
      <c r="S73" s="113" t="s">
        <v>212</v>
      </c>
      <c r="T73" s="115"/>
    </row>
    <row r="74" spans="1:20" s="474" customFormat="1" ht="15">
      <c r="A74" s="472"/>
      <c r="B74" s="1282"/>
      <c r="C74" s="1283"/>
      <c r="D74" s="510" t="s">
        <v>99</v>
      </c>
      <c r="E74" s="511" t="s">
        <v>100</v>
      </c>
      <c r="F74" s="511" t="s">
        <v>101</v>
      </c>
      <c r="G74" s="511" t="s">
        <v>102</v>
      </c>
      <c r="H74" s="512" t="s">
        <v>64</v>
      </c>
      <c r="I74" s="513" t="s">
        <v>213</v>
      </c>
      <c r="J74" s="511" t="s">
        <v>214</v>
      </c>
      <c r="K74" s="511" t="s">
        <v>215</v>
      </c>
      <c r="L74" s="511" t="s">
        <v>216</v>
      </c>
      <c r="M74" s="512" t="s">
        <v>217</v>
      </c>
      <c r="N74" s="471"/>
      <c r="O74" s="120" t="s">
        <v>218</v>
      </c>
      <c r="P74" s="121" t="s">
        <v>219</v>
      </c>
      <c r="Q74" s="122" t="s">
        <v>220</v>
      </c>
      <c r="R74" s="471"/>
      <c r="S74" s="120" t="s">
        <v>219</v>
      </c>
      <c r="T74" s="122" t="s">
        <v>221</v>
      </c>
    </row>
    <row r="75" spans="1:20" s="474" customFormat="1" ht="15">
      <c r="A75" s="472"/>
      <c r="B75" s="1284"/>
      <c r="C75" s="1285"/>
      <c r="D75" s="510" t="s">
        <v>223</v>
      </c>
      <c r="E75" s="511" t="s">
        <v>223</v>
      </c>
      <c r="F75" s="511" t="s">
        <v>223</v>
      </c>
      <c r="G75" s="511" t="s">
        <v>223</v>
      </c>
      <c r="H75" s="512" t="s">
        <v>223</v>
      </c>
      <c r="I75" s="513" t="s">
        <v>223</v>
      </c>
      <c r="J75" s="511" t="s">
        <v>223</v>
      </c>
      <c r="K75" s="511" t="s">
        <v>223</v>
      </c>
      <c r="L75" s="511" t="s">
        <v>223</v>
      </c>
      <c r="M75" s="512" t="s">
        <v>223</v>
      </c>
      <c r="N75" s="353"/>
      <c r="O75" s="482"/>
      <c r="P75" s="483"/>
      <c r="Q75" s="484"/>
      <c r="R75" s="471"/>
      <c r="S75" s="485"/>
      <c r="T75" s="486"/>
    </row>
    <row r="76" spans="1:20" s="474" customFormat="1" ht="14.25" customHeight="1">
      <c r="A76" s="472"/>
      <c r="B76" s="1286" t="s">
        <v>447</v>
      </c>
      <c r="C76" s="487" t="s">
        <v>448</v>
      </c>
      <c r="D76" s="514">
        <v>0</v>
      </c>
      <c r="E76" s="514">
        <v>0</v>
      </c>
      <c r="F76" s="514">
        <v>0</v>
      </c>
      <c r="G76" s="514">
        <v>0</v>
      </c>
      <c r="H76" s="515">
        <v>0</v>
      </c>
      <c r="I76" s="516">
        <v>0</v>
      </c>
      <c r="J76" s="517">
        <v>0</v>
      </c>
      <c r="K76" s="517">
        <v>0</v>
      </c>
      <c r="L76" s="517">
        <v>0</v>
      </c>
      <c r="M76" s="518">
        <v>0</v>
      </c>
      <c r="N76" s="353"/>
      <c r="O76" s="457">
        <f t="shared" ref="O76:O101" si="10">SUM(D76:G76)</f>
        <v>0</v>
      </c>
      <c r="P76" s="458">
        <f t="shared" ref="P76:P101" si="11">H76</f>
        <v>0</v>
      </c>
      <c r="Q76" s="459">
        <f t="shared" ref="Q76:Q101" si="12">SUM(D76:H76)</f>
        <v>0</v>
      </c>
      <c r="R76" s="471"/>
      <c r="S76" s="457">
        <f t="shared" ref="S76:S101" si="13">SUM(I76:M76)</f>
        <v>0</v>
      </c>
      <c r="T76" s="132" t="str">
        <f>IF(Q76&lt;&gt;0,(S76-Q76)/Q76,"0")</f>
        <v>0</v>
      </c>
    </row>
    <row r="77" spans="1:20" s="474" customFormat="1" ht="15" customHeight="1">
      <c r="A77" s="472"/>
      <c r="B77" s="1287"/>
      <c r="C77" s="491" t="s">
        <v>449</v>
      </c>
      <c r="D77" s="519">
        <v>0</v>
      </c>
      <c r="E77" s="519">
        <v>0</v>
      </c>
      <c r="F77" s="519">
        <v>0</v>
      </c>
      <c r="G77" s="519">
        <v>0</v>
      </c>
      <c r="H77" s="520">
        <v>0</v>
      </c>
      <c r="I77" s="521">
        <v>0</v>
      </c>
      <c r="J77" s="522">
        <v>0</v>
      </c>
      <c r="K77" s="522">
        <v>0</v>
      </c>
      <c r="L77" s="522">
        <v>0</v>
      </c>
      <c r="M77" s="523">
        <v>0</v>
      </c>
      <c r="N77" s="353"/>
      <c r="O77" s="457">
        <f t="shared" si="10"/>
        <v>0</v>
      </c>
      <c r="P77" s="458">
        <f t="shared" si="11"/>
        <v>0</v>
      </c>
      <c r="Q77" s="459">
        <f t="shared" si="12"/>
        <v>0</v>
      </c>
      <c r="R77" s="471"/>
      <c r="S77" s="457">
        <f t="shared" si="13"/>
        <v>0</v>
      </c>
      <c r="T77" s="132" t="str">
        <f t="shared" ref="T77:T101" si="14">IF(Q77&lt;&gt;0,(S77-Q77)/Q77,"0")</f>
        <v>0</v>
      </c>
    </row>
    <row r="78" spans="1:20" s="474" customFormat="1" ht="14.25" customHeight="1">
      <c r="A78" s="472"/>
      <c r="B78" s="1286" t="s">
        <v>450</v>
      </c>
      <c r="C78" s="491" t="s">
        <v>448</v>
      </c>
      <c r="D78" s="519">
        <v>0</v>
      </c>
      <c r="E78" s="519">
        <v>0</v>
      </c>
      <c r="F78" s="519">
        <v>0</v>
      </c>
      <c r="G78" s="519">
        <v>0</v>
      </c>
      <c r="H78" s="520">
        <v>0</v>
      </c>
      <c r="I78" s="521">
        <v>0</v>
      </c>
      <c r="J78" s="522">
        <v>0</v>
      </c>
      <c r="K78" s="522">
        <v>0</v>
      </c>
      <c r="L78" s="522">
        <v>0</v>
      </c>
      <c r="M78" s="523">
        <v>0</v>
      </c>
      <c r="N78" s="353"/>
      <c r="O78" s="457">
        <f t="shared" si="10"/>
        <v>0</v>
      </c>
      <c r="P78" s="458">
        <f t="shared" si="11"/>
        <v>0</v>
      </c>
      <c r="Q78" s="459">
        <f t="shared" si="12"/>
        <v>0</v>
      </c>
      <c r="R78" s="471"/>
      <c r="S78" s="457">
        <f t="shared" si="13"/>
        <v>0</v>
      </c>
      <c r="T78" s="132" t="str">
        <f t="shared" si="14"/>
        <v>0</v>
      </c>
    </row>
    <row r="79" spans="1:20" s="474" customFormat="1" ht="15" customHeight="1">
      <c r="A79" s="472"/>
      <c r="B79" s="1287"/>
      <c r="C79" s="491" t="s">
        <v>449</v>
      </c>
      <c r="D79" s="519">
        <v>0</v>
      </c>
      <c r="E79" s="519">
        <v>0</v>
      </c>
      <c r="F79" s="519">
        <v>0</v>
      </c>
      <c r="G79" s="519">
        <v>0</v>
      </c>
      <c r="H79" s="520">
        <v>0</v>
      </c>
      <c r="I79" s="521">
        <v>0</v>
      </c>
      <c r="J79" s="522">
        <v>0</v>
      </c>
      <c r="K79" s="522">
        <v>0</v>
      </c>
      <c r="L79" s="522">
        <v>0</v>
      </c>
      <c r="M79" s="523">
        <v>0</v>
      </c>
      <c r="N79" s="353"/>
      <c r="O79" s="457">
        <f t="shared" si="10"/>
        <v>0</v>
      </c>
      <c r="P79" s="458">
        <f t="shared" si="11"/>
        <v>0</v>
      </c>
      <c r="Q79" s="459">
        <f t="shared" si="12"/>
        <v>0</v>
      </c>
      <c r="R79" s="471"/>
      <c r="S79" s="457">
        <f t="shared" si="13"/>
        <v>0</v>
      </c>
      <c r="T79" s="132" t="str">
        <f t="shared" si="14"/>
        <v>0</v>
      </c>
    </row>
    <row r="80" spans="1:20" s="474" customFormat="1" ht="14.25" customHeight="1">
      <c r="A80" s="472"/>
      <c r="B80" s="1277" t="s">
        <v>368</v>
      </c>
      <c r="C80" s="491" t="s">
        <v>451</v>
      </c>
      <c r="D80" s="519">
        <v>0</v>
      </c>
      <c r="E80" s="519">
        <v>0</v>
      </c>
      <c r="F80" s="519">
        <v>0</v>
      </c>
      <c r="G80" s="519">
        <v>0</v>
      </c>
      <c r="H80" s="520">
        <v>0</v>
      </c>
      <c r="I80" s="521">
        <v>0</v>
      </c>
      <c r="J80" s="522">
        <v>0</v>
      </c>
      <c r="K80" s="522">
        <v>0</v>
      </c>
      <c r="L80" s="522">
        <v>0</v>
      </c>
      <c r="M80" s="523">
        <v>0</v>
      </c>
      <c r="N80" s="353"/>
      <c r="O80" s="457">
        <f t="shared" si="10"/>
        <v>0</v>
      </c>
      <c r="P80" s="458">
        <f t="shared" si="11"/>
        <v>0</v>
      </c>
      <c r="Q80" s="459">
        <f t="shared" si="12"/>
        <v>0</v>
      </c>
      <c r="R80" s="471"/>
      <c r="S80" s="457">
        <f t="shared" si="13"/>
        <v>0</v>
      </c>
      <c r="T80" s="132" t="str">
        <f t="shared" si="14"/>
        <v>0</v>
      </c>
    </row>
    <row r="81" spans="1:20" s="474" customFormat="1" ht="14.25" customHeight="1">
      <c r="A81" s="472"/>
      <c r="B81" s="1278"/>
      <c r="C81" s="491" t="s">
        <v>452</v>
      </c>
      <c r="D81" s="519">
        <v>0</v>
      </c>
      <c r="E81" s="519">
        <v>0</v>
      </c>
      <c r="F81" s="519">
        <v>0.1</v>
      </c>
      <c r="G81" s="519">
        <v>0.1</v>
      </c>
      <c r="H81" s="520">
        <v>0.1</v>
      </c>
      <c r="I81" s="521">
        <v>0.1</v>
      </c>
      <c r="J81" s="522">
        <v>0.1</v>
      </c>
      <c r="K81" s="522">
        <v>0.1</v>
      </c>
      <c r="L81" s="522">
        <v>0.1</v>
      </c>
      <c r="M81" s="523">
        <v>0.1</v>
      </c>
      <c r="N81" s="353"/>
      <c r="O81" s="457">
        <f t="shared" si="10"/>
        <v>0.2</v>
      </c>
      <c r="P81" s="458">
        <f t="shared" si="11"/>
        <v>0.1</v>
      </c>
      <c r="Q81" s="459">
        <f t="shared" si="12"/>
        <v>0.30000000000000004</v>
      </c>
      <c r="R81" s="471"/>
      <c r="S81" s="457">
        <f t="shared" si="13"/>
        <v>0.5</v>
      </c>
      <c r="T81" s="132">
        <f t="shared" si="14"/>
        <v>0.66666666666666641</v>
      </c>
    </row>
    <row r="82" spans="1:20" s="474" customFormat="1" ht="15" customHeight="1">
      <c r="A82" s="472"/>
      <c r="B82" s="1279"/>
      <c r="C82" s="495" t="s">
        <v>453</v>
      </c>
      <c r="D82" s="519">
        <v>0</v>
      </c>
      <c r="E82" s="519">
        <v>0</v>
      </c>
      <c r="F82" s="519">
        <v>0</v>
      </c>
      <c r="G82" s="519">
        <v>0</v>
      </c>
      <c r="H82" s="520">
        <v>0</v>
      </c>
      <c r="I82" s="521">
        <v>0</v>
      </c>
      <c r="J82" s="522">
        <v>0</v>
      </c>
      <c r="K82" s="522">
        <v>0</v>
      </c>
      <c r="L82" s="522">
        <v>0</v>
      </c>
      <c r="M82" s="523">
        <v>0</v>
      </c>
      <c r="N82" s="353"/>
      <c r="O82" s="457">
        <f t="shared" si="10"/>
        <v>0</v>
      </c>
      <c r="P82" s="458">
        <f t="shared" si="11"/>
        <v>0</v>
      </c>
      <c r="Q82" s="459">
        <f t="shared" si="12"/>
        <v>0</v>
      </c>
      <c r="R82" s="471"/>
      <c r="S82" s="457">
        <f t="shared" si="13"/>
        <v>0</v>
      </c>
      <c r="T82" s="132" t="str">
        <f t="shared" si="14"/>
        <v>0</v>
      </c>
    </row>
    <row r="83" spans="1:20" s="474" customFormat="1" ht="14.25" customHeight="1">
      <c r="A83" s="472"/>
      <c r="B83" s="1277" t="s">
        <v>245</v>
      </c>
      <c r="C83" s="491" t="s">
        <v>454</v>
      </c>
      <c r="D83" s="519">
        <v>0</v>
      </c>
      <c r="E83" s="519">
        <v>0</v>
      </c>
      <c r="F83" s="519">
        <v>0</v>
      </c>
      <c r="G83" s="519">
        <v>0</v>
      </c>
      <c r="H83" s="520">
        <v>0</v>
      </c>
      <c r="I83" s="521">
        <v>0</v>
      </c>
      <c r="J83" s="522">
        <v>0</v>
      </c>
      <c r="K83" s="522">
        <v>0</v>
      </c>
      <c r="L83" s="522">
        <v>0</v>
      </c>
      <c r="M83" s="523">
        <v>0</v>
      </c>
      <c r="N83" s="353"/>
      <c r="O83" s="457">
        <f t="shared" si="10"/>
        <v>0</v>
      </c>
      <c r="P83" s="458">
        <f t="shared" si="11"/>
        <v>0</v>
      </c>
      <c r="Q83" s="459">
        <f t="shared" si="12"/>
        <v>0</v>
      </c>
      <c r="R83" s="471"/>
      <c r="S83" s="457">
        <f t="shared" si="13"/>
        <v>0</v>
      </c>
      <c r="T83" s="132" t="str">
        <f t="shared" si="14"/>
        <v>0</v>
      </c>
    </row>
    <row r="84" spans="1:20" s="474" customFormat="1" ht="14.25" customHeight="1">
      <c r="A84" s="472"/>
      <c r="B84" s="1278"/>
      <c r="C84" s="491" t="s">
        <v>115</v>
      </c>
      <c r="D84" s="519">
        <v>0</v>
      </c>
      <c r="E84" s="519">
        <v>0</v>
      </c>
      <c r="F84" s="519">
        <v>0</v>
      </c>
      <c r="G84" s="519">
        <v>0</v>
      </c>
      <c r="H84" s="520">
        <v>0</v>
      </c>
      <c r="I84" s="521">
        <v>0</v>
      </c>
      <c r="J84" s="522">
        <v>0</v>
      </c>
      <c r="K84" s="522">
        <v>0</v>
      </c>
      <c r="L84" s="522">
        <v>0</v>
      </c>
      <c r="M84" s="523">
        <v>0</v>
      </c>
      <c r="N84" s="353"/>
      <c r="O84" s="457">
        <f t="shared" si="10"/>
        <v>0</v>
      </c>
      <c r="P84" s="458">
        <f t="shared" si="11"/>
        <v>0</v>
      </c>
      <c r="Q84" s="459">
        <f t="shared" si="12"/>
        <v>0</v>
      </c>
      <c r="R84" s="471"/>
      <c r="S84" s="457">
        <f t="shared" si="13"/>
        <v>0</v>
      </c>
      <c r="T84" s="132" t="str">
        <f t="shared" si="14"/>
        <v>0</v>
      </c>
    </row>
    <row r="85" spans="1:20" s="474" customFormat="1" ht="14.25" customHeight="1">
      <c r="A85" s="472"/>
      <c r="B85" s="1278"/>
      <c r="C85" s="495" t="s">
        <v>455</v>
      </c>
      <c r="D85" s="519">
        <v>0</v>
      </c>
      <c r="E85" s="519">
        <v>0</v>
      </c>
      <c r="F85" s="519">
        <v>0</v>
      </c>
      <c r="G85" s="519">
        <v>0</v>
      </c>
      <c r="H85" s="520">
        <v>0</v>
      </c>
      <c r="I85" s="521">
        <v>0.05</v>
      </c>
      <c r="J85" s="522">
        <v>0.05</v>
      </c>
      <c r="K85" s="522">
        <v>0.05</v>
      </c>
      <c r="L85" s="522">
        <v>0.05</v>
      </c>
      <c r="M85" s="523">
        <v>0.05</v>
      </c>
      <c r="N85" s="353"/>
      <c r="O85" s="457">
        <f t="shared" si="10"/>
        <v>0</v>
      </c>
      <c r="P85" s="458">
        <f t="shared" si="11"/>
        <v>0</v>
      </c>
      <c r="Q85" s="459">
        <f t="shared" si="12"/>
        <v>0</v>
      </c>
      <c r="R85" s="471"/>
      <c r="S85" s="457">
        <f t="shared" si="13"/>
        <v>0.25</v>
      </c>
      <c r="T85" s="132" t="str">
        <f t="shared" si="14"/>
        <v>0</v>
      </c>
    </row>
    <row r="86" spans="1:20" s="474" customFormat="1" ht="14.25" customHeight="1">
      <c r="A86" s="472"/>
      <c r="B86" s="1278"/>
      <c r="C86" s="495" t="s">
        <v>453</v>
      </c>
      <c r="D86" s="519">
        <v>0</v>
      </c>
      <c r="E86" s="519">
        <v>0</v>
      </c>
      <c r="F86" s="519">
        <v>0.1</v>
      </c>
      <c r="G86" s="519">
        <v>0.1</v>
      </c>
      <c r="H86" s="520">
        <v>0.1</v>
      </c>
      <c r="I86" s="521">
        <v>0.1</v>
      </c>
      <c r="J86" s="522">
        <v>0.1</v>
      </c>
      <c r="K86" s="522">
        <v>0.1</v>
      </c>
      <c r="L86" s="522">
        <v>0.1</v>
      </c>
      <c r="M86" s="523">
        <v>0.1</v>
      </c>
      <c r="N86" s="353"/>
      <c r="O86" s="457">
        <f t="shared" si="10"/>
        <v>0.2</v>
      </c>
      <c r="P86" s="458">
        <f t="shared" si="11"/>
        <v>0.1</v>
      </c>
      <c r="Q86" s="459">
        <f t="shared" si="12"/>
        <v>0.30000000000000004</v>
      </c>
      <c r="R86" s="471"/>
      <c r="S86" s="457">
        <f t="shared" si="13"/>
        <v>0.5</v>
      </c>
      <c r="T86" s="132">
        <f t="shared" si="14"/>
        <v>0.66666666666666641</v>
      </c>
    </row>
    <row r="87" spans="1:20" s="474" customFormat="1" ht="14.25" customHeight="1">
      <c r="A87" s="472"/>
      <c r="B87" s="1278"/>
      <c r="C87" s="491" t="s">
        <v>456</v>
      </c>
      <c r="D87" s="519">
        <v>0</v>
      </c>
      <c r="E87" s="519">
        <v>0</v>
      </c>
      <c r="F87" s="519">
        <v>0.1</v>
      </c>
      <c r="G87" s="519">
        <v>0.1</v>
      </c>
      <c r="H87" s="520">
        <v>0.1</v>
      </c>
      <c r="I87" s="521">
        <v>0.1</v>
      </c>
      <c r="J87" s="522">
        <v>0.1</v>
      </c>
      <c r="K87" s="522">
        <v>0.1</v>
      </c>
      <c r="L87" s="522">
        <v>0.1</v>
      </c>
      <c r="M87" s="523">
        <v>0.1</v>
      </c>
      <c r="N87" s="353"/>
      <c r="O87" s="457">
        <f t="shared" si="10"/>
        <v>0.2</v>
      </c>
      <c r="P87" s="458">
        <f t="shared" si="11"/>
        <v>0.1</v>
      </c>
      <c r="Q87" s="459">
        <f t="shared" si="12"/>
        <v>0.30000000000000004</v>
      </c>
      <c r="R87" s="471"/>
      <c r="S87" s="457">
        <f t="shared" si="13"/>
        <v>0.5</v>
      </c>
      <c r="T87" s="132">
        <f t="shared" si="14"/>
        <v>0.66666666666666641</v>
      </c>
    </row>
    <row r="88" spans="1:20" s="474" customFormat="1" ht="15" customHeight="1">
      <c r="A88" s="472"/>
      <c r="B88" s="1279"/>
      <c r="C88" s="491" t="s">
        <v>457</v>
      </c>
      <c r="D88" s="519">
        <v>0</v>
      </c>
      <c r="E88" s="519">
        <v>0</v>
      </c>
      <c r="F88" s="519">
        <v>0</v>
      </c>
      <c r="G88" s="519">
        <v>0</v>
      </c>
      <c r="H88" s="520">
        <v>0</v>
      </c>
      <c r="I88" s="521">
        <v>0</v>
      </c>
      <c r="J88" s="522">
        <v>0</v>
      </c>
      <c r="K88" s="522">
        <v>0</v>
      </c>
      <c r="L88" s="522">
        <v>0</v>
      </c>
      <c r="M88" s="523">
        <v>0</v>
      </c>
      <c r="N88" s="353"/>
      <c r="O88" s="457">
        <f t="shared" si="10"/>
        <v>0</v>
      </c>
      <c r="P88" s="458">
        <f t="shared" si="11"/>
        <v>0</v>
      </c>
      <c r="Q88" s="459">
        <f t="shared" si="12"/>
        <v>0</v>
      </c>
      <c r="R88" s="471"/>
      <c r="S88" s="457">
        <f t="shared" si="13"/>
        <v>0</v>
      </c>
      <c r="T88" s="132" t="str">
        <f t="shared" si="14"/>
        <v>0</v>
      </c>
    </row>
    <row r="89" spans="1:20" s="474" customFormat="1" ht="14.25" customHeight="1">
      <c r="A89" s="472"/>
      <c r="B89" s="1277" t="s">
        <v>427</v>
      </c>
      <c r="C89" s="491" t="s">
        <v>454</v>
      </c>
      <c r="D89" s="519">
        <v>0</v>
      </c>
      <c r="E89" s="519">
        <v>0</v>
      </c>
      <c r="F89" s="519">
        <v>0</v>
      </c>
      <c r="G89" s="519">
        <v>0</v>
      </c>
      <c r="H89" s="520">
        <v>0</v>
      </c>
      <c r="I89" s="521">
        <v>0</v>
      </c>
      <c r="J89" s="522">
        <v>0</v>
      </c>
      <c r="K89" s="522">
        <v>0</v>
      </c>
      <c r="L89" s="522">
        <v>0</v>
      </c>
      <c r="M89" s="523">
        <v>0</v>
      </c>
      <c r="N89" s="353"/>
      <c r="O89" s="457">
        <f t="shared" si="10"/>
        <v>0</v>
      </c>
      <c r="P89" s="458">
        <f t="shared" si="11"/>
        <v>0</v>
      </c>
      <c r="Q89" s="459">
        <f t="shared" si="12"/>
        <v>0</v>
      </c>
      <c r="R89" s="471"/>
      <c r="S89" s="457">
        <f t="shared" si="13"/>
        <v>0</v>
      </c>
      <c r="T89" s="132" t="str">
        <f t="shared" si="14"/>
        <v>0</v>
      </c>
    </row>
    <row r="90" spans="1:20" s="474" customFormat="1" ht="14.25" customHeight="1">
      <c r="A90" s="472"/>
      <c r="B90" s="1278"/>
      <c r="C90" s="491" t="s">
        <v>115</v>
      </c>
      <c r="D90" s="519">
        <v>0</v>
      </c>
      <c r="E90" s="519">
        <v>0</v>
      </c>
      <c r="F90" s="519">
        <v>0</v>
      </c>
      <c r="G90" s="519">
        <v>0</v>
      </c>
      <c r="H90" s="520">
        <v>0</v>
      </c>
      <c r="I90" s="521">
        <v>0</v>
      </c>
      <c r="J90" s="522">
        <v>0</v>
      </c>
      <c r="K90" s="522">
        <v>0</v>
      </c>
      <c r="L90" s="522">
        <v>0</v>
      </c>
      <c r="M90" s="523">
        <v>0</v>
      </c>
      <c r="N90" s="353"/>
      <c r="O90" s="457">
        <f t="shared" si="10"/>
        <v>0</v>
      </c>
      <c r="P90" s="458">
        <f t="shared" si="11"/>
        <v>0</v>
      </c>
      <c r="Q90" s="459">
        <f t="shared" si="12"/>
        <v>0</v>
      </c>
      <c r="R90" s="471"/>
      <c r="S90" s="457">
        <f t="shared" si="13"/>
        <v>0</v>
      </c>
      <c r="T90" s="132" t="str">
        <f t="shared" si="14"/>
        <v>0</v>
      </c>
    </row>
    <row r="91" spans="1:20" s="474" customFormat="1" ht="14.25" customHeight="1">
      <c r="A91" s="472"/>
      <c r="B91" s="1278"/>
      <c r="C91" s="491" t="s">
        <v>455</v>
      </c>
      <c r="D91" s="519">
        <v>0</v>
      </c>
      <c r="E91" s="519">
        <v>0</v>
      </c>
      <c r="F91" s="519">
        <v>0</v>
      </c>
      <c r="G91" s="519">
        <v>0</v>
      </c>
      <c r="H91" s="520">
        <v>0</v>
      </c>
      <c r="I91" s="521">
        <v>0.1</v>
      </c>
      <c r="J91" s="522">
        <v>0.1</v>
      </c>
      <c r="K91" s="522">
        <v>0.1</v>
      </c>
      <c r="L91" s="522">
        <v>0.1</v>
      </c>
      <c r="M91" s="523">
        <v>0.1</v>
      </c>
      <c r="N91" s="353"/>
      <c r="O91" s="457">
        <f t="shared" si="10"/>
        <v>0</v>
      </c>
      <c r="P91" s="458">
        <f t="shared" si="11"/>
        <v>0</v>
      </c>
      <c r="Q91" s="459">
        <f t="shared" si="12"/>
        <v>0</v>
      </c>
      <c r="R91" s="471"/>
      <c r="S91" s="457">
        <f t="shared" si="13"/>
        <v>0.5</v>
      </c>
      <c r="T91" s="132" t="str">
        <f t="shared" si="14"/>
        <v>0</v>
      </c>
    </row>
    <row r="92" spans="1:20" s="474" customFormat="1" ht="14.25" customHeight="1">
      <c r="A92" s="472"/>
      <c r="B92" s="1278"/>
      <c r="C92" s="491" t="s">
        <v>453</v>
      </c>
      <c r="D92" s="519">
        <v>0</v>
      </c>
      <c r="E92" s="519">
        <v>0</v>
      </c>
      <c r="F92" s="519">
        <v>0</v>
      </c>
      <c r="G92" s="519">
        <v>0</v>
      </c>
      <c r="H92" s="520">
        <v>0</v>
      </c>
      <c r="I92" s="521">
        <v>0</v>
      </c>
      <c r="J92" s="522">
        <v>0</v>
      </c>
      <c r="K92" s="522">
        <v>0</v>
      </c>
      <c r="L92" s="522">
        <v>0</v>
      </c>
      <c r="M92" s="523">
        <v>0</v>
      </c>
      <c r="N92" s="353"/>
      <c r="O92" s="457">
        <f t="shared" si="10"/>
        <v>0</v>
      </c>
      <c r="P92" s="458">
        <f t="shared" si="11"/>
        <v>0</v>
      </c>
      <c r="Q92" s="459">
        <f t="shared" si="12"/>
        <v>0</v>
      </c>
      <c r="R92" s="471"/>
      <c r="S92" s="457">
        <f t="shared" si="13"/>
        <v>0</v>
      </c>
      <c r="T92" s="132" t="str">
        <f t="shared" si="14"/>
        <v>0</v>
      </c>
    </row>
    <row r="93" spans="1:20" s="474" customFormat="1" ht="14.25" customHeight="1">
      <c r="A93" s="472"/>
      <c r="B93" s="1278"/>
      <c r="C93" s="491" t="s">
        <v>456</v>
      </c>
      <c r="D93" s="519">
        <v>0</v>
      </c>
      <c r="E93" s="519">
        <v>0</v>
      </c>
      <c r="F93" s="519">
        <v>0.2</v>
      </c>
      <c r="G93" s="519">
        <v>0.2</v>
      </c>
      <c r="H93" s="520">
        <v>0.2</v>
      </c>
      <c r="I93" s="521">
        <v>0.2</v>
      </c>
      <c r="J93" s="522">
        <v>0.2</v>
      </c>
      <c r="K93" s="522">
        <v>0.2</v>
      </c>
      <c r="L93" s="522">
        <v>0.2</v>
      </c>
      <c r="M93" s="523">
        <v>0.2</v>
      </c>
      <c r="N93" s="353"/>
      <c r="O93" s="457">
        <f t="shared" si="10"/>
        <v>0.4</v>
      </c>
      <c r="P93" s="458">
        <f t="shared" si="11"/>
        <v>0.2</v>
      </c>
      <c r="Q93" s="459">
        <f t="shared" si="12"/>
        <v>0.60000000000000009</v>
      </c>
      <c r="R93" s="471"/>
      <c r="S93" s="457">
        <f t="shared" si="13"/>
        <v>1</v>
      </c>
      <c r="T93" s="132">
        <f t="shared" si="14"/>
        <v>0.66666666666666641</v>
      </c>
    </row>
    <row r="94" spans="1:20" s="474" customFormat="1" ht="15" customHeight="1">
      <c r="A94" s="472"/>
      <c r="B94" s="1279"/>
      <c r="C94" s="495" t="s">
        <v>457</v>
      </c>
      <c r="D94" s="519">
        <v>0</v>
      </c>
      <c r="E94" s="519">
        <v>0</v>
      </c>
      <c r="F94" s="519">
        <v>0</v>
      </c>
      <c r="G94" s="519">
        <v>0</v>
      </c>
      <c r="H94" s="520">
        <v>0</v>
      </c>
      <c r="I94" s="521">
        <v>0</v>
      </c>
      <c r="J94" s="522">
        <v>0</v>
      </c>
      <c r="K94" s="522">
        <v>0</v>
      </c>
      <c r="L94" s="522">
        <v>0</v>
      </c>
      <c r="M94" s="523">
        <v>0</v>
      </c>
      <c r="N94" s="353"/>
      <c r="O94" s="457">
        <f t="shared" si="10"/>
        <v>0</v>
      </c>
      <c r="P94" s="458">
        <f t="shared" si="11"/>
        <v>0</v>
      </c>
      <c r="Q94" s="459">
        <f t="shared" si="12"/>
        <v>0</v>
      </c>
      <c r="R94" s="471"/>
      <c r="S94" s="457">
        <f t="shared" si="13"/>
        <v>0</v>
      </c>
      <c r="T94" s="132" t="str">
        <f t="shared" si="14"/>
        <v>0</v>
      </c>
    </row>
    <row r="95" spans="1:20" s="474" customFormat="1" ht="14.25" customHeight="1">
      <c r="A95" s="472"/>
      <c r="B95" s="1277" t="s">
        <v>426</v>
      </c>
      <c r="C95" s="491" t="s">
        <v>454</v>
      </c>
      <c r="D95" s="519">
        <v>0</v>
      </c>
      <c r="E95" s="519">
        <v>0</v>
      </c>
      <c r="F95" s="519">
        <v>0</v>
      </c>
      <c r="G95" s="519">
        <v>0</v>
      </c>
      <c r="H95" s="520">
        <v>0</v>
      </c>
      <c r="I95" s="521">
        <v>0</v>
      </c>
      <c r="J95" s="522">
        <v>0</v>
      </c>
      <c r="K95" s="522">
        <v>0</v>
      </c>
      <c r="L95" s="522">
        <v>0</v>
      </c>
      <c r="M95" s="523">
        <v>0</v>
      </c>
      <c r="N95" s="353"/>
      <c r="O95" s="457">
        <f t="shared" si="10"/>
        <v>0</v>
      </c>
      <c r="P95" s="458">
        <f t="shared" si="11"/>
        <v>0</v>
      </c>
      <c r="Q95" s="459">
        <f t="shared" si="12"/>
        <v>0</v>
      </c>
      <c r="R95" s="471"/>
      <c r="S95" s="457">
        <f t="shared" si="13"/>
        <v>0</v>
      </c>
      <c r="T95" s="132" t="str">
        <f t="shared" si="14"/>
        <v>0</v>
      </c>
    </row>
    <row r="96" spans="1:20" s="474" customFormat="1" ht="14.25" customHeight="1">
      <c r="A96" s="472"/>
      <c r="B96" s="1278"/>
      <c r="C96" s="491" t="s">
        <v>115</v>
      </c>
      <c r="D96" s="519">
        <v>0</v>
      </c>
      <c r="E96" s="519">
        <v>0</v>
      </c>
      <c r="F96" s="519">
        <v>0</v>
      </c>
      <c r="G96" s="519">
        <v>0</v>
      </c>
      <c r="H96" s="520">
        <v>0</v>
      </c>
      <c r="I96" s="521">
        <v>0</v>
      </c>
      <c r="J96" s="522">
        <v>0</v>
      </c>
      <c r="K96" s="522">
        <v>0</v>
      </c>
      <c r="L96" s="522">
        <v>0</v>
      </c>
      <c r="M96" s="523">
        <v>0</v>
      </c>
      <c r="N96" s="353"/>
      <c r="O96" s="457">
        <f t="shared" si="10"/>
        <v>0</v>
      </c>
      <c r="P96" s="458">
        <f t="shared" si="11"/>
        <v>0</v>
      </c>
      <c r="Q96" s="459">
        <f t="shared" si="12"/>
        <v>0</v>
      </c>
      <c r="R96" s="471"/>
      <c r="S96" s="457">
        <f t="shared" si="13"/>
        <v>0</v>
      </c>
      <c r="T96" s="132" t="str">
        <f t="shared" si="14"/>
        <v>0</v>
      </c>
    </row>
    <row r="97" spans="1:20" s="474" customFormat="1" ht="14.25" customHeight="1">
      <c r="A97" s="472"/>
      <c r="B97" s="1278"/>
      <c r="C97" s="495" t="s">
        <v>458</v>
      </c>
      <c r="D97" s="519">
        <v>0</v>
      </c>
      <c r="E97" s="519">
        <v>0</v>
      </c>
      <c r="F97" s="519">
        <v>0</v>
      </c>
      <c r="G97" s="519">
        <v>0</v>
      </c>
      <c r="H97" s="520">
        <v>0</v>
      </c>
      <c r="I97" s="521">
        <v>0</v>
      </c>
      <c r="J97" s="522">
        <v>0</v>
      </c>
      <c r="K97" s="522">
        <v>0</v>
      </c>
      <c r="L97" s="522">
        <v>0</v>
      </c>
      <c r="M97" s="523">
        <v>0</v>
      </c>
      <c r="N97" s="353"/>
      <c r="O97" s="457">
        <f t="shared" si="10"/>
        <v>0</v>
      </c>
      <c r="P97" s="458">
        <f t="shared" si="11"/>
        <v>0</v>
      </c>
      <c r="Q97" s="459">
        <f t="shared" si="12"/>
        <v>0</v>
      </c>
      <c r="R97" s="471"/>
      <c r="S97" s="457">
        <f t="shared" si="13"/>
        <v>0</v>
      </c>
      <c r="T97" s="132" t="str">
        <f t="shared" si="14"/>
        <v>0</v>
      </c>
    </row>
    <row r="98" spans="1:20" s="474" customFormat="1" ht="14.25" customHeight="1">
      <c r="A98" s="472"/>
      <c r="B98" s="1278"/>
      <c r="C98" s="495" t="s">
        <v>453</v>
      </c>
      <c r="D98" s="519">
        <v>0</v>
      </c>
      <c r="E98" s="519">
        <v>0</v>
      </c>
      <c r="F98" s="519">
        <v>0</v>
      </c>
      <c r="G98" s="519">
        <v>0</v>
      </c>
      <c r="H98" s="520">
        <v>0</v>
      </c>
      <c r="I98" s="521">
        <v>0</v>
      </c>
      <c r="J98" s="522">
        <v>0</v>
      </c>
      <c r="K98" s="522">
        <v>0</v>
      </c>
      <c r="L98" s="522">
        <v>0</v>
      </c>
      <c r="M98" s="523">
        <v>0</v>
      </c>
      <c r="N98" s="353"/>
      <c r="O98" s="457">
        <f t="shared" si="10"/>
        <v>0</v>
      </c>
      <c r="P98" s="458">
        <f t="shared" si="11"/>
        <v>0</v>
      </c>
      <c r="Q98" s="459">
        <f t="shared" si="12"/>
        <v>0</v>
      </c>
      <c r="R98" s="471"/>
      <c r="S98" s="457">
        <f t="shared" si="13"/>
        <v>0</v>
      </c>
      <c r="T98" s="132" t="str">
        <f t="shared" si="14"/>
        <v>0</v>
      </c>
    </row>
    <row r="99" spans="1:20" s="474" customFormat="1" ht="14.25" customHeight="1">
      <c r="A99" s="472"/>
      <c r="B99" s="1278"/>
      <c r="C99" s="495" t="s">
        <v>456</v>
      </c>
      <c r="D99" s="519">
        <v>0</v>
      </c>
      <c r="E99" s="519">
        <v>0</v>
      </c>
      <c r="F99" s="519">
        <v>0</v>
      </c>
      <c r="G99" s="519">
        <v>0</v>
      </c>
      <c r="H99" s="520">
        <v>0</v>
      </c>
      <c r="I99" s="521">
        <v>0</v>
      </c>
      <c r="J99" s="522">
        <v>0</v>
      </c>
      <c r="K99" s="522">
        <v>0</v>
      </c>
      <c r="L99" s="522">
        <v>0</v>
      </c>
      <c r="M99" s="523">
        <v>0</v>
      </c>
      <c r="N99" s="353"/>
      <c r="O99" s="457">
        <f t="shared" si="10"/>
        <v>0</v>
      </c>
      <c r="P99" s="458">
        <f t="shared" si="11"/>
        <v>0</v>
      </c>
      <c r="Q99" s="459">
        <f t="shared" si="12"/>
        <v>0</v>
      </c>
      <c r="R99" s="471"/>
      <c r="S99" s="457">
        <f t="shared" si="13"/>
        <v>0</v>
      </c>
      <c r="T99" s="132" t="str">
        <f t="shared" si="14"/>
        <v>0</v>
      </c>
    </row>
    <row r="100" spans="1:20" s="474" customFormat="1" ht="15" customHeight="1">
      <c r="A100" s="472"/>
      <c r="B100" s="1279"/>
      <c r="C100" s="495" t="s">
        <v>457</v>
      </c>
      <c r="D100" s="519">
        <v>0</v>
      </c>
      <c r="E100" s="519">
        <v>0</v>
      </c>
      <c r="F100" s="519">
        <v>0</v>
      </c>
      <c r="G100" s="519">
        <v>0</v>
      </c>
      <c r="H100" s="520">
        <v>0</v>
      </c>
      <c r="I100" s="521">
        <v>0</v>
      </c>
      <c r="J100" s="522">
        <v>0</v>
      </c>
      <c r="K100" s="522">
        <v>0</v>
      </c>
      <c r="L100" s="522">
        <v>0</v>
      </c>
      <c r="M100" s="523">
        <v>0</v>
      </c>
      <c r="N100" s="353"/>
      <c r="O100" s="457">
        <f t="shared" si="10"/>
        <v>0</v>
      </c>
      <c r="P100" s="458">
        <f t="shared" si="11"/>
        <v>0</v>
      </c>
      <c r="Q100" s="459">
        <f t="shared" si="12"/>
        <v>0</v>
      </c>
      <c r="R100" s="471"/>
      <c r="S100" s="457">
        <f t="shared" si="13"/>
        <v>0</v>
      </c>
      <c r="T100" s="132" t="str">
        <f t="shared" si="14"/>
        <v>0</v>
      </c>
    </row>
    <row r="101" spans="1:20" s="474" customFormat="1" ht="15" customHeight="1" thickBot="1">
      <c r="A101" s="472"/>
      <c r="B101" s="496" t="s">
        <v>463</v>
      </c>
      <c r="C101" s="497"/>
      <c r="D101" s="540">
        <v>0</v>
      </c>
      <c r="E101" s="541">
        <v>0</v>
      </c>
      <c r="F101" s="541">
        <v>0.5</v>
      </c>
      <c r="G101" s="541">
        <v>0.5</v>
      </c>
      <c r="H101" s="542">
        <v>0.5</v>
      </c>
      <c r="I101" s="543">
        <v>0.65</v>
      </c>
      <c r="J101" s="541">
        <v>0.65</v>
      </c>
      <c r="K101" s="541">
        <v>0.65</v>
      </c>
      <c r="L101" s="541">
        <v>0.65</v>
      </c>
      <c r="M101" s="542">
        <v>0.65</v>
      </c>
      <c r="N101" s="353"/>
      <c r="O101" s="501">
        <f t="shared" si="10"/>
        <v>1</v>
      </c>
      <c r="P101" s="502">
        <f t="shared" si="11"/>
        <v>0.5</v>
      </c>
      <c r="Q101" s="503">
        <f t="shared" si="12"/>
        <v>1.5</v>
      </c>
      <c r="R101" s="471"/>
      <c r="S101" s="501">
        <f t="shared" si="13"/>
        <v>3.25</v>
      </c>
      <c r="T101" s="150">
        <f t="shared" si="14"/>
        <v>1.1666666666666667</v>
      </c>
    </row>
    <row r="102" spans="1:20" s="474" customFormat="1" ht="15" customHeight="1">
      <c r="A102" s="472"/>
      <c r="B102" s="353"/>
      <c r="C102" s="353"/>
      <c r="D102" s="506"/>
      <c r="E102" s="506"/>
      <c r="F102" s="506"/>
      <c r="G102" s="506"/>
      <c r="H102" s="506"/>
      <c r="I102" s="506"/>
      <c r="J102" s="506"/>
      <c r="K102" s="506"/>
      <c r="L102" s="506"/>
      <c r="M102" s="506"/>
      <c r="N102" s="353"/>
      <c r="O102" s="353"/>
      <c r="P102" s="353"/>
      <c r="Q102" s="353"/>
    </row>
    <row r="103" spans="1:20" s="474" customFormat="1" ht="15" customHeight="1">
      <c r="A103" s="472"/>
      <c r="B103" s="353"/>
      <c r="C103" s="353"/>
      <c r="D103" s="506"/>
      <c r="E103" s="506"/>
      <c r="F103" s="506"/>
      <c r="G103" s="506"/>
      <c r="H103" s="506"/>
      <c r="I103" s="506"/>
      <c r="J103" s="506"/>
      <c r="K103" s="506"/>
      <c r="L103" s="506"/>
      <c r="M103" s="506"/>
      <c r="N103" s="353"/>
      <c r="O103" s="353"/>
      <c r="P103" s="353"/>
      <c r="Q103" s="353"/>
    </row>
    <row r="104" spans="1:20" s="474" customFormat="1" ht="15" customHeight="1">
      <c r="A104" s="472"/>
      <c r="B104" s="469" t="s">
        <v>464</v>
      </c>
      <c r="C104" s="353"/>
      <c r="D104" s="506"/>
      <c r="E104" s="506"/>
      <c r="F104" s="506"/>
      <c r="G104" s="506"/>
      <c r="H104" s="506"/>
      <c r="I104" s="506"/>
      <c r="J104" s="506"/>
      <c r="K104" s="506"/>
      <c r="L104" s="506"/>
      <c r="M104" s="506"/>
      <c r="N104" s="353"/>
      <c r="O104" s="353"/>
      <c r="P104" s="353"/>
      <c r="Q104" s="353"/>
    </row>
    <row r="105" spans="1:20" s="474" customFormat="1" ht="15" customHeight="1" thickBot="1">
      <c r="A105" s="472"/>
      <c r="B105" s="353"/>
      <c r="C105" s="353"/>
      <c r="D105" s="506"/>
      <c r="E105" s="506"/>
      <c r="F105" s="506"/>
      <c r="G105" s="506"/>
      <c r="H105" s="506"/>
      <c r="I105" s="506"/>
      <c r="J105" s="506"/>
      <c r="K105" s="506"/>
      <c r="L105" s="506"/>
      <c r="M105" s="506"/>
      <c r="N105" s="353"/>
      <c r="O105" s="353"/>
      <c r="P105" s="353"/>
      <c r="Q105" s="353"/>
    </row>
    <row r="106" spans="1:20" s="474" customFormat="1" ht="15" customHeight="1">
      <c r="A106" s="472"/>
      <c r="B106" s="1280" t="s">
        <v>444</v>
      </c>
      <c r="C106" s="1281"/>
      <c r="D106" s="507" t="s">
        <v>445</v>
      </c>
      <c r="E106" s="507"/>
      <c r="F106" s="507"/>
      <c r="G106" s="507"/>
      <c r="H106" s="508"/>
      <c r="I106" s="509" t="s">
        <v>446</v>
      </c>
      <c r="J106" s="507"/>
      <c r="K106" s="507"/>
      <c r="L106" s="507"/>
      <c r="M106" s="508"/>
      <c r="N106" s="353"/>
      <c r="O106" s="113" t="s">
        <v>211</v>
      </c>
      <c r="P106" s="114"/>
      <c r="Q106" s="115"/>
      <c r="R106" s="471"/>
      <c r="S106" s="113" t="s">
        <v>212</v>
      </c>
      <c r="T106" s="115"/>
    </row>
    <row r="107" spans="1:20" s="474" customFormat="1" ht="15" customHeight="1">
      <c r="A107" s="472"/>
      <c r="B107" s="1282"/>
      <c r="C107" s="1283"/>
      <c r="D107" s="510" t="s">
        <v>99</v>
      </c>
      <c r="E107" s="511" t="s">
        <v>100</v>
      </c>
      <c r="F107" s="511" t="s">
        <v>101</v>
      </c>
      <c r="G107" s="511" t="s">
        <v>102</v>
      </c>
      <c r="H107" s="512" t="s">
        <v>64</v>
      </c>
      <c r="I107" s="513" t="s">
        <v>213</v>
      </c>
      <c r="J107" s="511" t="s">
        <v>214</v>
      </c>
      <c r="K107" s="511" t="s">
        <v>215</v>
      </c>
      <c r="L107" s="511" t="s">
        <v>216</v>
      </c>
      <c r="M107" s="512" t="s">
        <v>465</v>
      </c>
      <c r="N107" s="353"/>
      <c r="O107" s="120" t="s">
        <v>218</v>
      </c>
      <c r="P107" s="121" t="s">
        <v>219</v>
      </c>
      <c r="Q107" s="122" t="s">
        <v>220</v>
      </c>
      <c r="R107" s="471"/>
      <c r="S107" s="120" t="s">
        <v>219</v>
      </c>
      <c r="T107" s="122" t="s">
        <v>221</v>
      </c>
    </row>
    <row r="108" spans="1:20" s="474" customFormat="1" ht="15" customHeight="1">
      <c r="A108" s="472"/>
      <c r="B108" s="1284"/>
      <c r="C108" s="1285"/>
      <c r="D108" s="510" t="s">
        <v>223</v>
      </c>
      <c r="E108" s="511" t="s">
        <v>223</v>
      </c>
      <c r="F108" s="511" t="s">
        <v>223</v>
      </c>
      <c r="G108" s="511" t="s">
        <v>223</v>
      </c>
      <c r="H108" s="512" t="s">
        <v>223</v>
      </c>
      <c r="I108" s="513" t="s">
        <v>223</v>
      </c>
      <c r="J108" s="511" t="s">
        <v>223</v>
      </c>
      <c r="K108" s="511" t="s">
        <v>223</v>
      </c>
      <c r="L108" s="511" t="s">
        <v>223</v>
      </c>
      <c r="M108" s="512" t="s">
        <v>223</v>
      </c>
      <c r="N108" s="353"/>
      <c r="O108" s="482"/>
      <c r="P108" s="483"/>
      <c r="Q108" s="484"/>
      <c r="R108" s="471"/>
      <c r="S108" s="485"/>
      <c r="T108" s="486"/>
    </row>
    <row r="109" spans="1:20" s="474" customFormat="1" ht="15" customHeight="1">
      <c r="A109" s="472"/>
      <c r="B109" s="1288" t="s">
        <v>466</v>
      </c>
      <c r="C109" s="544" t="s">
        <v>467</v>
      </c>
      <c r="D109" s="514">
        <v>0.5</v>
      </c>
      <c r="E109" s="517">
        <v>0.6</v>
      </c>
      <c r="F109" s="517">
        <v>0.7</v>
      </c>
      <c r="G109" s="517">
        <v>0.63238066306024587</v>
      </c>
      <c r="H109" s="518">
        <v>0.580033988907392</v>
      </c>
      <c r="I109" s="516">
        <v>0.35</v>
      </c>
      <c r="J109" s="517">
        <v>0.43</v>
      </c>
      <c r="K109" s="517">
        <v>0.52</v>
      </c>
      <c r="L109" s="517">
        <v>0.52</v>
      </c>
      <c r="M109" s="518">
        <v>0.52</v>
      </c>
      <c r="N109" s="353"/>
      <c r="O109" s="457">
        <f t="shared" ref="O109:O138" si="15">SUM(D109:G109)</f>
        <v>2.432380663060246</v>
      </c>
      <c r="P109" s="458">
        <f t="shared" ref="P109:P138" si="16">H109</f>
        <v>0.580033988907392</v>
      </c>
      <c r="Q109" s="459">
        <f t="shared" ref="Q109:Q138" si="17">SUM(D109:H109)</f>
        <v>3.0124146519676378</v>
      </c>
      <c r="R109" s="471"/>
      <c r="S109" s="457">
        <f t="shared" ref="S109:S138" si="18">SUM(I109:M109)</f>
        <v>2.34</v>
      </c>
      <c r="T109" s="545">
        <f>IF(Q109&lt;&gt;0,(S109-Q109)/Q109,"0")</f>
        <v>-0.22321450718228072</v>
      </c>
    </row>
    <row r="110" spans="1:20" s="474" customFormat="1" ht="15" customHeight="1">
      <c r="A110" s="472"/>
      <c r="B110" s="1289"/>
      <c r="C110" s="544" t="s">
        <v>468</v>
      </c>
      <c r="D110" s="519">
        <v>0</v>
      </c>
      <c r="E110" s="522">
        <v>0</v>
      </c>
      <c r="F110" s="522">
        <v>0</v>
      </c>
      <c r="G110" s="522">
        <v>0</v>
      </c>
      <c r="H110" s="523">
        <v>0</v>
      </c>
      <c r="I110" s="521">
        <v>0</v>
      </c>
      <c r="J110" s="522">
        <v>0</v>
      </c>
      <c r="K110" s="522">
        <v>0</v>
      </c>
      <c r="L110" s="522">
        <v>0</v>
      </c>
      <c r="M110" s="523">
        <v>0</v>
      </c>
      <c r="N110" s="353"/>
      <c r="O110" s="457">
        <f t="shared" si="15"/>
        <v>0</v>
      </c>
      <c r="P110" s="458">
        <f t="shared" si="16"/>
        <v>0</v>
      </c>
      <c r="Q110" s="459">
        <f t="shared" si="17"/>
        <v>0</v>
      </c>
      <c r="R110" s="471"/>
      <c r="S110" s="457">
        <f t="shared" si="18"/>
        <v>0</v>
      </c>
      <c r="T110" s="545" t="str">
        <f t="shared" ref="T110:T138" si="19">IF(Q110&lt;&gt;0,(S110-Q110)/Q110,"0")</f>
        <v>0</v>
      </c>
    </row>
    <row r="111" spans="1:20" s="474" customFormat="1" ht="15" customHeight="1">
      <c r="A111" s="472"/>
      <c r="B111" s="1289"/>
      <c r="C111" s="544" t="s">
        <v>469</v>
      </c>
      <c r="D111" s="519">
        <v>0</v>
      </c>
      <c r="E111" s="522">
        <v>0</v>
      </c>
      <c r="F111" s="522">
        <v>0</v>
      </c>
      <c r="G111" s="522">
        <v>0</v>
      </c>
      <c r="H111" s="523">
        <v>0</v>
      </c>
      <c r="I111" s="521">
        <v>0</v>
      </c>
      <c r="J111" s="522">
        <v>0</v>
      </c>
      <c r="K111" s="522">
        <v>0</v>
      </c>
      <c r="L111" s="522">
        <v>0</v>
      </c>
      <c r="M111" s="523">
        <v>0</v>
      </c>
      <c r="N111" s="353"/>
      <c r="O111" s="457">
        <f t="shared" si="15"/>
        <v>0</v>
      </c>
      <c r="P111" s="458">
        <f t="shared" si="16"/>
        <v>0</v>
      </c>
      <c r="Q111" s="459">
        <f t="shared" si="17"/>
        <v>0</v>
      </c>
      <c r="R111" s="471"/>
      <c r="S111" s="457">
        <f t="shared" si="18"/>
        <v>0</v>
      </c>
      <c r="T111" s="545" t="str">
        <f t="shared" si="19"/>
        <v>0</v>
      </c>
    </row>
    <row r="112" spans="1:20" s="474" customFormat="1" ht="15" customHeight="1">
      <c r="A112" s="472"/>
      <c r="B112" s="1289"/>
      <c r="C112" s="544" t="s">
        <v>470</v>
      </c>
      <c r="D112" s="519">
        <v>0</v>
      </c>
      <c r="E112" s="522">
        <v>0</v>
      </c>
      <c r="F112" s="522">
        <v>0</v>
      </c>
      <c r="G112" s="522">
        <v>0</v>
      </c>
      <c r="H112" s="523">
        <v>0</v>
      </c>
      <c r="I112" s="521">
        <v>0</v>
      </c>
      <c r="J112" s="522">
        <v>0</v>
      </c>
      <c r="K112" s="522">
        <v>0</v>
      </c>
      <c r="L112" s="522">
        <v>0</v>
      </c>
      <c r="M112" s="523">
        <v>0</v>
      </c>
      <c r="N112" s="353"/>
      <c r="O112" s="457">
        <f t="shared" si="15"/>
        <v>0</v>
      </c>
      <c r="P112" s="458">
        <f t="shared" si="16"/>
        <v>0</v>
      </c>
      <c r="Q112" s="459">
        <f t="shared" si="17"/>
        <v>0</v>
      </c>
      <c r="R112" s="471"/>
      <c r="S112" s="457">
        <f t="shared" si="18"/>
        <v>0</v>
      </c>
      <c r="T112" s="545" t="str">
        <f t="shared" si="19"/>
        <v>0</v>
      </c>
    </row>
    <row r="113" spans="1:20" s="474" customFormat="1" ht="15" customHeight="1">
      <c r="A113" s="472"/>
      <c r="B113" s="1289"/>
      <c r="C113" s="544" t="s">
        <v>471</v>
      </c>
      <c r="D113" s="519">
        <v>1.2</v>
      </c>
      <c r="E113" s="522">
        <v>1.1000000000000001</v>
      </c>
      <c r="F113" s="522">
        <v>1.3</v>
      </c>
      <c r="G113" s="522">
        <v>0.82502642796601622</v>
      </c>
      <c r="H113" s="523">
        <v>0.83066674364369875</v>
      </c>
      <c r="I113" s="521">
        <v>1.26</v>
      </c>
      <c r="J113" s="522">
        <v>1.33</v>
      </c>
      <c r="K113" s="522">
        <v>1.42</v>
      </c>
      <c r="L113" s="522">
        <v>1.42</v>
      </c>
      <c r="M113" s="523">
        <v>1.42</v>
      </c>
      <c r="N113" s="353"/>
      <c r="O113" s="457">
        <f t="shared" si="15"/>
        <v>4.4250264279660154</v>
      </c>
      <c r="P113" s="458">
        <f t="shared" si="16"/>
        <v>0.83066674364369875</v>
      </c>
      <c r="Q113" s="459">
        <f t="shared" si="17"/>
        <v>5.2556931716097139</v>
      </c>
      <c r="R113" s="471"/>
      <c r="S113" s="457">
        <f t="shared" si="18"/>
        <v>6.85</v>
      </c>
      <c r="T113" s="545">
        <f t="shared" si="19"/>
        <v>0.30334853583204541</v>
      </c>
    </row>
    <row r="114" spans="1:20" s="474" customFormat="1" ht="15" customHeight="1">
      <c r="A114" s="472"/>
      <c r="B114" s="1290"/>
      <c r="C114" s="546" t="s">
        <v>472</v>
      </c>
      <c r="D114" s="547">
        <v>1.7</v>
      </c>
      <c r="E114" s="547">
        <v>1.7</v>
      </c>
      <c r="F114" s="547">
        <v>2</v>
      </c>
      <c r="G114" s="547">
        <v>1.457407091026262</v>
      </c>
      <c r="H114" s="548">
        <v>1.4107007325510907</v>
      </c>
      <c r="I114" s="549">
        <v>1.61</v>
      </c>
      <c r="J114" s="547">
        <v>1.76</v>
      </c>
      <c r="K114" s="547">
        <v>1.94</v>
      </c>
      <c r="L114" s="547">
        <v>1.94</v>
      </c>
      <c r="M114" s="548">
        <v>1.94</v>
      </c>
      <c r="N114" s="353"/>
      <c r="O114" s="457">
        <f t="shared" si="15"/>
        <v>6.8574070910262623</v>
      </c>
      <c r="P114" s="458">
        <f t="shared" si="16"/>
        <v>1.4107007325510907</v>
      </c>
      <c r="Q114" s="459">
        <f t="shared" si="17"/>
        <v>8.2681078235773526</v>
      </c>
      <c r="R114" s="471"/>
      <c r="S114" s="457">
        <f t="shared" si="18"/>
        <v>9.19</v>
      </c>
      <c r="T114" s="545">
        <f t="shared" si="19"/>
        <v>0.11149977674381281</v>
      </c>
    </row>
    <row r="115" spans="1:20" s="474" customFormat="1" ht="15" customHeight="1">
      <c r="A115" s="472"/>
      <c r="B115" s="1288" t="s">
        <v>245</v>
      </c>
      <c r="C115" s="544" t="s">
        <v>467</v>
      </c>
      <c r="D115" s="519">
        <v>1.3</v>
      </c>
      <c r="E115" s="522">
        <v>4.3</v>
      </c>
      <c r="F115" s="522">
        <v>3.9</v>
      </c>
      <c r="G115" s="522">
        <v>2.6698190245093163</v>
      </c>
      <c r="H115" s="523">
        <v>2.3452064907468695</v>
      </c>
      <c r="I115" s="521">
        <v>3.9</v>
      </c>
      <c r="J115" s="522">
        <v>4.43</v>
      </c>
      <c r="K115" s="522">
        <v>5.04</v>
      </c>
      <c r="L115" s="522">
        <v>5.04</v>
      </c>
      <c r="M115" s="523">
        <v>5.04</v>
      </c>
      <c r="N115" s="353"/>
      <c r="O115" s="457">
        <f t="shared" si="15"/>
        <v>12.169819024509316</v>
      </c>
      <c r="P115" s="458">
        <f t="shared" si="16"/>
        <v>2.3452064907468695</v>
      </c>
      <c r="Q115" s="459">
        <f t="shared" si="17"/>
        <v>14.515025515256186</v>
      </c>
      <c r="R115" s="471"/>
      <c r="S115" s="457">
        <f t="shared" si="18"/>
        <v>23.45</v>
      </c>
      <c r="T115" s="545">
        <f t="shared" si="19"/>
        <v>0.61556725996469008</v>
      </c>
    </row>
    <row r="116" spans="1:20" s="474" customFormat="1" ht="15" customHeight="1">
      <c r="A116" s="472"/>
      <c r="B116" s="1289"/>
      <c r="C116" s="544" t="s">
        <v>468</v>
      </c>
      <c r="D116" s="519">
        <v>0</v>
      </c>
      <c r="E116" s="522">
        <v>0</v>
      </c>
      <c r="F116" s="522">
        <v>0</v>
      </c>
      <c r="G116" s="522">
        <v>0</v>
      </c>
      <c r="H116" s="523">
        <v>0</v>
      </c>
      <c r="I116" s="521">
        <v>0</v>
      </c>
      <c r="J116" s="522">
        <v>0</v>
      </c>
      <c r="K116" s="522">
        <v>0</v>
      </c>
      <c r="L116" s="522">
        <v>0</v>
      </c>
      <c r="M116" s="523">
        <v>0</v>
      </c>
      <c r="N116" s="353"/>
      <c r="O116" s="457">
        <f t="shared" si="15"/>
        <v>0</v>
      </c>
      <c r="P116" s="458">
        <f t="shared" si="16"/>
        <v>0</v>
      </c>
      <c r="Q116" s="459">
        <f t="shared" si="17"/>
        <v>0</v>
      </c>
      <c r="R116" s="471"/>
      <c r="S116" s="457">
        <f t="shared" si="18"/>
        <v>0</v>
      </c>
      <c r="T116" s="545" t="str">
        <f t="shared" si="19"/>
        <v>0</v>
      </c>
    </row>
    <row r="117" spans="1:20" s="474" customFormat="1" ht="15" customHeight="1">
      <c r="A117" s="472"/>
      <c r="B117" s="1289"/>
      <c r="C117" s="544" t="s">
        <v>469</v>
      </c>
      <c r="D117" s="519">
        <v>0</v>
      </c>
      <c r="E117" s="522">
        <v>0</v>
      </c>
      <c r="F117" s="522">
        <v>0</v>
      </c>
      <c r="G117" s="522">
        <v>0</v>
      </c>
      <c r="H117" s="523">
        <v>0</v>
      </c>
      <c r="I117" s="521">
        <v>0</v>
      </c>
      <c r="J117" s="522">
        <v>0</v>
      </c>
      <c r="K117" s="522">
        <v>0</v>
      </c>
      <c r="L117" s="522">
        <v>0</v>
      </c>
      <c r="M117" s="523">
        <v>0</v>
      </c>
      <c r="N117" s="353"/>
      <c r="O117" s="457">
        <f t="shared" si="15"/>
        <v>0</v>
      </c>
      <c r="P117" s="458">
        <f t="shared" si="16"/>
        <v>0</v>
      </c>
      <c r="Q117" s="459">
        <f t="shared" si="17"/>
        <v>0</v>
      </c>
      <c r="R117" s="471"/>
      <c r="S117" s="457">
        <f t="shared" si="18"/>
        <v>0</v>
      </c>
      <c r="T117" s="545" t="str">
        <f t="shared" si="19"/>
        <v>0</v>
      </c>
    </row>
    <row r="118" spans="1:20" s="474" customFormat="1" ht="15" customHeight="1">
      <c r="A118" s="472"/>
      <c r="B118" s="1289"/>
      <c r="C118" s="544" t="s">
        <v>470</v>
      </c>
      <c r="D118" s="519">
        <v>0</v>
      </c>
      <c r="E118" s="522">
        <v>0</v>
      </c>
      <c r="F118" s="522">
        <v>0</v>
      </c>
      <c r="G118" s="522">
        <v>0</v>
      </c>
      <c r="H118" s="523">
        <v>0</v>
      </c>
      <c r="I118" s="521">
        <v>0</v>
      </c>
      <c r="J118" s="522">
        <v>0</v>
      </c>
      <c r="K118" s="522">
        <v>0</v>
      </c>
      <c r="L118" s="522">
        <v>0</v>
      </c>
      <c r="M118" s="523">
        <v>0</v>
      </c>
      <c r="N118" s="353"/>
      <c r="O118" s="457">
        <f t="shared" si="15"/>
        <v>0</v>
      </c>
      <c r="P118" s="458">
        <f t="shared" si="16"/>
        <v>0</v>
      </c>
      <c r="Q118" s="459">
        <f t="shared" si="17"/>
        <v>0</v>
      </c>
      <c r="R118" s="471"/>
      <c r="S118" s="457">
        <f t="shared" si="18"/>
        <v>0</v>
      </c>
      <c r="T118" s="545" t="str">
        <f t="shared" si="19"/>
        <v>0</v>
      </c>
    </row>
    <row r="119" spans="1:20" s="474" customFormat="1" ht="15" customHeight="1">
      <c r="A119" s="472"/>
      <c r="B119" s="1289"/>
      <c r="C119" s="544" t="s">
        <v>471</v>
      </c>
      <c r="D119" s="519">
        <v>0.6</v>
      </c>
      <c r="E119" s="522">
        <v>0.9</v>
      </c>
      <c r="F119" s="522">
        <v>1.1000000000000001</v>
      </c>
      <c r="G119" s="522">
        <v>0.75487824183184982</v>
      </c>
      <c r="H119" s="523">
        <v>0.87173681689880778</v>
      </c>
      <c r="I119" s="521">
        <v>1.25</v>
      </c>
      <c r="J119" s="522">
        <v>2.67</v>
      </c>
      <c r="K119" s="522">
        <v>4.03</v>
      </c>
      <c r="L119" s="522">
        <v>4.03</v>
      </c>
      <c r="M119" s="523">
        <v>4.03</v>
      </c>
      <c r="N119" s="353"/>
      <c r="O119" s="457">
        <f t="shared" si="15"/>
        <v>3.3548782418318499</v>
      </c>
      <c r="P119" s="458">
        <f t="shared" si="16"/>
        <v>0.87173681689880778</v>
      </c>
      <c r="Q119" s="459">
        <f t="shared" si="17"/>
        <v>4.2266150587306575</v>
      </c>
      <c r="R119" s="471"/>
      <c r="S119" s="457">
        <f t="shared" si="18"/>
        <v>16.010000000000002</v>
      </c>
      <c r="T119" s="545">
        <f t="shared" si="19"/>
        <v>2.7879011401639553</v>
      </c>
    </row>
    <row r="120" spans="1:20" s="474" customFormat="1" ht="15" customHeight="1">
      <c r="A120" s="472"/>
      <c r="B120" s="1290"/>
      <c r="C120" s="546" t="s">
        <v>472</v>
      </c>
      <c r="D120" s="547">
        <v>1.9</v>
      </c>
      <c r="E120" s="547">
        <v>5.2</v>
      </c>
      <c r="F120" s="547">
        <v>5</v>
      </c>
      <c r="G120" s="547">
        <v>3.4246972663411661</v>
      </c>
      <c r="H120" s="548">
        <v>3.2169433076456775</v>
      </c>
      <c r="I120" s="549">
        <v>5.15</v>
      </c>
      <c r="J120" s="547">
        <v>7.1</v>
      </c>
      <c r="K120" s="547">
        <v>9.07</v>
      </c>
      <c r="L120" s="547">
        <v>9.07</v>
      </c>
      <c r="M120" s="548">
        <v>9.07</v>
      </c>
      <c r="N120" s="353"/>
      <c r="O120" s="457">
        <f t="shared" si="15"/>
        <v>15.524697266341166</v>
      </c>
      <c r="P120" s="458">
        <f t="shared" si="16"/>
        <v>3.2169433076456775</v>
      </c>
      <c r="Q120" s="459">
        <f t="shared" si="17"/>
        <v>18.741640573986842</v>
      </c>
      <c r="R120" s="471"/>
      <c r="S120" s="457">
        <f t="shared" si="18"/>
        <v>39.46</v>
      </c>
      <c r="T120" s="545">
        <f t="shared" si="19"/>
        <v>1.1054720286744788</v>
      </c>
    </row>
    <row r="121" spans="1:20" s="474" customFormat="1" ht="15" customHeight="1">
      <c r="A121" s="472"/>
      <c r="B121" s="1288" t="s">
        <v>473</v>
      </c>
      <c r="C121" s="544" t="s">
        <v>467</v>
      </c>
      <c r="D121" s="519">
        <v>0</v>
      </c>
      <c r="E121" s="522">
        <v>0.1</v>
      </c>
      <c r="F121" s="522">
        <v>0.4</v>
      </c>
      <c r="G121" s="522">
        <v>1.6908853821892336</v>
      </c>
      <c r="H121" s="523">
        <v>1.1394312631289236</v>
      </c>
      <c r="I121" s="521">
        <v>0.24</v>
      </c>
      <c r="J121" s="522">
        <v>0.38</v>
      </c>
      <c r="K121" s="522">
        <v>0.52</v>
      </c>
      <c r="L121" s="522">
        <v>0.52</v>
      </c>
      <c r="M121" s="523">
        <v>0.52</v>
      </c>
      <c r="N121" s="353"/>
      <c r="O121" s="457">
        <f t="shared" si="15"/>
        <v>2.1908853821892338</v>
      </c>
      <c r="P121" s="458">
        <f t="shared" si="16"/>
        <v>1.1394312631289236</v>
      </c>
      <c r="Q121" s="459">
        <f t="shared" si="17"/>
        <v>3.3303166453181574</v>
      </c>
      <c r="R121" s="471"/>
      <c r="S121" s="457">
        <f t="shared" si="18"/>
        <v>2.1800000000000002</v>
      </c>
      <c r="T121" s="545">
        <f t="shared" si="19"/>
        <v>-0.34540758967628538</v>
      </c>
    </row>
    <row r="122" spans="1:20" s="474" customFormat="1" ht="15" customHeight="1">
      <c r="A122" s="472"/>
      <c r="B122" s="1289"/>
      <c r="C122" s="544" t="s">
        <v>468</v>
      </c>
      <c r="D122" s="519">
        <v>0</v>
      </c>
      <c r="E122" s="522">
        <v>0</v>
      </c>
      <c r="F122" s="522">
        <v>0</v>
      </c>
      <c r="G122" s="522">
        <v>0</v>
      </c>
      <c r="H122" s="523">
        <v>0</v>
      </c>
      <c r="I122" s="521">
        <v>0</v>
      </c>
      <c r="J122" s="522">
        <v>0</v>
      </c>
      <c r="K122" s="522">
        <v>0</v>
      </c>
      <c r="L122" s="522">
        <v>0</v>
      </c>
      <c r="M122" s="523">
        <v>0</v>
      </c>
      <c r="N122" s="353"/>
      <c r="O122" s="457">
        <f t="shared" si="15"/>
        <v>0</v>
      </c>
      <c r="P122" s="458">
        <f t="shared" si="16"/>
        <v>0</v>
      </c>
      <c r="Q122" s="459">
        <f t="shared" si="17"/>
        <v>0</v>
      </c>
      <c r="R122" s="471"/>
      <c r="S122" s="457">
        <f t="shared" si="18"/>
        <v>0</v>
      </c>
      <c r="T122" s="545" t="str">
        <f t="shared" si="19"/>
        <v>0</v>
      </c>
    </row>
    <row r="123" spans="1:20" s="474" customFormat="1" ht="15" customHeight="1">
      <c r="A123" s="472"/>
      <c r="B123" s="1289"/>
      <c r="C123" s="544" t="s">
        <v>469</v>
      </c>
      <c r="D123" s="519">
        <v>0</v>
      </c>
      <c r="E123" s="522">
        <v>0</v>
      </c>
      <c r="F123" s="522">
        <v>0</v>
      </c>
      <c r="G123" s="522">
        <v>0</v>
      </c>
      <c r="H123" s="523">
        <v>0</v>
      </c>
      <c r="I123" s="521">
        <v>0</v>
      </c>
      <c r="J123" s="522">
        <v>0</v>
      </c>
      <c r="K123" s="522">
        <v>0</v>
      </c>
      <c r="L123" s="522">
        <v>0</v>
      </c>
      <c r="M123" s="523">
        <v>0</v>
      </c>
      <c r="N123" s="353"/>
      <c r="O123" s="457">
        <f t="shared" si="15"/>
        <v>0</v>
      </c>
      <c r="P123" s="458">
        <f t="shared" si="16"/>
        <v>0</v>
      </c>
      <c r="Q123" s="459">
        <f t="shared" si="17"/>
        <v>0</v>
      </c>
      <c r="R123" s="471"/>
      <c r="S123" s="457">
        <f t="shared" si="18"/>
        <v>0</v>
      </c>
      <c r="T123" s="545" t="str">
        <f t="shared" si="19"/>
        <v>0</v>
      </c>
    </row>
    <row r="124" spans="1:20" s="474" customFormat="1" ht="15" customHeight="1">
      <c r="A124" s="472"/>
      <c r="B124" s="1290"/>
      <c r="C124" s="544" t="s">
        <v>471</v>
      </c>
      <c r="D124" s="519">
        <v>0.3</v>
      </c>
      <c r="E124" s="522">
        <v>0.3</v>
      </c>
      <c r="F124" s="522">
        <v>0.5</v>
      </c>
      <c r="G124" s="522">
        <v>0.38633851766428928</v>
      </c>
      <c r="H124" s="523">
        <v>6.9503200893261521E-2</v>
      </c>
      <c r="I124" s="521">
        <v>0.27</v>
      </c>
      <c r="J124" s="522">
        <v>0.53</v>
      </c>
      <c r="K124" s="522">
        <v>0.8</v>
      </c>
      <c r="L124" s="522">
        <v>0.8</v>
      </c>
      <c r="M124" s="523">
        <v>0.8</v>
      </c>
      <c r="N124" s="353"/>
      <c r="O124" s="457">
        <f t="shared" si="15"/>
        <v>1.4863385176642894</v>
      </c>
      <c r="P124" s="458">
        <f t="shared" si="16"/>
        <v>6.9503200893261521E-2</v>
      </c>
      <c r="Q124" s="459">
        <f t="shared" si="17"/>
        <v>1.5558417185575508</v>
      </c>
      <c r="R124" s="471"/>
      <c r="S124" s="457">
        <f t="shared" si="18"/>
        <v>3.2</v>
      </c>
      <c r="T124" s="545">
        <f t="shared" si="19"/>
        <v>1.0567644907778784</v>
      </c>
    </row>
    <row r="125" spans="1:20" s="474" customFormat="1" ht="15" customHeight="1">
      <c r="A125" s="472"/>
      <c r="B125" s="1288" t="s">
        <v>474</v>
      </c>
      <c r="C125" s="544" t="s">
        <v>475</v>
      </c>
      <c r="D125" s="519">
        <v>0</v>
      </c>
      <c r="E125" s="522">
        <v>0</v>
      </c>
      <c r="F125" s="522">
        <v>0</v>
      </c>
      <c r="G125" s="522">
        <v>0</v>
      </c>
      <c r="H125" s="523">
        <v>0</v>
      </c>
      <c r="I125" s="521">
        <v>0</v>
      </c>
      <c r="J125" s="522">
        <v>0</v>
      </c>
      <c r="K125" s="522">
        <v>0</v>
      </c>
      <c r="L125" s="522">
        <v>0</v>
      </c>
      <c r="M125" s="523">
        <v>0</v>
      </c>
      <c r="N125" s="353"/>
      <c r="O125" s="457">
        <f t="shared" si="15"/>
        <v>0</v>
      </c>
      <c r="P125" s="458">
        <f t="shared" si="16"/>
        <v>0</v>
      </c>
      <c r="Q125" s="459">
        <f t="shared" si="17"/>
        <v>0</v>
      </c>
      <c r="R125" s="471"/>
      <c r="S125" s="457">
        <f t="shared" si="18"/>
        <v>0</v>
      </c>
      <c r="T125" s="545" t="str">
        <f t="shared" si="19"/>
        <v>0</v>
      </c>
    </row>
    <row r="126" spans="1:20" s="474" customFormat="1" ht="15" customHeight="1">
      <c r="A126" s="472"/>
      <c r="B126" s="1289"/>
      <c r="C126" s="546" t="s">
        <v>476</v>
      </c>
      <c r="D126" s="519">
        <v>0</v>
      </c>
      <c r="E126" s="522">
        <v>0</v>
      </c>
      <c r="F126" s="522">
        <v>0</v>
      </c>
      <c r="G126" s="522">
        <v>0</v>
      </c>
      <c r="H126" s="523">
        <v>0</v>
      </c>
      <c r="I126" s="521">
        <v>0.12</v>
      </c>
      <c r="J126" s="522">
        <v>0.11</v>
      </c>
      <c r="K126" s="522">
        <v>0.1</v>
      </c>
      <c r="L126" s="522">
        <v>0.1</v>
      </c>
      <c r="M126" s="523">
        <v>0.1</v>
      </c>
      <c r="N126" s="353"/>
      <c r="O126" s="457">
        <f t="shared" si="15"/>
        <v>0</v>
      </c>
      <c r="P126" s="458">
        <f t="shared" si="16"/>
        <v>0</v>
      </c>
      <c r="Q126" s="459">
        <f t="shared" si="17"/>
        <v>0</v>
      </c>
      <c r="R126" s="471"/>
      <c r="S126" s="457">
        <f t="shared" si="18"/>
        <v>0.52999999999999992</v>
      </c>
      <c r="T126" s="545" t="str">
        <f t="shared" si="19"/>
        <v>0</v>
      </c>
    </row>
    <row r="127" spans="1:20" s="474" customFormat="1" ht="15" customHeight="1">
      <c r="A127" s="472"/>
      <c r="B127" s="1289"/>
      <c r="C127" s="544" t="s">
        <v>469</v>
      </c>
      <c r="D127" s="519">
        <v>0</v>
      </c>
      <c r="E127" s="519">
        <v>0</v>
      </c>
      <c r="F127" s="519">
        <v>0</v>
      </c>
      <c r="G127" s="519">
        <v>0</v>
      </c>
      <c r="H127" s="520">
        <v>0</v>
      </c>
      <c r="I127" s="521">
        <v>0</v>
      </c>
      <c r="J127" s="519">
        <v>0</v>
      </c>
      <c r="K127" s="519">
        <v>0</v>
      </c>
      <c r="L127" s="519">
        <v>0</v>
      </c>
      <c r="M127" s="520">
        <v>0</v>
      </c>
      <c r="N127" s="353"/>
      <c r="O127" s="457">
        <f t="shared" si="15"/>
        <v>0</v>
      </c>
      <c r="P127" s="458">
        <f t="shared" si="16"/>
        <v>0</v>
      </c>
      <c r="Q127" s="459">
        <f t="shared" si="17"/>
        <v>0</v>
      </c>
      <c r="R127" s="471"/>
      <c r="S127" s="457">
        <f t="shared" si="18"/>
        <v>0</v>
      </c>
      <c r="T127" s="545" t="str">
        <f t="shared" si="19"/>
        <v>0</v>
      </c>
    </row>
    <row r="128" spans="1:20" s="474" customFormat="1" ht="15" customHeight="1">
      <c r="A128" s="472"/>
      <c r="B128" s="1290"/>
      <c r="C128" s="544" t="s">
        <v>477</v>
      </c>
      <c r="D128" s="519">
        <v>0</v>
      </c>
      <c r="E128" s="519">
        <v>0</v>
      </c>
      <c r="F128" s="519">
        <v>0</v>
      </c>
      <c r="G128" s="519">
        <v>0</v>
      </c>
      <c r="H128" s="520">
        <v>0</v>
      </c>
      <c r="I128" s="521">
        <v>0.03</v>
      </c>
      <c r="J128" s="519">
        <v>0.06</v>
      </c>
      <c r="K128" s="519">
        <v>0.09</v>
      </c>
      <c r="L128" s="519">
        <v>0.09</v>
      </c>
      <c r="M128" s="520">
        <v>0.1</v>
      </c>
      <c r="N128" s="353"/>
      <c r="O128" s="457">
        <f t="shared" si="15"/>
        <v>0</v>
      </c>
      <c r="P128" s="458">
        <f t="shared" si="16"/>
        <v>0</v>
      </c>
      <c r="Q128" s="459">
        <f t="shared" si="17"/>
        <v>0</v>
      </c>
      <c r="R128" s="471"/>
      <c r="S128" s="457">
        <f t="shared" si="18"/>
        <v>0.37</v>
      </c>
      <c r="T128" s="545" t="str">
        <f t="shared" si="19"/>
        <v>0</v>
      </c>
    </row>
    <row r="129" spans="1:20" s="474" customFormat="1" ht="15" customHeight="1">
      <c r="A129" s="472"/>
      <c r="B129" s="550" t="s">
        <v>478</v>
      </c>
      <c r="C129" s="546" t="s">
        <v>472</v>
      </c>
      <c r="D129" s="547">
        <v>0.3</v>
      </c>
      <c r="E129" s="547">
        <v>0.4</v>
      </c>
      <c r="F129" s="547">
        <v>0.9</v>
      </c>
      <c r="G129" s="547">
        <v>2.0772238998535228</v>
      </c>
      <c r="H129" s="548">
        <v>1.2089344640221851</v>
      </c>
      <c r="I129" s="549">
        <v>0.66</v>
      </c>
      <c r="J129" s="547">
        <v>1.08</v>
      </c>
      <c r="K129" s="547">
        <v>1.51</v>
      </c>
      <c r="L129" s="547">
        <v>1.51</v>
      </c>
      <c r="M129" s="548">
        <v>1.52</v>
      </c>
      <c r="N129" s="353"/>
      <c r="O129" s="457">
        <f t="shared" si="15"/>
        <v>3.6772238998535229</v>
      </c>
      <c r="P129" s="458">
        <f t="shared" si="16"/>
        <v>1.2089344640221851</v>
      </c>
      <c r="Q129" s="459">
        <f t="shared" si="17"/>
        <v>4.8861583638757082</v>
      </c>
      <c r="R129" s="471"/>
      <c r="S129" s="457">
        <f t="shared" si="18"/>
        <v>6.2799999999999994</v>
      </c>
      <c r="T129" s="545">
        <f t="shared" si="19"/>
        <v>0.28526329527696559</v>
      </c>
    </row>
    <row r="130" spans="1:20" s="474" customFormat="1" ht="15" customHeight="1">
      <c r="A130" s="472"/>
      <c r="B130" s="1288" t="s">
        <v>479</v>
      </c>
      <c r="C130" s="544" t="s">
        <v>467</v>
      </c>
      <c r="D130" s="519">
        <v>0</v>
      </c>
      <c r="E130" s="522">
        <v>0</v>
      </c>
      <c r="F130" s="522">
        <v>0</v>
      </c>
      <c r="G130" s="522">
        <v>0</v>
      </c>
      <c r="H130" s="523">
        <v>0</v>
      </c>
      <c r="I130" s="521">
        <v>0</v>
      </c>
      <c r="J130" s="522">
        <v>0</v>
      </c>
      <c r="K130" s="522">
        <v>0</v>
      </c>
      <c r="L130" s="522">
        <v>0</v>
      </c>
      <c r="M130" s="523">
        <v>0</v>
      </c>
      <c r="N130" s="353"/>
      <c r="O130" s="457">
        <f t="shared" si="15"/>
        <v>0</v>
      </c>
      <c r="P130" s="458">
        <f t="shared" si="16"/>
        <v>0</v>
      </c>
      <c r="Q130" s="459">
        <f t="shared" si="17"/>
        <v>0</v>
      </c>
      <c r="R130" s="471"/>
      <c r="S130" s="457">
        <f t="shared" si="18"/>
        <v>0</v>
      </c>
      <c r="T130" s="545" t="str">
        <f t="shared" si="19"/>
        <v>0</v>
      </c>
    </row>
    <row r="131" spans="1:20" s="474" customFormat="1" ht="15" customHeight="1">
      <c r="A131" s="472"/>
      <c r="B131" s="1289"/>
      <c r="C131" s="544" t="s">
        <v>468</v>
      </c>
      <c r="D131" s="519">
        <v>0</v>
      </c>
      <c r="E131" s="522">
        <v>0</v>
      </c>
      <c r="F131" s="522">
        <v>0</v>
      </c>
      <c r="G131" s="522">
        <v>0</v>
      </c>
      <c r="H131" s="523">
        <v>0</v>
      </c>
      <c r="I131" s="521">
        <v>0</v>
      </c>
      <c r="J131" s="522">
        <v>0</v>
      </c>
      <c r="K131" s="522">
        <v>0</v>
      </c>
      <c r="L131" s="522">
        <v>0</v>
      </c>
      <c r="M131" s="523">
        <v>0</v>
      </c>
      <c r="N131" s="353"/>
      <c r="O131" s="457">
        <f t="shared" si="15"/>
        <v>0</v>
      </c>
      <c r="P131" s="458">
        <f t="shared" si="16"/>
        <v>0</v>
      </c>
      <c r="Q131" s="459">
        <f t="shared" si="17"/>
        <v>0</v>
      </c>
      <c r="R131" s="471"/>
      <c r="S131" s="457">
        <f t="shared" si="18"/>
        <v>0</v>
      </c>
      <c r="T131" s="545" t="str">
        <f t="shared" si="19"/>
        <v>0</v>
      </c>
    </row>
    <row r="132" spans="1:20" s="474" customFormat="1" ht="15" customHeight="1">
      <c r="A132" s="472"/>
      <c r="B132" s="1289"/>
      <c r="C132" s="544" t="s">
        <v>469</v>
      </c>
      <c r="D132" s="519">
        <v>0</v>
      </c>
      <c r="E132" s="522">
        <v>0</v>
      </c>
      <c r="F132" s="522">
        <v>0</v>
      </c>
      <c r="G132" s="522">
        <v>0</v>
      </c>
      <c r="H132" s="523">
        <v>0</v>
      </c>
      <c r="I132" s="521">
        <v>0</v>
      </c>
      <c r="J132" s="522">
        <v>0</v>
      </c>
      <c r="K132" s="522">
        <v>0</v>
      </c>
      <c r="L132" s="522">
        <v>0</v>
      </c>
      <c r="M132" s="523">
        <v>0</v>
      </c>
      <c r="N132" s="353"/>
      <c r="O132" s="457">
        <f t="shared" si="15"/>
        <v>0</v>
      </c>
      <c r="P132" s="458">
        <f t="shared" si="16"/>
        <v>0</v>
      </c>
      <c r="Q132" s="459">
        <f t="shared" si="17"/>
        <v>0</v>
      </c>
      <c r="R132" s="471"/>
      <c r="S132" s="457">
        <f t="shared" si="18"/>
        <v>0</v>
      </c>
      <c r="T132" s="545" t="str">
        <f t="shared" si="19"/>
        <v>0</v>
      </c>
    </row>
    <row r="133" spans="1:20" s="474" customFormat="1" ht="15" customHeight="1">
      <c r="A133" s="472"/>
      <c r="B133" s="1290"/>
      <c r="C133" s="544" t="s">
        <v>471</v>
      </c>
      <c r="D133" s="519">
        <v>0</v>
      </c>
      <c r="E133" s="522">
        <v>0</v>
      </c>
      <c r="F133" s="522">
        <v>0</v>
      </c>
      <c r="G133" s="522">
        <v>0</v>
      </c>
      <c r="H133" s="523">
        <v>0</v>
      </c>
      <c r="I133" s="521">
        <v>0.04</v>
      </c>
      <c r="J133" s="522">
        <v>0.06</v>
      </c>
      <c r="K133" s="522">
        <v>0.08</v>
      </c>
      <c r="L133" s="522">
        <v>0.08</v>
      </c>
      <c r="M133" s="523">
        <v>0.08</v>
      </c>
      <c r="N133" s="353"/>
      <c r="O133" s="457">
        <f t="shared" si="15"/>
        <v>0</v>
      </c>
      <c r="P133" s="458">
        <f t="shared" si="16"/>
        <v>0</v>
      </c>
      <c r="Q133" s="459">
        <f t="shared" si="17"/>
        <v>0</v>
      </c>
      <c r="R133" s="471"/>
      <c r="S133" s="457">
        <f t="shared" si="18"/>
        <v>0.34</v>
      </c>
      <c r="T133" s="545" t="str">
        <f t="shared" si="19"/>
        <v>0</v>
      </c>
    </row>
    <row r="134" spans="1:20" s="474" customFormat="1" ht="15" customHeight="1">
      <c r="A134" s="472"/>
      <c r="B134" s="1288" t="s">
        <v>480</v>
      </c>
      <c r="C134" s="544" t="s">
        <v>475</v>
      </c>
      <c r="D134" s="519">
        <v>0</v>
      </c>
      <c r="E134" s="522">
        <v>0</v>
      </c>
      <c r="F134" s="522">
        <v>0</v>
      </c>
      <c r="G134" s="522">
        <v>0</v>
      </c>
      <c r="H134" s="523">
        <v>0</v>
      </c>
      <c r="I134" s="521">
        <v>0.27</v>
      </c>
      <c r="J134" s="522">
        <v>0.28999999999999998</v>
      </c>
      <c r="K134" s="522">
        <v>0.31</v>
      </c>
      <c r="L134" s="522">
        <v>0.31</v>
      </c>
      <c r="M134" s="523">
        <v>0.31</v>
      </c>
      <c r="N134" s="353"/>
      <c r="O134" s="457">
        <f t="shared" si="15"/>
        <v>0</v>
      </c>
      <c r="P134" s="458">
        <f t="shared" si="16"/>
        <v>0</v>
      </c>
      <c r="Q134" s="459">
        <f t="shared" si="17"/>
        <v>0</v>
      </c>
      <c r="R134" s="471"/>
      <c r="S134" s="457">
        <f t="shared" si="18"/>
        <v>1.4900000000000002</v>
      </c>
      <c r="T134" s="545" t="str">
        <f t="shared" si="19"/>
        <v>0</v>
      </c>
    </row>
    <row r="135" spans="1:20" s="474" customFormat="1" ht="15" customHeight="1">
      <c r="A135" s="472"/>
      <c r="B135" s="1289"/>
      <c r="C135" s="546" t="s">
        <v>476</v>
      </c>
      <c r="D135" s="519">
        <v>0.5</v>
      </c>
      <c r="E135" s="522">
        <v>1.3</v>
      </c>
      <c r="F135" s="522">
        <v>1.1000000000000001</v>
      </c>
      <c r="G135" s="522">
        <v>0.88575172342544373</v>
      </c>
      <c r="H135" s="523">
        <v>0.3338259800479379</v>
      </c>
      <c r="I135" s="521">
        <v>0.2</v>
      </c>
      <c r="J135" s="522">
        <v>0.33</v>
      </c>
      <c r="K135" s="522">
        <v>0.46</v>
      </c>
      <c r="L135" s="522">
        <v>0.46</v>
      </c>
      <c r="M135" s="523">
        <v>0.46</v>
      </c>
      <c r="N135" s="353"/>
      <c r="O135" s="457">
        <f t="shared" si="15"/>
        <v>3.7857517234254443</v>
      </c>
      <c r="P135" s="458">
        <f t="shared" si="16"/>
        <v>0.3338259800479379</v>
      </c>
      <c r="Q135" s="459">
        <f t="shared" si="17"/>
        <v>4.1195777034733823</v>
      </c>
      <c r="R135" s="471"/>
      <c r="S135" s="457">
        <f t="shared" si="18"/>
        <v>1.91</v>
      </c>
      <c r="T135" s="545">
        <f t="shared" si="19"/>
        <v>-0.53636024430620599</v>
      </c>
    </row>
    <row r="136" spans="1:20" s="474" customFormat="1" ht="15" customHeight="1">
      <c r="A136" s="472"/>
      <c r="B136" s="1289"/>
      <c r="C136" s="544" t="s">
        <v>469</v>
      </c>
      <c r="D136" s="519">
        <v>0</v>
      </c>
      <c r="E136" s="522">
        <v>0</v>
      </c>
      <c r="F136" s="522">
        <v>0</v>
      </c>
      <c r="G136" s="522">
        <v>0</v>
      </c>
      <c r="H136" s="523">
        <v>0</v>
      </c>
      <c r="I136" s="521">
        <v>0</v>
      </c>
      <c r="J136" s="522">
        <v>0</v>
      </c>
      <c r="K136" s="522">
        <v>0</v>
      </c>
      <c r="L136" s="522">
        <v>0</v>
      </c>
      <c r="M136" s="523">
        <v>0</v>
      </c>
      <c r="N136" s="353"/>
      <c r="O136" s="457">
        <f t="shared" si="15"/>
        <v>0</v>
      </c>
      <c r="P136" s="458">
        <f t="shared" si="16"/>
        <v>0</v>
      </c>
      <c r="Q136" s="459">
        <f t="shared" si="17"/>
        <v>0</v>
      </c>
      <c r="R136" s="471"/>
      <c r="S136" s="457">
        <f t="shared" si="18"/>
        <v>0</v>
      </c>
      <c r="T136" s="545" t="str">
        <f t="shared" si="19"/>
        <v>0</v>
      </c>
    </row>
    <row r="137" spans="1:20" s="474" customFormat="1" ht="15" customHeight="1">
      <c r="A137" s="472"/>
      <c r="B137" s="1290"/>
      <c r="C137" s="544" t="s">
        <v>477</v>
      </c>
      <c r="D137" s="519">
        <v>0</v>
      </c>
      <c r="E137" s="522">
        <v>0</v>
      </c>
      <c r="F137" s="522">
        <v>0</v>
      </c>
      <c r="G137" s="522">
        <v>0</v>
      </c>
      <c r="H137" s="523">
        <v>0</v>
      </c>
      <c r="I137" s="521">
        <v>0.09</v>
      </c>
      <c r="J137" s="522">
        <v>0.09</v>
      </c>
      <c r="K137" s="522">
        <v>0.11</v>
      </c>
      <c r="L137" s="522">
        <v>0.13</v>
      </c>
      <c r="M137" s="523">
        <v>0.15</v>
      </c>
      <c r="N137" s="353"/>
      <c r="O137" s="457">
        <f t="shared" si="15"/>
        <v>0</v>
      </c>
      <c r="P137" s="458">
        <f t="shared" si="16"/>
        <v>0</v>
      </c>
      <c r="Q137" s="459">
        <f t="shared" si="17"/>
        <v>0</v>
      </c>
      <c r="R137" s="471"/>
      <c r="S137" s="457">
        <f t="shared" si="18"/>
        <v>0.56999999999999995</v>
      </c>
      <c r="T137" s="545" t="str">
        <f t="shared" si="19"/>
        <v>0</v>
      </c>
    </row>
    <row r="138" spans="1:20" s="474" customFormat="1" ht="15" customHeight="1" thickBot="1">
      <c r="A138" s="472"/>
      <c r="B138" s="551" t="s">
        <v>481</v>
      </c>
      <c r="C138" s="552" t="s">
        <v>472</v>
      </c>
      <c r="D138" s="553">
        <v>0.5</v>
      </c>
      <c r="E138" s="553">
        <v>1.3</v>
      </c>
      <c r="F138" s="553">
        <v>1.1000000000000001</v>
      </c>
      <c r="G138" s="553">
        <v>0.88575172342544373</v>
      </c>
      <c r="H138" s="554">
        <v>0.3338259800479379</v>
      </c>
      <c r="I138" s="555">
        <v>0.6</v>
      </c>
      <c r="J138" s="553">
        <v>0.77</v>
      </c>
      <c r="K138" s="553">
        <v>0.96</v>
      </c>
      <c r="L138" s="553">
        <v>0.98</v>
      </c>
      <c r="M138" s="554">
        <v>1</v>
      </c>
      <c r="N138" s="353"/>
      <c r="O138" s="501">
        <f t="shared" si="15"/>
        <v>3.7857517234254443</v>
      </c>
      <c r="P138" s="502">
        <f t="shared" si="16"/>
        <v>0.3338259800479379</v>
      </c>
      <c r="Q138" s="503">
        <f t="shared" si="17"/>
        <v>4.1195777034733823</v>
      </c>
      <c r="R138" s="471"/>
      <c r="S138" s="501">
        <f t="shared" si="18"/>
        <v>4.3100000000000005</v>
      </c>
      <c r="T138" s="556">
        <f t="shared" si="19"/>
        <v>4.6223741905891354E-2</v>
      </c>
    </row>
    <row r="139" spans="1:20" s="474" customFormat="1" ht="15" customHeight="1">
      <c r="A139" s="472"/>
      <c r="B139" s="353"/>
      <c r="C139" s="353"/>
      <c r="D139" s="353"/>
      <c r="E139" s="353"/>
      <c r="F139" s="353"/>
      <c r="G139" s="353"/>
      <c r="H139" s="353"/>
      <c r="I139" s="353"/>
      <c r="J139" s="353"/>
      <c r="K139" s="353"/>
      <c r="L139" s="353"/>
      <c r="M139" s="353"/>
      <c r="N139" s="353"/>
      <c r="O139" s="353"/>
      <c r="P139" s="353"/>
      <c r="Q139" s="353"/>
    </row>
    <row r="140" spans="1:20" s="474" customFormat="1" ht="15" customHeight="1">
      <c r="A140" s="472"/>
      <c r="B140" s="469" t="s">
        <v>482</v>
      </c>
      <c r="C140" s="353"/>
      <c r="D140" s="353"/>
      <c r="E140" s="353"/>
      <c r="F140" s="353"/>
      <c r="G140" s="353"/>
      <c r="H140" s="353"/>
      <c r="I140" s="353"/>
      <c r="J140" s="353"/>
      <c r="K140" s="353"/>
      <c r="L140" s="353"/>
      <c r="M140" s="353"/>
      <c r="N140" s="353"/>
      <c r="O140" s="353"/>
      <c r="P140" s="353"/>
      <c r="Q140" s="353"/>
    </row>
    <row r="141" spans="1:20" s="474" customFormat="1" ht="15" customHeight="1" thickBot="1">
      <c r="A141" s="472"/>
      <c r="B141" s="353"/>
      <c r="C141" s="353"/>
      <c r="E141" s="353"/>
      <c r="F141" s="353"/>
      <c r="G141" s="353"/>
      <c r="H141" s="353"/>
      <c r="I141" s="353"/>
      <c r="J141" s="353"/>
      <c r="K141" s="353"/>
      <c r="L141" s="353"/>
      <c r="M141" s="353"/>
      <c r="N141" s="353"/>
      <c r="O141" s="353"/>
      <c r="P141" s="353"/>
      <c r="Q141" s="353"/>
    </row>
    <row r="142" spans="1:20" s="474" customFormat="1" ht="15" customHeight="1">
      <c r="A142" s="472"/>
      <c r="B142" s="1280" t="s">
        <v>444</v>
      </c>
      <c r="C142" s="1281"/>
      <c r="D142" s="475" t="s">
        <v>445</v>
      </c>
      <c r="E142" s="476"/>
      <c r="F142" s="476"/>
      <c r="G142" s="476"/>
      <c r="H142" s="477"/>
      <c r="I142" s="475" t="s">
        <v>446</v>
      </c>
      <c r="J142" s="476"/>
      <c r="K142" s="476"/>
      <c r="L142" s="476"/>
      <c r="M142" s="477"/>
      <c r="N142" s="353"/>
      <c r="O142" s="113" t="s">
        <v>211</v>
      </c>
      <c r="P142" s="114"/>
      <c r="Q142" s="115"/>
      <c r="R142" s="471"/>
      <c r="S142" s="113" t="s">
        <v>212</v>
      </c>
      <c r="T142" s="115"/>
    </row>
    <row r="143" spans="1:20" s="474" customFormat="1" ht="15" customHeight="1">
      <c r="A143" s="472"/>
      <c r="B143" s="1282"/>
      <c r="C143" s="1283"/>
      <c r="D143" s="478" t="s">
        <v>99</v>
      </c>
      <c r="E143" s="479" t="s">
        <v>100</v>
      </c>
      <c r="F143" s="479" t="s">
        <v>101</v>
      </c>
      <c r="G143" s="479" t="s">
        <v>102</v>
      </c>
      <c r="H143" s="480" t="s">
        <v>64</v>
      </c>
      <c r="I143" s="478" t="s">
        <v>213</v>
      </c>
      <c r="J143" s="479" t="s">
        <v>214</v>
      </c>
      <c r="K143" s="479" t="s">
        <v>215</v>
      </c>
      <c r="L143" s="479" t="s">
        <v>216</v>
      </c>
      <c r="M143" s="480" t="s">
        <v>465</v>
      </c>
      <c r="N143" s="353"/>
      <c r="O143" s="120" t="s">
        <v>218</v>
      </c>
      <c r="P143" s="121" t="s">
        <v>219</v>
      </c>
      <c r="Q143" s="122" t="s">
        <v>220</v>
      </c>
      <c r="R143" s="471"/>
      <c r="S143" s="120" t="s">
        <v>219</v>
      </c>
      <c r="T143" s="122" t="s">
        <v>221</v>
      </c>
    </row>
    <row r="144" spans="1:20" s="474" customFormat="1" ht="15" customHeight="1">
      <c r="A144" s="472"/>
      <c r="B144" s="1284"/>
      <c r="C144" s="1285"/>
      <c r="D144" s="478" t="s">
        <v>223</v>
      </c>
      <c r="E144" s="479" t="s">
        <v>223</v>
      </c>
      <c r="F144" s="479" t="s">
        <v>223</v>
      </c>
      <c r="G144" s="479" t="s">
        <v>223</v>
      </c>
      <c r="H144" s="480" t="s">
        <v>223</v>
      </c>
      <c r="I144" s="478" t="s">
        <v>223</v>
      </c>
      <c r="J144" s="479" t="s">
        <v>223</v>
      </c>
      <c r="K144" s="479" t="s">
        <v>223</v>
      </c>
      <c r="L144" s="479" t="s">
        <v>223</v>
      </c>
      <c r="M144" s="480" t="s">
        <v>223</v>
      </c>
      <c r="N144" s="353"/>
      <c r="O144" s="482"/>
      <c r="P144" s="483"/>
      <c r="Q144" s="484"/>
      <c r="R144" s="471"/>
      <c r="S144" s="485"/>
      <c r="T144" s="486"/>
    </row>
    <row r="145" spans="1:20" s="474" customFormat="1" ht="15" customHeight="1">
      <c r="A145" s="472"/>
      <c r="B145" s="557" t="s">
        <v>483</v>
      </c>
      <c r="C145" s="558" t="s">
        <v>484</v>
      </c>
      <c r="D145" s="559"/>
      <c r="E145" s="353"/>
      <c r="F145" s="353"/>
      <c r="G145" s="353"/>
      <c r="H145" s="560"/>
      <c r="I145" s="561"/>
      <c r="J145" s="353"/>
      <c r="K145" s="353"/>
      <c r="L145" s="353"/>
      <c r="M145" s="560"/>
      <c r="N145" s="353"/>
      <c r="O145" s="561"/>
      <c r="P145" s="353"/>
      <c r="Q145" s="560"/>
      <c r="S145" s="559"/>
      <c r="T145" s="562"/>
    </row>
    <row r="146" spans="1:20" s="474" customFormat="1" ht="15" customHeight="1">
      <c r="A146" s="472"/>
      <c r="B146" s="561"/>
      <c r="C146" s="563" t="s">
        <v>485</v>
      </c>
      <c r="D146" s="564"/>
      <c r="E146" s="565"/>
      <c r="F146" s="565"/>
      <c r="G146" s="565"/>
      <c r="H146" s="566"/>
      <c r="I146" s="564"/>
      <c r="J146" s="565"/>
      <c r="K146" s="565"/>
      <c r="L146" s="565"/>
      <c r="M146" s="566"/>
      <c r="N146" s="353"/>
      <c r="O146" s="457">
        <f t="shared" ref="O146:O153" si="20">SUM(D146:G146)</f>
        <v>0</v>
      </c>
      <c r="P146" s="458">
        <f t="shared" ref="P146:P153" si="21">H146</f>
        <v>0</v>
      </c>
      <c r="Q146" s="459">
        <f t="shared" ref="Q146:Q153" si="22">SUM(D146:H146)</f>
        <v>0</v>
      </c>
      <c r="R146" s="471"/>
      <c r="S146" s="457">
        <f t="shared" ref="S146:S153" si="23">SUM(I146:M146)</f>
        <v>0</v>
      </c>
      <c r="T146" s="545" t="str">
        <f t="shared" ref="T146:T153" si="24">IF(Q146&lt;&gt;0,(S146-Q146)/Q146,"0")</f>
        <v>0</v>
      </c>
    </row>
    <row r="147" spans="1:20" s="474" customFormat="1" ht="15" customHeight="1">
      <c r="A147" s="472"/>
      <c r="B147" s="561"/>
      <c r="C147" s="563" t="s">
        <v>486</v>
      </c>
      <c r="D147" s="341"/>
      <c r="E147" s="342"/>
      <c r="F147" s="342"/>
      <c r="G147" s="342"/>
      <c r="H147" s="343"/>
      <c r="I147" s="341"/>
      <c r="J147" s="342"/>
      <c r="K147" s="342"/>
      <c r="L147" s="342"/>
      <c r="M147" s="343"/>
      <c r="N147" s="353"/>
      <c r="O147" s="457">
        <f t="shared" si="20"/>
        <v>0</v>
      </c>
      <c r="P147" s="458">
        <f t="shared" si="21"/>
        <v>0</v>
      </c>
      <c r="Q147" s="459">
        <f t="shared" si="22"/>
        <v>0</v>
      </c>
      <c r="R147" s="471"/>
      <c r="S147" s="457">
        <f t="shared" si="23"/>
        <v>0</v>
      </c>
      <c r="T147" s="545" t="str">
        <f t="shared" si="24"/>
        <v>0</v>
      </c>
    </row>
    <row r="148" spans="1:20" s="474" customFormat="1" ht="15" customHeight="1">
      <c r="A148" s="472"/>
      <c r="B148" s="561"/>
      <c r="C148" s="567"/>
      <c r="D148" s="341"/>
      <c r="E148" s="342"/>
      <c r="F148" s="342"/>
      <c r="G148" s="342"/>
      <c r="H148" s="343"/>
      <c r="I148" s="341"/>
      <c r="J148" s="342"/>
      <c r="K148" s="342"/>
      <c r="L148" s="342"/>
      <c r="M148" s="343"/>
      <c r="N148" s="353"/>
      <c r="O148" s="457">
        <f t="shared" si="20"/>
        <v>0</v>
      </c>
      <c r="P148" s="458">
        <f t="shared" si="21"/>
        <v>0</v>
      </c>
      <c r="Q148" s="459">
        <f t="shared" si="22"/>
        <v>0</v>
      </c>
      <c r="R148" s="471"/>
      <c r="S148" s="457">
        <f t="shared" si="23"/>
        <v>0</v>
      </c>
      <c r="T148" s="545" t="str">
        <f t="shared" si="24"/>
        <v>0</v>
      </c>
    </row>
    <row r="149" spans="1:20" s="474" customFormat="1" ht="15" customHeight="1">
      <c r="A149" s="472"/>
      <c r="B149" s="561"/>
      <c r="C149" s="558"/>
      <c r="D149" s="559"/>
      <c r="E149" s="353"/>
      <c r="F149" s="353"/>
      <c r="G149" s="353"/>
      <c r="H149" s="560"/>
      <c r="I149" s="561"/>
      <c r="J149" s="353"/>
      <c r="K149" s="353"/>
      <c r="L149" s="353"/>
      <c r="M149" s="560"/>
      <c r="N149" s="353"/>
      <c r="O149" s="133"/>
      <c r="P149" s="136"/>
      <c r="Q149" s="135"/>
      <c r="R149" s="568"/>
      <c r="S149" s="133"/>
      <c r="T149" s="569"/>
    </row>
    <row r="150" spans="1:20" s="474" customFormat="1" ht="15" customHeight="1">
      <c r="A150" s="472"/>
      <c r="B150" s="561"/>
      <c r="C150" s="558" t="s">
        <v>487</v>
      </c>
      <c r="D150" s="559"/>
      <c r="E150" s="353"/>
      <c r="F150" s="353"/>
      <c r="G150" s="353"/>
      <c r="H150" s="560"/>
      <c r="I150" s="561"/>
      <c r="J150" s="353"/>
      <c r="K150" s="353"/>
      <c r="L150" s="353"/>
      <c r="M150" s="560"/>
      <c r="N150" s="353"/>
      <c r="O150" s="133"/>
      <c r="P150" s="136"/>
      <c r="Q150" s="135"/>
      <c r="R150" s="568"/>
      <c r="S150" s="133"/>
      <c r="T150" s="569"/>
    </row>
    <row r="151" spans="1:20" s="474" customFormat="1" ht="15" customHeight="1">
      <c r="A151" s="472"/>
      <c r="B151" s="561"/>
      <c r="C151" s="563" t="s">
        <v>485</v>
      </c>
      <c r="D151" s="564"/>
      <c r="E151" s="565"/>
      <c r="F151" s="565"/>
      <c r="G151" s="565"/>
      <c r="H151" s="566"/>
      <c r="I151" s="564"/>
      <c r="J151" s="565"/>
      <c r="K151" s="565"/>
      <c r="L151" s="565"/>
      <c r="M151" s="566"/>
      <c r="N151" s="353"/>
      <c r="O151" s="457">
        <f t="shared" si="20"/>
        <v>0</v>
      </c>
      <c r="P151" s="458">
        <f t="shared" si="21"/>
        <v>0</v>
      </c>
      <c r="Q151" s="459">
        <f t="shared" si="22"/>
        <v>0</v>
      </c>
      <c r="R151" s="471"/>
      <c r="S151" s="457">
        <f t="shared" si="23"/>
        <v>0</v>
      </c>
      <c r="T151" s="545" t="str">
        <f t="shared" si="24"/>
        <v>0</v>
      </c>
    </row>
    <row r="152" spans="1:20" s="474" customFormat="1" ht="15" customHeight="1">
      <c r="A152" s="472"/>
      <c r="B152" s="561"/>
      <c r="C152" s="563" t="s">
        <v>486</v>
      </c>
      <c r="D152" s="341"/>
      <c r="E152" s="342"/>
      <c r="F152" s="342"/>
      <c r="G152" s="342"/>
      <c r="H152" s="343"/>
      <c r="I152" s="341"/>
      <c r="J152" s="342"/>
      <c r="K152" s="342"/>
      <c r="L152" s="342"/>
      <c r="M152" s="343"/>
      <c r="N152" s="353"/>
      <c r="O152" s="457">
        <f t="shared" si="20"/>
        <v>0</v>
      </c>
      <c r="P152" s="458">
        <f t="shared" si="21"/>
        <v>0</v>
      </c>
      <c r="Q152" s="459">
        <f t="shared" si="22"/>
        <v>0</v>
      </c>
      <c r="R152" s="471"/>
      <c r="S152" s="457">
        <f t="shared" si="23"/>
        <v>0</v>
      </c>
      <c r="T152" s="545" t="str">
        <f t="shared" si="24"/>
        <v>0</v>
      </c>
    </row>
    <row r="153" spans="1:20" s="474" customFormat="1" ht="15" customHeight="1" thickBot="1">
      <c r="A153" s="472"/>
      <c r="B153" s="570"/>
      <c r="C153" s="571"/>
      <c r="D153" s="362"/>
      <c r="E153" s="363"/>
      <c r="F153" s="363"/>
      <c r="G153" s="363"/>
      <c r="H153" s="572"/>
      <c r="I153" s="362"/>
      <c r="J153" s="363"/>
      <c r="K153" s="363"/>
      <c r="L153" s="363"/>
      <c r="M153" s="572"/>
      <c r="N153" s="353"/>
      <c r="O153" s="501">
        <f t="shared" si="20"/>
        <v>0</v>
      </c>
      <c r="P153" s="502">
        <f t="shared" si="21"/>
        <v>0</v>
      </c>
      <c r="Q153" s="503">
        <f t="shared" si="22"/>
        <v>0</v>
      </c>
      <c r="R153" s="471"/>
      <c r="S153" s="501">
        <f t="shared" si="23"/>
        <v>0</v>
      </c>
      <c r="T153" s="556" t="str">
        <f t="shared" si="24"/>
        <v>0</v>
      </c>
    </row>
    <row r="154" spans="1:20" s="574" customFormat="1" ht="15" customHeight="1">
      <c r="A154" s="573"/>
      <c r="B154" s="353"/>
      <c r="E154" s="353"/>
      <c r="F154" s="353"/>
      <c r="G154" s="353"/>
      <c r="H154" s="353"/>
      <c r="I154" s="353"/>
      <c r="J154" s="353"/>
      <c r="K154" s="353"/>
      <c r="L154" s="353"/>
      <c r="M154" s="353"/>
      <c r="N154" s="353"/>
      <c r="O154" s="353"/>
      <c r="P154" s="353"/>
      <c r="Q154" s="353"/>
    </row>
    <row r="155" spans="1:20" s="574" customFormat="1" ht="15" customHeight="1">
      <c r="A155" s="573"/>
      <c r="B155" s="353"/>
      <c r="C155" s="353"/>
      <c r="E155" s="353"/>
      <c r="F155" s="353"/>
      <c r="G155" s="353"/>
      <c r="H155" s="353"/>
      <c r="I155" s="353"/>
      <c r="J155" s="353"/>
      <c r="K155" s="353"/>
      <c r="L155" s="353"/>
      <c r="M155" s="353"/>
      <c r="N155" s="353"/>
      <c r="O155" s="353"/>
      <c r="P155" s="353"/>
      <c r="Q155" s="353"/>
    </row>
    <row r="156" spans="1:20" s="574" customFormat="1" ht="15" customHeight="1">
      <c r="A156" s="573"/>
      <c r="B156" s="353"/>
      <c r="C156" s="353"/>
      <c r="E156" s="353"/>
      <c r="F156" s="353"/>
      <c r="G156" s="353"/>
      <c r="H156" s="353"/>
      <c r="I156" s="353"/>
      <c r="J156" s="353"/>
      <c r="K156" s="353"/>
      <c r="L156" s="353"/>
      <c r="M156" s="353"/>
      <c r="N156" s="353"/>
      <c r="O156" s="353"/>
      <c r="P156" s="353"/>
      <c r="Q156" s="353"/>
    </row>
    <row r="157" spans="1:20" s="574" customFormat="1" ht="15" customHeight="1">
      <c r="A157" s="573"/>
      <c r="B157" s="353"/>
      <c r="C157" s="353"/>
      <c r="E157" s="353"/>
      <c r="F157" s="353"/>
      <c r="G157" s="353"/>
      <c r="H157" s="353"/>
      <c r="I157" s="353"/>
      <c r="J157" s="353"/>
      <c r="K157" s="353"/>
      <c r="L157" s="353"/>
      <c r="M157" s="353"/>
      <c r="N157" s="353"/>
      <c r="O157" s="353"/>
      <c r="P157" s="353"/>
      <c r="Q157" s="353"/>
    </row>
    <row r="158" spans="1:20" s="574" customFormat="1" ht="15" customHeight="1">
      <c r="A158" s="573"/>
      <c r="B158" s="353"/>
      <c r="C158" s="353"/>
      <c r="E158" s="353"/>
      <c r="F158" s="353"/>
      <c r="G158" s="353"/>
      <c r="H158" s="353"/>
      <c r="I158" s="353"/>
      <c r="J158" s="353"/>
      <c r="K158" s="353"/>
      <c r="L158" s="353"/>
      <c r="M158" s="353"/>
      <c r="N158" s="353"/>
      <c r="O158" s="353"/>
      <c r="P158" s="353"/>
      <c r="Q158" s="353"/>
    </row>
    <row r="159" spans="1:20" s="574" customFormat="1" ht="15" customHeight="1">
      <c r="A159" s="573"/>
      <c r="B159" s="353"/>
      <c r="C159" s="353"/>
      <c r="E159" s="353"/>
      <c r="F159" s="353"/>
      <c r="G159" s="353"/>
      <c r="H159" s="353"/>
      <c r="I159" s="353"/>
      <c r="J159" s="353"/>
      <c r="K159" s="353"/>
      <c r="L159" s="353"/>
      <c r="M159" s="353"/>
      <c r="N159" s="353"/>
      <c r="O159" s="353"/>
      <c r="P159" s="353"/>
      <c r="Q159" s="353"/>
    </row>
    <row r="160" spans="1:20" s="574" customFormat="1" ht="15" customHeight="1">
      <c r="A160" s="573"/>
      <c r="B160" s="353"/>
      <c r="C160" s="353"/>
      <c r="E160" s="353"/>
      <c r="F160" s="353"/>
      <c r="G160" s="353"/>
      <c r="H160" s="353"/>
      <c r="I160" s="353"/>
      <c r="J160" s="353"/>
      <c r="K160" s="353"/>
      <c r="L160" s="353"/>
      <c r="M160" s="353"/>
      <c r="N160" s="353"/>
      <c r="O160" s="353"/>
      <c r="P160" s="353"/>
      <c r="Q160" s="353"/>
    </row>
    <row r="161" spans="1:17" s="574" customFormat="1" ht="15" customHeight="1">
      <c r="A161" s="573"/>
      <c r="B161" s="353"/>
      <c r="C161" s="353"/>
      <c r="E161" s="353"/>
      <c r="F161" s="353"/>
      <c r="G161" s="353"/>
      <c r="H161" s="353"/>
      <c r="I161" s="353"/>
      <c r="J161" s="353"/>
      <c r="K161" s="353"/>
      <c r="L161" s="353"/>
      <c r="M161" s="353"/>
      <c r="N161" s="353"/>
      <c r="O161" s="353"/>
      <c r="P161" s="353"/>
      <c r="Q161" s="353"/>
    </row>
    <row r="162" spans="1:17" s="574" customFormat="1" ht="15" customHeight="1">
      <c r="A162" s="573"/>
      <c r="B162" s="353"/>
      <c r="C162" s="353"/>
      <c r="E162" s="353"/>
      <c r="F162" s="353"/>
      <c r="G162" s="353"/>
      <c r="H162" s="353"/>
      <c r="I162" s="353"/>
      <c r="J162" s="353"/>
      <c r="K162" s="353"/>
      <c r="L162" s="353"/>
      <c r="M162" s="353"/>
      <c r="N162" s="353"/>
      <c r="O162" s="353"/>
      <c r="P162" s="353"/>
      <c r="Q162" s="353"/>
    </row>
    <row r="163" spans="1:17" s="574" customFormat="1" ht="15" customHeight="1">
      <c r="A163" s="573"/>
      <c r="B163" s="353"/>
      <c r="C163" s="353"/>
      <c r="E163" s="353"/>
      <c r="F163" s="353"/>
      <c r="G163" s="353"/>
      <c r="H163" s="353"/>
      <c r="I163" s="353"/>
      <c r="J163" s="353"/>
      <c r="K163" s="353"/>
      <c r="L163" s="353"/>
      <c r="M163" s="353"/>
      <c r="N163" s="353"/>
      <c r="O163" s="353"/>
      <c r="P163" s="353"/>
      <c r="Q163" s="353"/>
    </row>
    <row r="164" spans="1:17" s="574" customFormat="1" ht="15" customHeight="1">
      <c r="A164" s="573"/>
      <c r="B164" s="353"/>
      <c r="C164" s="353"/>
      <c r="E164" s="353"/>
      <c r="F164" s="353"/>
      <c r="G164" s="353"/>
      <c r="H164" s="353"/>
      <c r="I164" s="353"/>
      <c r="J164" s="353"/>
      <c r="K164" s="353"/>
      <c r="L164" s="353"/>
      <c r="M164" s="353"/>
      <c r="N164" s="353"/>
      <c r="O164" s="353"/>
      <c r="P164" s="353"/>
      <c r="Q164" s="353"/>
    </row>
    <row r="165" spans="1:17" s="574" customFormat="1" ht="15" customHeight="1">
      <c r="A165" s="573"/>
      <c r="B165" s="353"/>
      <c r="C165" s="353"/>
      <c r="E165" s="353"/>
      <c r="F165" s="353"/>
      <c r="G165" s="353"/>
      <c r="H165" s="353"/>
      <c r="I165" s="353"/>
      <c r="J165" s="353"/>
      <c r="K165" s="353"/>
      <c r="L165" s="353"/>
      <c r="M165" s="353"/>
      <c r="N165" s="353"/>
      <c r="O165" s="353"/>
      <c r="P165" s="353"/>
      <c r="Q165" s="353"/>
    </row>
    <row r="166" spans="1:17" s="574" customFormat="1" ht="15" customHeight="1">
      <c r="A166" s="573"/>
      <c r="B166" s="353"/>
      <c r="C166" s="353"/>
      <c r="E166" s="353"/>
      <c r="F166" s="353"/>
      <c r="G166" s="353"/>
      <c r="H166" s="353"/>
      <c r="I166" s="353"/>
      <c r="J166" s="353"/>
      <c r="K166" s="353"/>
      <c r="L166" s="353"/>
      <c r="M166" s="353"/>
      <c r="N166" s="353"/>
      <c r="O166" s="353"/>
      <c r="P166" s="353"/>
      <c r="Q166" s="353"/>
    </row>
    <row r="167" spans="1:17" s="574" customFormat="1" ht="15" customHeight="1">
      <c r="A167" s="573"/>
      <c r="B167" s="353"/>
      <c r="C167" s="353"/>
      <c r="E167" s="353"/>
      <c r="F167" s="353"/>
      <c r="G167" s="353"/>
      <c r="H167" s="353"/>
      <c r="I167" s="353"/>
      <c r="J167" s="353"/>
      <c r="K167" s="353"/>
      <c r="L167" s="353"/>
      <c r="M167" s="353"/>
      <c r="N167" s="353"/>
      <c r="O167" s="353"/>
      <c r="P167" s="353"/>
      <c r="Q167" s="353"/>
    </row>
    <row r="168" spans="1:17" s="574" customFormat="1" ht="15" customHeight="1">
      <c r="A168" s="573"/>
      <c r="B168" s="353"/>
      <c r="C168" s="353"/>
      <c r="E168" s="353"/>
      <c r="F168" s="353"/>
      <c r="G168" s="353"/>
      <c r="H168" s="353"/>
      <c r="I168" s="353"/>
      <c r="J168" s="353"/>
      <c r="K168" s="353"/>
      <c r="L168" s="353"/>
      <c r="M168" s="353"/>
      <c r="N168" s="353"/>
      <c r="O168" s="353"/>
      <c r="P168" s="353"/>
      <c r="Q168" s="353"/>
    </row>
    <row r="169" spans="1:17" s="574" customFormat="1" ht="15" customHeight="1">
      <c r="A169" s="573"/>
      <c r="B169" s="353"/>
      <c r="C169" s="353"/>
      <c r="E169" s="353"/>
      <c r="F169" s="353"/>
      <c r="G169" s="353"/>
      <c r="H169" s="353"/>
      <c r="I169" s="353"/>
      <c r="J169" s="353"/>
      <c r="K169" s="353"/>
      <c r="L169" s="353"/>
      <c r="M169" s="353"/>
      <c r="N169" s="353"/>
      <c r="O169" s="353"/>
      <c r="P169" s="353"/>
      <c r="Q169" s="353"/>
    </row>
    <row r="170" spans="1:17" s="574" customFormat="1" ht="15" customHeight="1">
      <c r="A170" s="573"/>
      <c r="B170" s="353"/>
      <c r="C170" s="353"/>
      <c r="E170" s="353"/>
      <c r="F170" s="353"/>
      <c r="G170" s="353"/>
      <c r="H170" s="353"/>
      <c r="I170" s="353"/>
      <c r="J170" s="353"/>
      <c r="K170" s="353"/>
      <c r="L170" s="353"/>
      <c r="M170" s="353"/>
      <c r="N170" s="353"/>
      <c r="O170" s="353"/>
      <c r="P170" s="353"/>
      <c r="Q170" s="353"/>
    </row>
    <row r="171" spans="1:17" s="574" customFormat="1" ht="15" customHeight="1">
      <c r="A171" s="573"/>
      <c r="B171" s="353"/>
      <c r="C171" s="353"/>
      <c r="E171" s="353"/>
      <c r="F171" s="353"/>
      <c r="G171" s="353"/>
      <c r="H171" s="353"/>
      <c r="I171" s="353"/>
      <c r="J171" s="353"/>
      <c r="K171" s="353"/>
      <c r="L171" s="353"/>
      <c r="M171" s="353"/>
      <c r="N171" s="353"/>
      <c r="O171" s="353"/>
      <c r="P171" s="353"/>
      <c r="Q171" s="353"/>
    </row>
    <row r="172" spans="1:17" s="574" customFormat="1" ht="15" customHeight="1">
      <c r="A172" s="573"/>
      <c r="B172" s="353"/>
      <c r="C172" s="353"/>
      <c r="E172" s="353"/>
      <c r="F172" s="353"/>
      <c r="G172" s="353"/>
      <c r="H172" s="353"/>
      <c r="I172" s="353"/>
      <c r="J172" s="353"/>
      <c r="K172" s="353"/>
      <c r="L172" s="353"/>
      <c r="M172" s="353"/>
      <c r="N172" s="353"/>
      <c r="O172" s="353"/>
      <c r="P172" s="353"/>
      <c r="Q172" s="353"/>
    </row>
    <row r="173" spans="1:17" s="574" customFormat="1" ht="15" customHeight="1">
      <c r="A173" s="573"/>
      <c r="B173" s="353"/>
      <c r="C173" s="353"/>
      <c r="E173" s="353"/>
      <c r="F173" s="353"/>
      <c r="G173" s="353"/>
      <c r="H173" s="353"/>
      <c r="I173" s="353"/>
      <c r="J173" s="353"/>
      <c r="K173" s="353"/>
      <c r="L173" s="353"/>
      <c r="M173" s="353"/>
      <c r="N173" s="353"/>
      <c r="O173" s="353"/>
      <c r="P173" s="353"/>
      <c r="Q173" s="353"/>
    </row>
    <row r="174" spans="1:17" s="574" customFormat="1" ht="15" customHeight="1">
      <c r="A174" s="573"/>
      <c r="B174" s="353"/>
      <c r="C174" s="353"/>
      <c r="E174" s="353"/>
      <c r="F174" s="353"/>
      <c r="G174" s="353"/>
      <c r="H174" s="353"/>
      <c r="I174" s="353"/>
      <c r="J174" s="353"/>
      <c r="K174" s="353"/>
      <c r="L174" s="353"/>
      <c r="M174" s="353"/>
      <c r="N174" s="353"/>
      <c r="O174" s="353"/>
      <c r="P174" s="353"/>
      <c r="Q174" s="353"/>
    </row>
    <row r="175" spans="1:17" s="574" customFormat="1" ht="15" customHeight="1">
      <c r="A175" s="573"/>
      <c r="B175" s="353"/>
      <c r="C175" s="353"/>
      <c r="E175" s="353"/>
      <c r="F175" s="353"/>
      <c r="G175" s="353"/>
      <c r="H175" s="353"/>
      <c r="I175" s="353"/>
      <c r="J175" s="353"/>
      <c r="K175" s="353"/>
      <c r="L175" s="353"/>
      <c r="M175" s="353"/>
      <c r="N175" s="353"/>
      <c r="O175" s="353"/>
      <c r="P175" s="353"/>
      <c r="Q175" s="353"/>
    </row>
    <row r="176" spans="1:17" s="574" customFormat="1" ht="15" customHeight="1">
      <c r="A176" s="573"/>
      <c r="B176" s="353"/>
      <c r="C176" s="353"/>
      <c r="E176" s="353"/>
      <c r="F176" s="353"/>
      <c r="G176" s="353"/>
      <c r="H176" s="353"/>
      <c r="I176" s="353"/>
      <c r="J176" s="353"/>
      <c r="K176" s="353"/>
      <c r="L176" s="353"/>
      <c r="M176" s="353"/>
      <c r="N176" s="353"/>
      <c r="O176" s="353"/>
      <c r="P176" s="353"/>
      <c r="Q176" s="353"/>
    </row>
    <row r="177" spans="1:23" s="574" customFormat="1" ht="15" customHeight="1">
      <c r="A177" s="573"/>
      <c r="B177" s="353"/>
      <c r="C177" s="353"/>
      <c r="E177" s="353"/>
      <c r="F177" s="353"/>
      <c r="G177" s="353"/>
      <c r="H177" s="353"/>
      <c r="I177" s="353"/>
      <c r="J177" s="353"/>
      <c r="K177" s="353"/>
      <c r="L177" s="353"/>
      <c r="M177" s="353"/>
      <c r="N177" s="353"/>
      <c r="O177" s="353"/>
      <c r="P177" s="353"/>
      <c r="Q177" s="353"/>
    </row>
    <row r="178" spans="1:23" s="574" customFormat="1" ht="15" customHeight="1">
      <c r="A178" s="573"/>
      <c r="B178" s="353"/>
      <c r="C178" s="353"/>
      <c r="E178" s="353"/>
      <c r="F178" s="353"/>
      <c r="G178" s="353"/>
      <c r="H178" s="353"/>
      <c r="I178" s="353"/>
      <c r="J178" s="353"/>
      <c r="K178" s="353"/>
      <c r="L178" s="353"/>
      <c r="M178" s="353"/>
      <c r="N178" s="353"/>
      <c r="O178" s="353"/>
      <c r="P178" s="353"/>
      <c r="Q178" s="353"/>
    </row>
    <row r="179" spans="1:23" s="574" customFormat="1" ht="15" customHeight="1">
      <c r="A179" s="573"/>
      <c r="B179" s="353"/>
      <c r="C179" s="353"/>
      <c r="E179" s="353"/>
      <c r="F179" s="353"/>
      <c r="G179" s="353"/>
      <c r="H179" s="353"/>
      <c r="I179" s="353"/>
      <c r="J179" s="353"/>
      <c r="K179" s="353"/>
      <c r="L179" s="353"/>
      <c r="M179" s="353"/>
      <c r="N179" s="353"/>
      <c r="O179" s="353"/>
      <c r="P179" s="353"/>
      <c r="Q179" s="353"/>
    </row>
    <row r="180" spans="1:23" s="574" customFormat="1" ht="15" customHeight="1">
      <c r="A180" s="573"/>
      <c r="B180" s="353"/>
      <c r="C180" s="353"/>
      <c r="E180" s="353"/>
      <c r="F180" s="353"/>
      <c r="G180" s="353"/>
      <c r="H180" s="353"/>
      <c r="I180" s="353"/>
      <c r="J180" s="353"/>
      <c r="K180" s="353"/>
      <c r="L180" s="353"/>
      <c r="M180" s="353"/>
      <c r="N180" s="353"/>
      <c r="O180" s="353"/>
      <c r="P180" s="353"/>
      <c r="Q180" s="353"/>
    </row>
    <row r="181" spans="1:23" s="574" customFormat="1" ht="15" customHeight="1">
      <c r="A181" s="573"/>
      <c r="B181" s="353"/>
      <c r="C181" s="353"/>
      <c r="E181" s="353"/>
      <c r="F181" s="353"/>
      <c r="G181" s="353"/>
      <c r="H181" s="353"/>
      <c r="I181" s="353"/>
      <c r="J181" s="353"/>
      <c r="K181" s="353"/>
      <c r="L181" s="353"/>
      <c r="M181" s="353"/>
      <c r="N181" s="353"/>
      <c r="O181" s="353"/>
      <c r="P181" s="353"/>
      <c r="Q181" s="353"/>
    </row>
    <row r="182" spans="1:23" s="574" customFormat="1" ht="15" customHeight="1">
      <c r="A182" s="573"/>
      <c r="B182" s="353"/>
      <c r="C182" s="353"/>
      <c r="E182" s="353"/>
      <c r="F182" s="353"/>
      <c r="G182" s="353"/>
      <c r="H182" s="353"/>
      <c r="I182" s="353"/>
      <c r="J182" s="353"/>
      <c r="K182" s="353"/>
      <c r="L182" s="353"/>
      <c r="M182" s="353"/>
      <c r="N182" s="353"/>
      <c r="O182" s="353"/>
      <c r="P182" s="353"/>
      <c r="Q182" s="353"/>
    </row>
    <row r="183" spans="1:23" s="574" customFormat="1" ht="15" customHeight="1">
      <c r="A183" s="573"/>
      <c r="B183" s="353"/>
      <c r="C183" s="353"/>
      <c r="E183" s="353"/>
      <c r="F183" s="353"/>
      <c r="G183" s="353"/>
      <c r="H183" s="353"/>
      <c r="I183" s="353"/>
      <c r="J183" s="353"/>
      <c r="K183" s="353"/>
      <c r="L183" s="353"/>
      <c r="M183" s="353"/>
      <c r="N183" s="353"/>
      <c r="O183" s="353"/>
      <c r="P183" s="353"/>
      <c r="Q183" s="353"/>
    </row>
    <row r="184" spans="1:23" ht="15" customHeight="1">
      <c r="B184" s="576"/>
      <c r="C184" s="576"/>
      <c r="E184" s="576"/>
      <c r="F184" s="576"/>
      <c r="G184" s="576"/>
      <c r="H184" s="576"/>
      <c r="I184" s="576"/>
      <c r="J184" s="576"/>
      <c r="K184" s="576"/>
      <c r="L184" s="576"/>
      <c r="M184" s="576"/>
      <c r="N184" s="576"/>
      <c r="O184" s="576"/>
      <c r="P184" s="576"/>
      <c r="Q184" s="576"/>
      <c r="R184" s="577"/>
      <c r="S184" s="577"/>
      <c r="T184" s="577"/>
      <c r="U184" s="577"/>
      <c r="V184" s="577"/>
      <c r="W184" s="577"/>
    </row>
    <row r="185" spans="1:23" ht="15" customHeight="1">
      <c r="B185" s="576"/>
      <c r="C185" s="576"/>
      <c r="E185" s="576"/>
      <c r="F185" s="576"/>
      <c r="G185" s="576"/>
      <c r="H185" s="576"/>
      <c r="I185" s="576"/>
      <c r="J185" s="576"/>
      <c r="K185" s="576"/>
      <c r="L185" s="576"/>
      <c r="M185" s="576"/>
    </row>
    <row r="186" spans="1:23">
      <c r="B186" s="576"/>
      <c r="C186" s="576"/>
      <c r="E186" s="576"/>
      <c r="F186" s="576"/>
      <c r="G186" s="576"/>
      <c r="H186" s="576"/>
      <c r="I186" s="576"/>
      <c r="J186" s="576"/>
      <c r="K186" s="576"/>
      <c r="L186" s="576"/>
      <c r="M186" s="576"/>
    </row>
    <row r="187" spans="1:23">
      <c r="B187" s="576"/>
      <c r="C187" s="576"/>
      <c r="E187" s="576"/>
      <c r="F187" s="576"/>
      <c r="G187" s="576"/>
      <c r="H187" s="576"/>
      <c r="I187" s="576"/>
      <c r="J187" s="576"/>
      <c r="K187" s="576"/>
      <c r="L187" s="576"/>
      <c r="M187" s="576"/>
    </row>
  </sheetData>
  <mergeCells count="29">
    <mergeCell ref="B121:B124"/>
    <mergeCell ref="B125:B128"/>
    <mergeCell ref="B130:B133"/>
    <mergeCell ref="B134:B137"/>
    <mergeCell ref="B142:C144"/>
    <mergeCell ref="B115:B120"/>
    <mergeCell ref="B56:B61"/>
    <mergeCell ref="B62:B67"/>
    <mergeCell ref="B73:C75"/>
    <mergeCell ref="B76:B77"/>
    <mergeCell ref="B78:B79"/>
    <mergeCell ref="B80:B82"/>
    <mergeCell ref="B83:B88"/>
    <mergeCell ref="B89:B94"/>
    <mergeCell ref="B95:B100"/>
    <mergeCell ref="B106:C108"/>
    <mergeCell ref="B109:B114"/>
    <mergeCell ref="B50:B55"/>
    <mergeCell ref="B7:C9"/>
    <mergeCell ref="B10:B11"/>
    <mergeCell ref="B12:B13"/>
    <mergeCell ref="B14:B16"/>
    <mergeCell ref="B17:B22"/>
    <mergeCell ref="B23:B28"/>
    <mergeCell ref="B29:B34"/>
    <mergeCell ref="B40:C42"/>
    <mergeCell ref="B43:B44"/>
    <mergeCell ref="B45:B46"/>
    <mergeCell ref="B47:B49"/>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2014-06-02T18:49:43Z</cp:lastPrinted>
  <dcterms:created xsi:type="dcterms:W3CDTF">2014-06-02T13:43:59Z</dcterms:created>
  <dcterms:modified xsi:type="dcterms:W3CDTF">2015-12-14T10:36:09Z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